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filterPrivacy="1" defaultThemeVersion="124226"/>
  <xr:revisionPtr revIDLastSave="0" documentId="13_ncr:1_{67ECE47F-C199-4A70-B99F-5BA2E6B0B1E7}" xr6:coauthVersionLast="47" xr6:coauthVersionMax="47" xr10:uidLastSave="{00000000-0000-0000-0000-000000000000}"/>
  <bookViews>
    <workbookView xWindow="-108" yWindow="-108" windowWidth="23256" windowHeight="12576" tabRatio="903" firstSheet="2" activeTab="6" xr2:uid="{00000000-000D-0000-FFFF-FFFF00000000}"/>
  </bookViews>
  <sheets>
    <sheet name="NAV EV" sheetId="1" state="hidden" r:id="rId1"/>
    <sheet name="Cost of Equity" sheetId="35" state="hidden" r:id="rId2"/>
    <sheet name="Historical RK P&amp;L" sheetId="22" r:id="rId3"/>
    <sheet name="Projection RK P&amp;L" sheetId="23" r:id="rId4"/>
    <sheet name="BS" sheetId="26" state="hidden" r:id="rId5"/>
    <sheet name="Cash flow" sheetId="28" state="hidden" r:id="rId6"/>
    <sheet name="DCF Valuation" sheetId="34" r:id="rId7"/>
    <sheet name="WACC" sheetId="29" r:id="rId8"/>
    <sheet name="Debt Schedule" sheetId="30" r:id="rId9"/>
    <sheet name="Working Capital Schedule" sheetId="31" r:id="rId10"/>
    <sheet name="Depreciation Schedule" sheetId="33" r:id="rId11"/>
    <sheet name="Schedule" sheetId="27" state="hidden" r:id="rId12"/>
    <sheet name="DCF" sheetId="25" state="hidden" r:id="rId13"/>
    <sheet name="Non-Current Assets" sheetId="3" state="hidden" r:id="rId14"/>
    <sheet name="Current Assets" sheetId="7" state="hidden" r:id="rId15"/>
    <sheet name="Equity &amp; Liabilities" sheetId="8" state="hidden" r:id="rId16"/>
    <sheet name="Non Current -CWIP- I" sheetId="20" state="hidden" r:id="rId17"/>
    <sheet name="Summary" sheetId="16" state="hidden" r:id="rId18"/>
    <sheet name="Non Current Financial Asset- I" sheetId="21" state="hidden" r:id="rId19"/>
    <sheet name="Inventories - II" sheetId="11" state="hidden" r:id="rId20"/>
    <sheet name="Trade Receivables - III" sheetId="12" state="hidden" r:id="rId21"/>
    <sheet name="C&amp;CE and Bank Bal. - IV" sheetId="13" state="hidden" r:id="rId22"/>
    <sheet name="Financial Assets- V" sheetId="14" state="hidden" r:id="rId23"/>
    <sheet name="Other Current Assest-VI" sheetId="15" state="hidden" r:id="rId24"/>
    <sheet name="Sheet1" sheetId="9" state="hidden" r:id="rId25"/>
    <sheet name="Sheet2" sheetId="10" state="hidden"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s>
  <definedNames>
    <definedName name="\">#REF!</definedName>
    <definedName name="\0">#REF!</definedName>
    <definedName name="\A" localSheetId="10">#REF!</definedName>
    <definedName name="\a">#N/A</definedName>
    <definedName name="\A1">#REF!</definedName>
    <definedName name="\A10">#REF!</definedName>
    <definedName name="\A13">#REF!</definedName>
    <definedName name="\A16">#REF!</definedName>
    <definedName name="\A19">#REF!</definedName>
    <definedName name="\A2">#REF!</definedName>
    <definedName name="\A22">#REF!</definedName>
    <definedName name="\A25">#REF!</definedName>
    <definedName name="\A28">#REF!</definedName>
    <definedName name="\A3">#REF!</definedName>
    <definedName name="\A5">#REF!</definedName>
    <definedName name="\A7">#REF!</definedName>
    <definedName name="\b" localSheetId="10">#REF!</definedName>
    <definedName name="\b">[1]H.O!#REF!</definedName>
    <definedName name="\C">#REF!</definedName>
    <definedName name="\D">#REF!</definedName>
    <definedName name="\E">#REF!</definedName>
    <definedName name="\F">#REF!</definedName>
    <definedName name="\G">#REF!</definedName>
    <definedName name="\H">#REF!</definedName>
    <definedName name="\i">#N/A</definedName>
    <definedName name="\J">#REF!</definedName>
    <definedName name="\k">#REF!</definedName>
    <definedName name="\l">#REF!</definedName>
    <definedName name="\M">#REF!</definedName>
    <definedName name="\N" localSheetId="10">#REF!</definedName>
    <definedName name="\N">[2]Schedules!#REF!</definedName>
    <definedName name="\o">#REF!</definedName>
    <definedName name="\P">#REF!</definedName>
    <definedName name="\Q">#REF!</definedName>
    <definedName name="\R">#REF!</definedName>
    <definedName name="\S" localSheetId="10">#REF!</definedName>
    <definedName name="\s">#REF!</definedName>
    <definedName name="\T">#REF!</definedName>
    <definedName name="\U">#REF!</definedName>
    <definedName name="\V">#REF!</definedName>
    <definedName name="\w">#REF!</definedName>
    <definedName name="\X">#REF!</definedName>
    <definedName name="\y">#REF!</definedName>
    <definedName name="\z" localSheetId="10">'[3]BAL96-97'!#REF!</definedName>
    <definedName name="\z">#REF!</definedName>
    <definedName name="_" localSheetId="10">#REF!</definedName>
    <definedName name="_" hidden="1">#REF!</definedName>
    <definedName name="_.._D__D__D__D_">#REF!</definedName>
    <definedName name="____________________SCH1">#REF!</definedName>
    <definedName name="____________________SCH10">#REF!</definedName>
    <definedName name="____________________SCH11">#REF!</definedName>
    <definedName name="____________________SCH2">#REF!</definedName>
    <definedName name="____________________SCH3">#REF!</definedName>
    <definedName name="____________________SCH4">#REF!</definedName>
    <definedName name="____________________SCH5">#REF!</definedName>
    <definedName name="____________________SCH6">#REF!</definedName>
    <definedName name="____________________SCH7">#REF!</definedName>
    <definedName name="____________________SCH8">#REF!</definedName>
    <definedName name="____________________SCH9">#REF!</definedName>
    <definedName name="___________________SCH1">#REF!</definedName>
    <definedName name="___________________SCH10">#REF!</definedName>
    <definedName name="___________________SCH11">#REF!</definedName>
    <definedName name="___________________SCH2">#REF!</definedName>
    <definedName name="___________________SCH3">#REF!</definedName>
    <definedName name="___________________SCH4">#REF!</definedName>
    <definedName name="___________________SCH5">#REF!</definedName>
    <definedName name="___________________SCH6">#REF!</definedName>
    <definedName name="___________________SCH7">#REF!</definedName>
    <definedName name="___________________SCH8">#REF!</definedName>
    <definedName name="___________________SCH9">#REF!</definedName>
    <definedName name="__________________SCH1">#REF!</definedName>
    <definedName name="__________________SCH10">#REF!</definedName>
    <definedName name="__________________SCH11">#REF!</definedName>
    <definedName name="__________________SCH2">#REF!</definedName>
    <definedName name="__________________SCH3">#REF!</definedName>
    <definedName name="__________________SCH4">#REF!</definedName>
    <definedName name="__________________SCH5">#REF!</definedName>
    <definedName name="__________________SCH6">#REF!</definedName>
    <definedName name="__________________SCH7">#REF!</definedName>
    <definedName name="__________________SCH8">#REF!</definedName>
    <definedName name="__________________SCH9">#REF!</definedName>
    <definedName name="_________________SCH1">#REF!</definedName>
    <definedName name="_________________SCH10">#REF!</definedName>
    <definedName name="_________________SCH11">#REF!</definedName>
    <definedName name="_________________SCH2">#REF!</definedName>
    <definedName name="_________________SCH3">#REF!</definedName>
    <definedName name="_________________SCH4">#REF!</definedName>
    <definedName name="_________________SCH5">#REF!</definedName>
    <definedName name="_________________SCH6">#REF!</definedName>
    <definedName name="_________________SCH7">#REF!</definedName>
    <definedName name="_________________SCH8">#REF!</definedName>
    <definedName name="_________________SCH9">#REF!</definedName>
    <definedName name="________________SCH1">#REF!</definedName>
    <definedName name="________________SCH10">#REF!</definedName>
    <definedName name="________________SCH11">#REF!</definedName>
    <definedName name="________________SCH2">#REF!</definedName>
    <definedName name="________________SCH3">#REF!</definedName>
    <definedName name="________________SCH4">#REF!</definedName>
    <definedName name="________________SCH5">#REF!</definedName>
    <definedName name="________________SCH6">#REF!</definedName>
    <definedName name="________________SCH7">#REF!</definedName>
    <definedName name="________________SCH8">#REF!</definedName>
    <definedName name="________________SCH9">#REF!</definedName>
    <definedName name="_______________SCH1">#REF!</definedName>
    <definedName name="_______________SCH10">#REF!</definedName>
    <definedName name="_______________SCH11">#REF!</definedName>
    <definedName name="_______________SCH2">#REF!</definedName>
    <definedName name="_______________SCH3">#REF!</definedName>
    <definedName name="_______________SCH4">#REF!</definedName>
    <definedName name="_______________SCH5">#REF!</definedName>
    <definedName name="_______________SCH6">#REF!</definedName>
    <definedName name="_______________SCH7">#REF!</definedName>
    <definedName name="_______________SCH8">#REF!</definedName>
    <definedName name="_______________SCH9">#REF!</definedName>
    <definedName name="______________SCH1">#REF!</definedName>
    <definedName name="______________SCH10">#REF!</definedName>
    <definedName name="______________SCH11">#REF!</definedName>
    <definedName name="______________SCH2">#REF!</definedName>
    <definedName name="______________SCH3">#REF!</definedName>
    <definedName name="______________SCH4">#REF!</definedName>
    <definedName name="______________SCH5">#REF!</definedName>
    <definedName name="______________SCH6">#REF!</definedName>
    <definedName name="______________SCH7">#REF!</definedName>
    <definedName name="______________SCH8">#REF!</definedName>
    <definedName name="______________SCH9">#REF!</definedName>
    <definedName name="_____________SCH1">#REF!</definedName>
    <definedName name="_____________SCH10">#REF!</definedName>
    <definedName name="_____________SCH11">#REF!</definedName>
    <definedName name="_____________SCH2">#REF!</definedName>
    <definedName name="_____________SCH3">#REF!</definedName>
    <definedName name="_____________SCH4">#REF!</definedName>
    <definedName name="_____________SCH5">#REF!</definedName>
    <definedName name="_____________SCH6">#REF!</definedName>
    <definedName name="_____________SCH7">#REF!</definedName>
    <definedName name="_____________SCH8">#REF!</definedName>
    <definedName name="_____________SCH9">#REF!</definedName>
    <definedName name="____________SCH1">#REF!</definedName>
    <definedName name="____________SCH10">#REF!</definedName>
    <definedName name="____________SCH11">#REF!</definedName>
    <definedName name="____________SCH2">#REF!</definedName>
    <definedName name="____________SCH3">#REF!</definedName>
    <definedName name="____________SCH4">#REF!</definedName>
    <definedName name="____________SCH5">#REF!</definedName>
    <definedName name="____________SCH6">#REF!</definedName>
    <definedName name="____________SCH7">#REF!</definedName>
    <definedName name="____________SCH8">#REF!</definedName>
    <definedName name="____________SCH9">#REF!</definedName>
    <definedName name="___________SCH1">#REF!</definedName>
    <definedName name="___________SCH10">#REF!</definedName>
    <definedName name="___________SCH11">#REF!</definedName>
    <definedName name="___________SCH2">#REF!</definedName>
    <definedName name="___________SCH3">#REF!</definedName>
    <definedName name="___________SCH4">#REF!</definedName>
    <definedName name="___________SCH5">#REF!</definedName>
    <definedName name="___________SCH6">#REF!</definedName>
    <definedName name="___________SCH7">#REF!</definedName>
    <definedName name="___________SCH8">#REF!</definedName>
    <definedName name="___________SCH9">#REF!</definedName>
    <definedName name="__________SCH1">#REF!</definedName>
    <definedName name="__________SCH10">#REF!</definedName>
    <definedName name="__________SCH11">#REF!</definedName>
    <definedName name="__________SCH2">#REF!</definedName>
    <definedName name="__________SCH3">#REF!</definedName>
    <definedName name="__________SCH4">#REF!</definedName>
    <definedName name="__________SCH5">#REF!</definedName>
    <definedName name="__________SCH6">#REF!</definedName>
    <definedName name="__________SCH7">#REF!</definedName>
    <definedName name="__________SCH8">#REF!</definedName>
    <definedName name="__________SCH9">#REF!</definedName>
    <definedName name="_________SCH1">#REF!</definedName>
    <definedName name="_________SCH10">#REF!</definedName>
    <definedName name="_________SCH11">#REF!</definedName>
    <definedName name="_________SCH2">#REF!</definedName>
    <definedName name="_________SCH3">#REF!</definedName>
    <definedName name="_________SCH4">#REF!</definedName>
    <definedName name="_________SCH5">#REF!</definedName>
    <definedName name="_________SCH6">#REF!</definedName>
    <definedName name="_________SCH7">#REF!</definedName>
    <definedName name="_________SCH8">#REF!</definedName>
    <definedName name="_________SCH9">#REF!</definedName>
    <definedName name="_________XL__ENTER_UNIT">#REF!</definedName>
    <definedName name="________SCH1">#REF!</definedName>
    <definedName name="________SCH10">#REF!</definedName>
    <definedName name="________SCH11">#REF!</definedName>
    <definedName name="________SCH2">#REF!</definedName>
    <definedName name="________SCH3">#REF!</definedName>
    <definedName name="________SCH4">#REF!</definedName>
    <definedName name="________SCH5">#REF!</definedName>
    <definedName name="________SCH6">#REF!</definedName>
    <definedName name="________SCH7">#REF!</definedName>
    <definedName name="________SCH8">#REF!</definedName>
    <definedName name="________SCH9">#REF!</definedName>
    <definedName name="_______SCH1">#REF!</definedName>
    <definedName name="_______SCH10">#REF!</definedName>
    <definedName name="_______SCH11">#REF!</definedName>
    <definedName name="_______SCH2">#REF!</definedName>
    <definedName name="_______SCH3">#REF!</definedName>
    <definedName name="_______SCH4">#REF!</definedName>
    <definedName name="_______SCH5">#REF!</definedName>
    <definedName name="_______SCH6">'[4]04REL'!#REF!</definedName>
    <definedName name="_______SCH7">#REF!</definedName>
    <definedName name="_______SCH8">#REF!</definedName>
    <definedName name="_______SCH9">#REF!</definedName>
    <definedName name="_______XL__ENTER_UNIT">#REF!</definedName>
    <definedName name="______dk1" localSheetId="10" hidden="1">{#N/A,#N/A,FALSE,"COVER.XLS";#N/A,#N/A,FALSE,"RACT1.XLS";#N/A,#N/A,FALSE,"RACT2.XLS";#N/A,#N/A,FALSE,"ECCMP";#N/A,#N/A,FALSE,"WELDER.XLS"}</definedName>
    <definedName name="______dk1" hidden="1">{#N/A,#N/A,FALSE,"COVER.XLS";#N/A,#N/A,FALSE,"RACT1.XLS";#N/A,#N/A,FALSE,"RACT2.XLS";#N/A,#N/A,FALSE,"ECCMP";#N/A,#N/A,FALSE,"WELDER.XLS"}</definedName>
    <definedName name="______k8" localSheetId="10" hidden="1">{#N/A,#N/A,FALSE,"COVER1.XLS ";#N/A,#N/A,FALSE,"RACT1.XLS";#N/A,#N/A,FALSE,"RACT2.XLS";#N/A,#N/A,FALSE,"ECCMP";#N/A,#N/A,FALSE,"WELDER.XLS"}</definedName>
    <definedName name="______k8" hidden="1">{#N/A,#N/A,FALSE,"COVER1.XLS ";#N/A,#N/A,FALSE,"RACT1.XLS";#N/A,#N/A,FALSE,"RACT2.XLS";#N/A,#N/A,FALSE,"ECCMP";#N/A,#N/A,FALSE,"WELDER.XLS"}</definedName>
    <definedName name="______kv2" localSheetId="10" hidden="1">{#N/A,#N/A,FALSE,"COVER1.XLS ";#N/A,#N/A,FALSE,"RACT1.XLS";#N/A,#N/A,FALSE,"RACT2.XLS";#N/A,#N/A,FALSE,"ECCMP";#N/A,#N/A,FALSE,"WELDER.XLS"}</definedName>
    <definedName name="______kv2" hidden="1">{#N/A,#N/A,FALSE,"COVER1.XLS ";#N/A,#N/A,FALSE,"RACT1.XLS";#N/A,#N/A,FALSE,"RACT2.XLS";#N/A,#N/A,FALSE,"ECCMP";#N/A,#N/A,FALSE,"WELDER.XLS"}</definedName>
    <definedName name="______kvs1" localSheetId="10" hidden="1">{#N/A,#N/A,FALSE,"COVER1.XLS ";#N/A,#N/A,FALSE,"RACT1.XLS";#N/A,#N/A,FALSE,"RACT2.XLS";#N/A,#N/A,FALSE,"ECCMP";#N/A,#N/A,FALSE,"WELDER.XLS"}</definedName>
    <definedName name="______kvs1" hidden="1">{#N/A,#N/A,FALSE,"COVER1.XLS ";#N/A,#N/A,FALSE,"RACT1.XLS";#N/A,#N/A,FALSE,"RACT2.XLS";#N/A,#N/A,FALSE,"ECCMP";#N/A,#N/A,FALSE,"WELDER.XLS"}</definedName>
    <definedName name="______kvs2" localSheetId="10" hidden="1">{#N/A,#N/A,FALSE,"COVER1.XLS ";#N/A,#N/A,FALSE,"RACT1.XLS";#N/A,#N/A,FALSE,"RACT2.XLS";#N/A,#N/A,FALSE,"ECCMP";#N/A,#N/A,FALSE,"WELDER.XLS"}</definedName>
    <definedName name="______kvs2" hidden="1">{#N/A,#N/A,FALSE,"COVER1.XLS ";#N/A,#N/A,FALSE,"RACT1.XLS";#N/A,#N/A,FALSE,"RACT2.XLS";#N/A,#N/A,FALSE,"ECCMP";#N/A,#N/A,FALSE,"WELDER.XLS"}</definedName>
    <definedName name="______kvs5" localSheetId="10" hidden="1">{#N/A,#N/A,FALSE,"COVER.XLS";#N/A,#N/A,FALSE,"RACT1.XLS";#N/A,#N/A,FALSE,"RACT2.XLS";#N/A,#N/A,FALSE,"ECCMP";#N/A,#N/A,FALSE,"WELDER.XLS"}</definedName>
    <definedName name="______kvs5" hidden="1">{#N/A,#N/A,FALSE,"COVER.XLS";#N/A,#N/A,FALSE,"RACT1.XLS";#N/A,#N/A,FALSE,"RACT2.XLS";#N/A,#N/A,FALSE,"ECCMP";#N/A,#N/A,FALSE,"WELDER.XLS"}</definedName>
    <definedName name="______kvs7" localSheetId="10" hidden="1">{#N/A,#N/A,FALSE,"COVER1.XLS ";#N/A,#N/A,FALSE,"RACT1.XLS";#N/A,#N/A,FALSE,"RACT2.XLS";#N/A,#N/A,FALSE,"ECCMP";#N/A,#N/A,FALSE,"WELDER.XLS"}</definedName>
    <definedName name="______kvs7" hidden="1">{#N/A,#N/A,FALSE,"COVER1.XLS ";#N/A,#N/A,FALSE,"RACT1.XLS";#N/A,#N/A,FALSE,"RACT2.XLS";#N/A,#N/A,FALSE,"ECCMP";#N/A,#N/A,FALSE,"WELDER.XLS"}</definedName>
    <definedName name="______kvs8" localSheetId="10" hidden="1">{#N/A,#N/A,FALSE,"COVER1.XLS ";#N/A,#N/A,FALSE,"RACT1.XLS";#N/A,#N/A,FALSE,"RACT2.XLS";#N/A,#N/A,FALSE,"ECCMP";#N/A,#N/A,FALSE,"WELDER.XLS"}</definedName>
    <definedName name="______kvs8" hidden="1">{#N/A,#N/A,FALSE,"COVER1.XLS ";#N/A,#N/A,FALSE,"RACT1.XLS";#N/A,#N/A,FALSE,"RACT2.XLS";#N/A,#N/A,FALSE,"ECCMP";#N/A,#N/A,FALSE,"WELDER.XLS"}</definedName>
    <definedName name="______KVS9" localSheetId="10" hidden="1">{#N/A,#N/A,FALSE,"COVER1.XLS ";#N/A,#N/A,FALSE,"RACT1.XLS";#N/A,#N/A,FALSE,"RACT2.XLS";#N/A,#N/A,FALSE,"ECCMP";#N/A,#N/A,FALSE,"WELDER.XLS"}</definedName>
    <definedName name="______KVS9" hidden="1">{#N/A,#N/A,FALSE,"COVER1.XLS ";#N/A,#N/A,FALSE,"RACT1.XLS";#N/A,#N/A,FALSE,"RACT2.XLS";#N/A,#N/A,FALSE,"ECCMP";#N/A,#N/A,FALSE,"WELDER.XLS"}</definedName>
    <definedName name="______l2"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k1"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Nov09" localSheetId="10" hidden="1">{"'August 2000'!$A$1:$J$101"}</definedName>
    <definedName name="______Nov09" hidden="1">{"'August 2000'!$A$1:$J$101"}</definedName>
    <definedName name="______PRN1" localSheetId="10" hidden="1">{#N/A,#N/A,FALSE,"COVER.XLS";#N/A,#N/A,FALSE,"RACT1.XLS";#N/A,#N/A,FALSE,"RACT2.XLS";#N/A,#N/A,FALSE,"ECCMP";#N/A,#N/A,FALSE,"WELDER.XLS"}</definedName>
    <definedName name="______PRN1" hidden="1">{#N/A,#N/A,FALSE,"COVER.XLS";#N/A,#N/A,FALSE,"RACT1.XLS";#N/A,#N/A,FALSE,"RACT2.XLS";#N/A,#N/A,FALSE,"ECCMP";#N/A,#N/A,FALSE,"WELDER.XLS"}</definedName>
    <definedName name="______q2" localSheetId="10" hidden="1">{#N/A,#N/A,FALSE,"COVER1.XLS ";#N/A,#N/A,FALSE,"RACT1.XLS";#N/A,#N/A,FALSE,"RACT2.XLS";#N/A,#N/A,FALSE,"ECCMP";#N/A,#N/A,FALSE,"WELDER.XLS"}</definedName>
    <definedName name="______q2" hidden="1">{#N/A,#N/A,FALSE,"COVER1.XLS ";#N/A,#N/A,FALSE,"RACT1.XLS";#N/A,#N/A,FALSE,"RACT2.XLS";#N/A,#N/A,FALSE,"ECCMP";#N/A,#N/A,FALSE,"WELDER.XLS"}</definedName>
    <definedName name="______SCH1">#REF!</definedName>
    <definedName name="______SCH10">#REF!</definedName>
    <definedName name="______SCH11">#REF!</definedName>
    <definedName name="______SCH2">#REF!</definedName>
    <definedName name="______SCH3">#REF!</definedName>
    <definedName name="______SCH4">#REF!</definedName>
    <definedName name="______SCH5">#REF!</definedName>
    <definedName name="______SCH6">'[4]04REL'!#REF!</definedName>
    <definedName name="______SCH7">#REF!</definedName>
    <definedName name="______SCH8">#REF!</definedName>
    <definedName name="______SCH9">#REF!</definedName>
    <definedName name="______t1"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tr1"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w2" localSheetId="10" hidden="1">{#N/A,#N/A,FALSE,"17MAY";#N/A,#N/A,FALSE,"24MAY"}</definedName>
    <definedName name="______w2" hidden="1">{#N/A,#N/A,FALSE,"17MAY";#N/A,#N/A,FALSE,"24MAY"}</definedName>
    <definedName name="______WRN1" localSheetId="10" hidden="1">{#N/A,#N/A,FALSE,"COVER1.XLS ";#N/A,#N/A,FALSE,"RACT1.XLS";#N/A,#N/A,FALSE,"RACT2.XLS";#N/A,#N/A,FALSE,"ECCMP";#N/A,#N/A,FALSE,"WELDER.XLS"}</definedName>
    <definedName name="______WRN1" hidden="1">{#N/A,#N/A,FALSE,"COVER1.XLS ";#N/A,#N/A,FALSE,"RACT1.XLS";#N/A,#N/A,FALSE,"RACT2.XLS";#N/A,#N/A,FALSE,"ECCMP";#N/A,#N/A,FALSE,"WELDER.XLS"}</definedName>
    <definedName name="______WRN2" localSheetId="10" hidden="1">{#N/A,#N/A,FALSE,"COVER1.XLS ";#N/A,#N/A,FALSE,"RACT1.XLS";#N/A,#N/A,FALSE,"RACT2.XLS";#N/A,#N/A,FALSE,"ECCMP";#N/A,#N/A,FALSE,"WELDER.XLS"}</definedName>
    <definedName name="______WRN2" hidden="1">{#N/A,#N/A,FALSE,"COVER1.XLS ";#N/A,#N/A,FALSE,"RACT1.XLS";#N/A,#N/A,FALSE,"RACT2.XLS";#N/A,#N/A,FALSE,"ECCMP";#N/A,#N/A,FALSE,"WELDER.XLS"}</definedName>
    <definedName name="______WRN3" localSheetId="10" hidden="1">{#N/A,#N/A,FALSE,"consu_cover";#N/A,#N/A,FALSE,"consu_strategy";#N/A,#N/A,FALSE,"consu_flow";#N/A,#N/A,FALSE,"Summary_reqmt";#N/A,#N/A,FALSE,"field_ppg";#N/A,#N/A,FALSE,"ppg_shop";#N/A,#N/A,FALSE,"strl";#N/A,#N/A,FALSE,"tankages";#N/A,#N/A,FALSE,"gases"}</definedName>
    <definedName name="______WRN3" hidden="1">{#N/A,#N/A,FALSE,"consu_cover";#N/A,#N/A,FALSE,"consu_strategy";#N/A,#N/A,FALSE,"consu_flow";#N/A,#N/A,FALSE,"Summary_reqmt";#N/A,#N/A,FALSE,"field_ppg";#N/A,#N/A,FALSE,"ppg_shop";#N/A,#N/A,FALSE,"strl";#N/A,#N/A,FALSE,"tankages";#N/A,#N/A,FALSE,"gases"}</definedName>
    <definedName name="______XL__ENTER_UNIT">#REF!</definedName>
    <definedName name="_____as10" localSheetId="10" hidden="1">{"'August 2000'!$A$1:$J$101"}</definedName>
    <definedName name="_____as10" hidden="1">{"'August 2000'!$A$1:$J$101"}</definedName>
    <definedName name="_____dk1" localSheetId="10" hidden="1">{#N/A,#N/A,FALSE,"COVER.XLS";#N/A,#N/A,FALSE,"RACT1.XLS";#N/A,#N/A,FALSE,"RACT2.XLS";#N/A,#N/A,FALSE,"ECCMP";#N/A,#N/A,FALSE,"WELDER.XLS"}</definedName>
    <definedName name="_____dk1" hidden="1">{#N/A,#N/A,FALSE,"COVER.XLS";#N/A,#N/A,FALSE,"RACT1.XLS";#N/A,#N/A,FALSE,"RACT2.XLS";#N/A,#N/A,FALSE,"ECCMP";#N/A,#N/A,FALSE,"WELDER.XLS"}</definedName>
    <definedName name="_____k8" localSheetId="10" hidden="1">{#N/A,#N/A,FALSE,"COVER1.XLS ";#N/A,#N/A,FALSE,"RACT1.XLS";#N/A,#N/A,FALSE,"RACT2.XLS";#N/A,#N/A,FALSE,"ECCMP";#N/A,#N/A,FALSE,"WELDER.XLS"}</definedName>
    <definedName name="_____k8" hidden="1">{#N/A,#N/A,FALSE,"COVER1.XLS ";#N/A,#N/A,FALSE,"RACT1.XLS";#N/A,#N/A,FALSE,"RACT2.XLS";#N/A,#N/A,FALSE,"ECCMP";#N/A,#N/A,FALSE,"WELDER.XLS"}</definedName>
    <definedName name="_____kv2" localSheetId="10" hidden="1">{#N/A,#N/A,FALSE,"COVER1.XLS ";#N/A,#N/A,FALSE,"RACT1.XLS";#N/A,#N/A,FALSE,"RACT2.XLS";#N/A,#N/A,FALSE,"ECCMP";#N/A,#N/A,FALSE,"WELDER.XLS"}</definedName>
    <definedName name="_____kv2" hidden="1">{#N/A,#N/A,FALSE,"COVER1.XLS ";#N/A,#N/A,FALSE,"RACT1.XLS";#N/A,#N/A,FALSE,"RACT2.XLS";#N/A,#N/A,FALSE,"ECCMP";#N/A,#N/A,FALSE,"WELDER.XLS"}</definedName>
    <definedName name="_____kvs1" localSheetId="10" hidden="1">{#N/A,#N/A,FALSE,"COVER1.XLS ";#N/A,#N/A,FALSE,"RACT1.XLS";#N/A,#N/A,FALSE,"RACT2.XLS";#N/A,#N/A,FALSE,"ECCMP";#N/A,#N/A,FALSE,"WELDER.XLS"}</definedName>
    <definedName name="_____kvs1" hidden="1">{#N/A,#N/A,FALSE,"COVER1.XLS ";#N/A,#N/A,FALSE,"RACT1.XLS";#N/A,#N/A,FALSE,"RACT2.XLS";#N/A,#N/A,FALSE,"ECCMP";#N/A,#N/A,FALSE,"WELDER.XLS"}</definedName>
    <definedName name="_____kvs2" localSheetId="10" hidden="1">{#N/A,#N/A,FALSE,"COVER1.XLS ";#N/A,#N/A,FALSE,"RACT1.XLS";#N/A,#N/A,FALSE,"RACT2.XLS";#N/A,#N/A,FALSE,"ECCMP";#N/A,#N/A,FALSE,"WELDER.XLS"}</definedName>
    <definedName name="_____kvs2" hidden="1">{#N/A,#N/A,FALSE,"COVER1.XLS ";#N/A,#N/A,FALSE,"RACT1.XLS";#N/A,#N/A,FALSE,"RACT2.XLS";#N/A,#N/A,FALSE,"ECCMP";#N/A,#N/A,FALSE,"WELDER.XLS"}</definedName>
    <definedName name="_____kvs5" localSheetId="10" hidden="1">{#N/A,#N/A,FALSE,"COVER.XLS";#N/A,#N/A,FALSE,"RACT1.XLS";#N/A,#N/A,FALSE,"RACT2.XLS";#N/A,#N/A,FALSE,"ECCMP";#N/A,#N/A,FALSE,"WELDER.XLS"}</definedName>
    <definedName name="_____kvs5" hidden="1">{#N/A,#N/A,FALSE,"COVER.XLS";#N/A,#N/A,FALSE,"RACT1.XLS";#N/A,#N/A,FALSE,"RACT2.XLS";#N/A,#N/A,FALSE,"ECCMP";#N/A,#N/A,FALSE,"WELDER.XLS"}</definedName>
    <definedName name="_____kvs7" localSheetId="10" hidden="1">{#N/A,#N/A,FALSE,"COVER1.XLS ";#N/A,#N/A,FALSE,"RACT1.XLS";#N/A,#N/A,FALSE,"RACT2.XLS";#N/A,#N/A,FALSE,"ECCMP";#N/A,#N/A,FALSE,"WELDER.XLS"}</definedName>
    <definedName name="_____kvs7" hidden="1">{#N/A,#N/A,FALSE,"COVER1.XLS ";#N/A,#N/A,FALSE,"RACT1.XLS";#N/A,#N/A,FALSE,"RACT2.XLS";#N/A,#N/A,FALSE,"ECCMP";#N/A,#N/A,FALSE,"WELDER.XLS"}</definedName>
    <definedName name="_____kvs8" localSheetId="10" hidden="1">{#N/A,#N/A,FALSE,"COVER1.XLS ";#N/A,#N/A,FALSE,"RACT1.XLS";#N/A,#N/A,FALSE,"RACT2.XLS";#N/A,#N/A,FALSE,"ECCMP";#N/A,#N/A,FALSE,"WELDER.XLS"}</definedName>
    <definedName name="_____kvs8" hidden="1">{#N/A,#N/A,FALSE,"COVER1.XLS ";#N/A,#N/A,FALSE,"RACT1.XLS";#N/A,#N/A,FALSE,"RACT2.XLS";#N/A,#N/A,FALSE,"ECCMP";#N/A,#N/A,FALSE,"WELDER.XLS"}</definedName>
    <definedName name="_____KVS9" localSheetId="10" hidden="1">{#N/A,#N/A,FALSE,"COVER1.XLS ";#N/A,#N/A,FALSE,"RACT1.XLS";#N/A,#N/A,FALSE,"RACT2.XLS";#N/A,#N/A,FALSE,"ECCMP";#N/A,#N/A,FALSE,"WELDER.XLS"}</definedName>
    <definedName name="_____KVS9" hidden="1">{#N/A,#N/A,FALSE,"COVER1.XLS ";#N/A,#N/A,FALSE,"RACT1.XLS";#N/A,#N/A,FALSE,"RACT2.XLS";#N/A,#N/A,FALSE,"ECCMP";#N/A,#N/A,FALSE,"WELDER.XLS"}</definedName>
    <definedName name="_____l2"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Nov09" localSheetId="10" hidden="1">{"'August 2000'!$A$1:$J$101"}</definedName>
    <definedName name="_____Nov09" hidden="1">{"'August 2000'!$A$1:$J$101"}</definedName>
    <definedName name="_____PRN1" localSheetId="10" hidden="1">{#N/A,#N/A,FALSE,"COVER.XLS";#N/A,#N/A,FALSE,"RACT1.XLS";#N/A,#N/A,FALSE,"RACT2.XLS";#N/A,#N/A,FALSE,"ECCMP";#N/A,#N/A,FALSE,"WELDER.XLS"}</definedName>
    <definedName name="_____PRN1" hidden="1">{#N/A,#N/A,FALSE,"COVER.XLS";#N/A,#N/A,FALSE,"RACT1.XLS";#N/A,#N/A,FALSE,"RACT2.XLS";#N/A,#N/A,FALSE,"ECCMP";#N/A,#N/A,FALSE,"WELDER.XLS"}</definedName>
    <definedName name="_____q2" localSheetId="10" hidden="1">{#N/A,#N/A,FALSE,"COVER1.XLS ";#N/A,#N/A,FALSE,"RACT1.XLS";#N/A,#N/A,FALSE,"RACT2.XLS";#N/A,#N/A,FALSE,"ECCMP";#N/A,#N/A,FALSE,"WELDER.XLS"}</definedName>
    <definedName name="_____q2" hidden="1">{#N/A,#N/A,FALSE,"COVER1.XLS ";#N/A,#N/A,FALSE,"RACT1.XLS";#N/A,#N/A,FALSE,"RACT2.XLS";#N/A,#N/A,FALSE,"ECCMP";#N/A,#N/A,FALSE,"WELDER.XLS"}</definedName>
    <definedName name="_____SCH1">#REF!</definedName>
    <definedName name="_____SCH10">#REF!</definedName>
    <definedName name="_____SCH11">#REF!</definedName>
    <definedName name="_____SCH2">#REF!</definedName>
    <definedName name="_____SCH3">#REF!</definedName>
    <definedName name="_____SCH4">#REF!</definedName>
    <definedName name="_____SCH5">#REF!</definedName>
    <definedName name="_____SCH6">'[4]04REL'!#REF!</definedName>
    <definedName name="_____SCH7">#REF!</definedName>
    <definedName name="_____SCH8">#REF!</definedName>
    <definedName name="_____SCH9">#REF!</definedName>
    <definedName name="_____t1"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w2" localSheetId="10" hidden="1">{#N/A,#N/A,FALSE,"17MAY";#N/A,#N/A,FALSE,"24MAY"}</definedName>
    <definedName name="_____w2" hidden="1">{#N/A,#N/A,FALSE,"17MAY";#N/A,#N/A,FALSE,"24MAY"}</definedName>
    <definedName name="_____WRN1" localSheetId="10" hidden="1">{#N/A,#N/A,FALSE,"COVER1.XLS ";#N/A,#N/A,FALSE,"RACT1.XLS";#N/A,#N/A,FALSE,"RACT2.XLS";#N/A,#N/A,FALSE,"ECCMP";#N/A,#N/A,FALSE,"WELDER.XLS"}</definedName>
    <definedName name="_____WRN1" hidden="1">{#N/A,#N/A,FALSE,"COVER1.XLS ";#N/A,#N/A,FALSE,"RACT1.XLS";#N/A,#N/A,FALSE,"RACT2.XLS";#N/A,#N/A,FALSE,"ECCMP";#N/A,#N/A,FALSE,"WELDER.XLS"}</definedName>
    <definedName name="_____WRN2" localSheetId="10" hidden="1">{#N/A,#N/A,FALSE,"COVER1.XLS ";#N/A,#N/A,FALSE,"RACT1.XLS";#N/A,#N/A,FALSE,"RACT2.XLS";#N/A,#N/A,FALSE,"ECCMP";#N/A,#N/A,FALSE,"WELDER.XLS"}</definedName>
    <definedName name="_____WRN2" hidden="1">{#N/A,#N/A,FALSE,"COVER1.XLS ";#N/A,#N/A,FALSE,"RACT1.XLS";#N/A,#N/A,FALSE,"RACT2.XLS";#N/A,#N/A,FALSE,"ECCMP";#N/A,#N/A,FALSE,"WELDER.XLS"}</definedName>
    <definedName name="_____WRN3" localSheetId="10" hidden="1">{#N/A,#N/A,FALSE,"consu_cover";#N/A,#N/A,FALSE,"consu_strategy";#N/A,#N/A,FALSE,"consu_flow";#N/A,#N/A,FALSE,"Summary_reqmt";#N/A,#N/A,FALSE,"field_ppg";#N/A,#N/A,FALSE,"ppg_shop";#N/A,#N/A,FALSE,"strl";#N/A,#N/A,FALSE,"tankages";#N/A,#N/A,FALSE,"gases"}</definedName>
    <definedName name="_____WRN3" hidden="1">{#N/A,#N/A,FALSE,"consu_cover";#N/A,#N/A,FALSE,"consu_strategy";#N/A,#N/A,FALSE,"consu_flow";#N/A,#N/A,FALSE,"Summary_reqmt";#N/A,#N/A,FALSE,"field_ppg";#N/A,#N/A,FALSE,"ppg_shop";#N/A,#N/A,FALSE,"strl";#N/A,#N/A,FALSE,"tankages";#N/A,#N/A,FALSE,"gases"}</definedName>
    <definedName name="____as10" localSheetId="10" hidden="1">{"'August 2000'!$A$1:$J$101"}</definedName>
    <definedName name="____as10" hidden="1">{"'August 2000'!$A$1:$J$101"}</definedName>
    <definedName name="____C">#REF!</definedName>
    <definedName name="____SCH1">#REF!</definedName>
    <definedName name="____SCH10">#REF!</definedName>
    <definedName name="____SCH11">#REF!</definedName>
    <definedName name="____SCH2">#REF!</definedName>
    <definedName name="____SCH3">#REF!</definedName>
    <definedName name="____SCH4">#REF!</definedName>
    <definedName name="____SCH5">#REF!</definedName>
    <definedName name="____SCH6">'[4]04REL'!#REF!</definedName>
    <definedName name="____SCH7">#REF!</definedName>
    <definedName name="____SCH8">#REF!</definedName>
    <definedName name="____SCH9">#REF!</definedName>
    <definedName name="____XL__ENTER_UNIT">#REF!</definedName>
    <definedName name="___as10" localSheetId="10" hidden="1">{"'August 2000'!$A$1:$J$101"}</definedName>
    <definedName name="___as10" hidden="1">{"'August 2000'!$A$1:$J$101"}</definedName>
    <definedName name="___C">#REF!</definedName>
    <definedName name="___ESC1">#REF!</definedName>
    <definedName name="___INDEX_SHEET___ASAP_Utilities" localSheetId="10">#REF!</definedName>
    <definedName name="___INDEX_SHEET___ASAP_Utilities">#REF!</definedName>
    <definedName name="___key1" hidden="1">[5]sheet6!#REF!</definedName>
    <definedName name="___Nov09" localSheetId="10" hidden="1">{"'August 2000'!$A$1:$J$101"}</definedName>
    <definedName name="___Nov09" hidden="1">{"'August 2000'!$A$1:$J$101"}</definedName>
    <definedName name="___SCH1">#REF!</definedName>
    <definedName name="___SCH10">#REF!</definedName>
    <definedName name="___SCH11">#REF!</definedName>
    <definedName name="___SCH2">#REF!</definedName>
    <definedName name="___SCH3">#REF!</definedName>
    <definedName name="___SCH4">#REF!</definedName>
    <definedName name="___SCH5">#REF!</definedName>
    <definedName name="___SCH6">'[4]04REL'!#REF!</definedName>
    <definedName name="___SCH7">#REF!</definedName>
    <definedName name="___SCH8">#REF!</definedName>
    <definedName name="___SCH9">#REF!</definedName>
    <definedName name="___XL__ENTER_UNIT">#REF!</definedName>
    <definedName name="___xlnm.Print_Area_2">#REF!</definedName>
    <definedName name="___xlnm.Print_Area_3">#REF!</definedName>
    <definedName name="___xlnm.Print_Area_4">#REF!</definedName>
    <definedName name="__1">#REF!</definedName>
    <definedName name="__1_0脚注12_ACCOU">#REF!</definedName>
    <definedName name="__10_0脚注12_AMOU">#REF!</definedName>
    <definedName name="__11_1">#REF!</definedName>
    <definedName name="__12_35D">#REF!</definedName>
    <definedName name="__123Graph_A" hidden="1">'[6]TRIAL BALANCE'!#REF!</definedName>
    <definedName name="__123Graph_AChart1" hidden="1">#REF!</definedName>
    <definedName name="__123Graph_AChart10" hidden="1">#REF!</definedName>
    <definedName name="__123Graph_AChart11" hidden="1">#REF!</definedName>
    <definedName name="__123Graph_AChart12" hidden="1">#REF!</definedName>
    <definedName name="__123Graph_AChart2" hidden="1">#REF!</definedName>
    <definedName name="__123Graph_AChart3" hidden="1">#REF!</definedName>
    <definedName name="__123Graph_AChart4" hidden="1">#REF!</definedName>
    <definedName name="__123Graph_AChart5" hidden="1">#REF!</definedName>
    <definedName name="__123Graph_AChart6" hidden="1">#REF!</definedName>
    <definedName name="__123Graph_AChart7" hidden="1">#REF!</definedName>
    <definedName name="__123Graph_AChart8" hidden="1">#REF!</definedName>
    <definedName name="__123Graph_AChart9" hidden="1">#REF!</definedName>
    <definedName name="__123Graph_ACurrent" hidden="1">#REF!</definedName>
    <definedName name="__123Graph_ASTNPLF" hidden="1">[7]CE!#REF!</definedName>
    <definedName name="__123Graph_B" hidden="1">'[6]TRIAL BALANCE'!#REF!</definedName>
    <definedName name="__123Graph_BSTNPLF" hidden="1">[7]CE!#REF!</definedName>
    <definedName name="__123Graph_C" hidden="1">#REF!</definedName>
    <definedName name="__123Graph_CSTNPLF" hidden="1">[7]CE!#REF!</definedName>
    <definedName name="__123Graph_D" hidden="1">'[8]Anx-M'!$B$671:$B$671</definedName>
    <definedName name="__123Graph_E" hidden="1">#REF!</definedName>
    <definedName name="__123Graph_F" hidden="1">#REF!</definedName>
    <definedName name="__123Graph_X" hidden="1">'[6]TRIAL BALANCE'!#REF!</definedName>
    <definedName name="__123Graph_XSTNPLF" hidden="1">[7]CE!#REF!</definedName>
    <definedName name="__13_43B">#REF!</definedName>
    <definedName name="__14_80G">#REF!</definedName>
    <definedName name="__15RESI_PREM">#REF!</definedName>
    <definedName name="__16検索データ">#REF!</definedName>
    <definedName name="__17検索データ">[9]営業収益!#REF!</definedName>
    <definedName name="__18科目3_AMOU">#REF!</definedName>
    <definedName name="__19脚注12_AMOU">#REF!</definedName>
    <definedName name="__1RANGE_1">#REF!</definedName>
    <definedName name="__2脚注12_ACCOU">#REF!</definedName>
    <definedName name="__3_0脚注12_OPTI">#REF!</definedName>
    <definedName name="__4脚注12_OPTI">#REF!</definedName>
    <definedName name="__5_114債権残抜き出し">#REF!</definedName>
    <definedName name="__6_0_0検索データ">[9]営業収益!#REF!</definedName>
    <definedName name="__7_0409融資2部">#REF!</definedName>
    <definedName name="__8_0検索データ">#REF!</definedName>
    <definedName name="__9_0科目3_AMOU">#REF!</definedName>
    <definedName name="__APW_RESTORE_DATA0__" hidden="1">#REF!,#REF!,#REF!,#REF!,#REF!,#REF!,#REF!,#REF!,#REF!,#REF!,#REF!,#REF!,#REF!,#REF!,#REF!,#REF!,#REF!</definedName>
    <definedName name="__APW_RESTORE_DATA1__" hidden="1">#REF!,#REF!,#REF!,#REF!,#REF!,#REF!,#REF!,#REF!,#REF!,#REF!,#REF!,#REF!,#REF!,#REF!,#REF!,#REF!</definedName>
    <definedName name="__APW_RESTORE_DATA10__" hidden="1">#REF!,#REF!,#REF!,#REF!,#REF!,#REF!,#REF!,#REF!,#REF!,#REF!,#REF!,#REF!,#REF!,#REF!,#REF!</definedName>
    <definedName name="__APW_RESTORE_DATA100__" hidden="1">#REF!,#REF!,#REF!,#REF!,#REF!,#REF!,#REF!,#REF!,#REF!,#REF!,#REF!,#REF!,#REF!,#REF!,#REF!,#REF!</definedName>
    <definedName name="__APW_RESTORE_DATA101__" hidden="1">#REF!,#REF!,#REF!,#REF!,#REF!,#REF!,#REF!,#REF!,#REF!,#REF!,#REF!,#REF!,#REF!,#REF!,#REF!,#REF!</definedName>
    <definedName name="__APW_RESTORE_DATA102__" hidden="1">#REF!,#REF!,#REF!,#REF!,#REF!,#REF!,#REF!,#REF!,#REF!,#REF!,#REF!,#REF!,#REF!,#REF!,#REF!</definedName>
    <definedName name="__APW_RESTORE_DATA103__" hidden="1">#REF!,#REF!,#REF!,#REF!,#REF!,#REF!,#REF!,#REF!,#REF!,#REF!,#REF!,#REF!,#REF!,#REF!,#REF!</definedName>
    <definedName name="__APW_RESTORE_DATA104__" hidden="1">#REF!,#REF!,#REF!,#REF!,#REF!,#REF!,#REF!,#REF!,#REF!,#REF!,#REF!,#REF!,#REF!,#REF!,#REF!</definedName>
    <definedName name="__APW_RESTORE_DATA105__" hidden="1">#REF!,#REF!,#REF!,#REF!,#REF!,#REF!,#REF!,#REF!,#REF!,#REF!,#REF!,#REF!,#REF!,#REF!,#REF!</definedName>
    <definedName name="__APW_RESTORE_DATA106__" hidden="1">#REF!,#REF!,#REF!,#REF!,#REF!,#REF!,#REF!,#REF!,#REF!,#REF!,#REF!,#REF!,#REF!,#REF!,#REF!</definedName>
    <definedName name="__APW_RESTORE_DATA107__" hidden="1">#REF!,#REF!,#REF!,#REF!,#REF!,#REF!</definedName>
    <definedName name="__APW_RESTORE_DATA108__" hidden="1">#REF!,#REF!,#REF!,#REF!,#REF!,#REF!,#REF!,#REF!,#REF!,#REF!,#REF!,#REF!,#REF!,#REF!,#REF!,#REF!,#REF!</definedName>
    <definedName name="__APW_RESTORE_DATA109__" hidden="1">#REF!,#REF!,#REF!,#REF!,#REF!,#REF!,#REF!,#REF!,#REF!,#REF!,#REF!,#REF!,#REF!,#REF!,#REF!,#REF!</definedName>
    <definedName name="__APW_RESTORE_DATA11__" hidden="1">#REF!,#REF!,#REF!,#REF!,#REF!,#REF!</definedName>
    <definedName name="__APW_RESTORE_DATA110__" hidden="1">#REF!,#REF!,#REF!,#REF!,#REF!,#REF!,#REF!,#REF!,#REF!,#REF!,#REF!,#REF!,#REF!,#REF!,#REF!,#REF!</definedName>
    <definedName name="__APW_RESTORE_DATA111__" hidden="1">#REF!,#REF!,#REF!,#REF!,#REF!,#REF!,#REF!,#REF!,#REF!,#REF!,#REF!,#REF!,#REF!,#REF!,#REF!,#REF!</definedName>
    <definedName name="__APW_RESTORE_DATA112__" hidden="1">#REF!,#REF!,#REF!,#REF!,#REF!,#REF!,#REF!,#REF!,#REF!,#REF!,#REF!,#REF!,#REF!,#REF!,#REF!,#REF!</definedName>
    <definedName name="__APW_RESTORE_DATA113__" hidden="1">#REF!,#REF!,#REF!,#REF!,#REF!,#REF!,#REF!,#REF!,#REF!,#REF!,#REF!,#REF!,#REF!,#REF!,#REF!,#REF!</definedName>
    <definedName name="__APW_RESTORE_DATA114__" hidden="1">#REF!,#REF!,#REF!,#REF!,#REF!,#REF!,#REF!,#REF!,#REF!,#REF!,#REF!,#REF!,#REF!,#REF!,#REF!</definedName>
    <definedName name="__APW_RESTORE_DATA115__" hidden="1">#REF!,#REF!,#REF!,#REF!,#REF!,#REF!,#REF!,#REF!,#REF!,#REF!,#REF!,#REF!,#REF!,#REF!,#REF!</definedName>
    <definedName name="__APW_RESTORE_DATA116__" hidden="1">#REF!,#REF!,#REF!,#REF!,#REF!,#REF!,#REF!,#REF!,#REF!,#REF!,#REF!,#REF!,#REF!,#REF!,#REF!</definedName>
    <definedName name="__APW_RESTORE_DATA117__" hidden="1">#REF!,#REF!,#REF!,#REF!,#REF!,#REF!,#REF!,#REF!,#REF!,#REF!,#REF!,#REF!,#REF!,#REF!,#REF!</definedName>
    <definedName name="__APW_RESTORE_DATA118__" hidden="1">#REF!,#REF!,#REF!,#REF!,#REF!,#REF!,#REF!,#REF!,#REF!,#REF!,#REF!,#REF!,#REF!,#REF!,#REF!</definedName>
    <definedName name="__APW_RESTORE_DATA119__" hidden="1">#REF!,#REF!,#REF!,#REF!,#REF!,#REF!</definedName>
    <definedName name="__APW_RESTORE_DATA12__" hidden="1">#REF!,#REF!,#REF!,#REF!,#REF!,#REF!,#REF!,#REF!,#REF!,#REF!,#REF!,#REF!,#REF!,#REF!,#REF!,#REF!,#REF!</definedName>
    <definedName name="__APW_RESTORE_DATA120__" hidden="1">#REF!,#REF!,#REF!,#REF!,#REF!,#REF!,#REF!,#REF!,#REF!,#REF!,#REF!,#REF!,#REF!,#REF!,#REF!,#REF!,#REF!</definedName>
    <definedName name="__APW_RESTORE_DATA121__" hidden="1">#REF!,#REF!,#REF!,#REF!,#REF!,#REF!,#REF!,#REF!,#REF!,#REF!,#REF!,#REF!,#REF!,#REF!,#REF!,#REF!</definedName>
    <definedName name="__APW_RESTORE_DATA122__" hidden="1">#REF!,#REF!,#REF!,#REF!,#REF!,#REF!,#REF!,#REF!,#REF!,#REF!,#REF!,#REF!,#REF!,#REF!,#REF!,#REF!</definedName>
    <definedName name="__APW_RESTORE_DATA123__" hidden="1">#REF!,#REF!,#REF!,#REF!,#REF!,#REF!,#REF!,#REF!,#REF!,#REF!,#REF!,#REF!,#REF!,#REF!,#REF!,#REF!</definedName>
    <definedName name="__APW_RESTORE_DATA124__" hidden="1">#REF!,#REF!,#REF!,#REF!,#REF!,#REF!,#REF!,#REF!,#REF!,#REF!,#REF!,#REF!,#REF!,#REF!,#REF!,#REF!</definedName>
    <definedName name="__APW_RESTORE_DATA125__" hidden="1">#REF!,#REF!,#REF!,#REF!,#REF!,#REF!,#REF!,#REF!,#REF!,#REF!,#REF!,#REF!,#REF!,#REF!,#REF!,#REF!</definedName>
    <definedName name="__APW_RESTORE_DATA126__" hidden="1">#REF!,#REF!,#REF!,#REF!,#REF!,#REF!,#REF!,#REF!,#REF!,#REF!,#REF!,#REF!,#REF!,#REF!,#REF!</definedName>
    <definedName name="__APW_RESTORE_DATA127__" hidden="1">#REF!,#REF!,#REF!,#REF!,#REF!,#REF!,#REF!,#REF!,#REF!,#REF!,#REF!,#REF!,#REF!,#REF!,#REF!</definedName>
    <definedName name="__APW_RESTORE_DATA128__" hidden="1">#REF!,#REF!,#REF!,#REF!,#REF!,#REF!,#REF!,#REF!,#REF!,#REF!,#REF!,#REF!,#REF!,#REF!,#REF!</definedName>
    <definedName name="__APW_RESTORE_DATA129__" hidden="1">#REF!,#REF!,#REF!,#REF!,#REF!,#REF!,#REF!,#REF!,#REF!,#REF!,#REF!,#REF!,#REF!,#REF!,#REF!</definedName>
    <definedName name="__APW_RESTORE_DATA13__" hidden="1">#REF!,#REF!,#REF!,#REF!,#REF!,#REF!,#REF!,#REF!,#REF!,#REF!,#REF!,#REF!,#REF!,#REF!,#REF!,#REF!</definedName>
    <definedName name="__APW_RESTORE_DATA130__" hidden="1">#REF!,#REF!,#REF!,#REF!,#REF!,#REF!,#REF!,#REF!,#REF!,#REF!,#REF!,#REF!,#REF!,#REF!,#REF!</definedName>
    <definedName name="__APW_RESTORE_DATA131__" hidden="1">#REF!,#REF!,#REF!,#REF!,#REF!,#REF!</definedName>
    <definedName name="__APW_RESTORE_DATA132__" hidden="1">#REF!,#REF!,#REF!,#REF!,#REF!,#REF!,#REF!,#REF!,#REF!,#REF!,#REF!,#REF!,#REF!,#REF!,#REF!,#REF!,#REF!</definedName>
    <definedName name="__APW_RESTORE_DATA133__" hidden="1">#REF!,#REF!,#REF!,#REF!,#REF!,#REF!,#REF!,#REF!,#REF!,#REF!,#REF!,#REF!,#REF!,#REF!,#REF!,#REF!</definedName>
    <definedName name="__APW_RESTORE_DATA134__" hidden="1">#REF!,#REF!,#REF!,#REF!,#REF!,#REF!,#REF!,#REF!,#REF!,#REF!,#REF!,#REF!,#REF!,#REF!,#REF!,#REF!</definedName>
    <definedName name="__APW_RESTORE_DATA135__" hidden="1">#REF!,#REF!,#REF!,#REF!,#REF!,#REF!,#REF!,#REF!,#REF!,#REF!,#REF!,#REF!,#REF!,#REF!,#REF!,#REF!</definedName>
    <definedName name="__APW_RESTORE_DATA136__" hidden="1">#REF!,#REF!,#REF!,#REF!,#REF!,#REF!,#REF!,#REF!,#REF!,#REF!,#REF!,#REF!,#REF!,#REF!,#REF!,#REF!</definedName>
    <definedName name="__APW_RESTORE_DATA137__" hidden="1">#REF!,#REF!,#REF!,#REF!,#REF!,#REF!,#REF!,#REF!,#REF!,#REF!,#REF!,#REF!,#REF!,#REF!,#REF!,#REF!</definedName>
    <definedName name="__APW_RESTORE_DATA138__" hidden="1">#REF!,#REF!,#REF!,#REF!,#REF!,#REF!,#REF!,#REF!,#REF!,#REF!,#REF!,#REF!,#REF!,#REF!,#REF!</definedName>
    <definedName name="__APW_RESTORE_DATA139__" hidden="1">#REF!,#REF!,#REF!,#REF!,#REF!,#REF!,#REF!,#REF!,#REF!,#REF!,#REF!,#REF!,#REF!,#REF!,#REF!</definedName>
    <definedName name="__APW_RESTORE_DATA14__" hidden="1">#REF!,#REF!,#REF!,#REF!,#REF!,#REF!,#REF!,#REF!,#REF!,#REF!,#REF!,#REF!,#REF!,#REF!,#REF!,#REF!</definedName>
    <definedName name="__APW_RESTORE_DATA140__" hidden="1">#REF!,#REF!,#REF!,#REF!,#REF!,#REF!,#REF!,#REF!,#REF!,#REF!,#REF!,#REF!,#REF!,#REF!,#REF!</definedName>
    <definedName name="__APW_RESTORE_DATA141__" hidden="1">#REF!,#REF!,#REF!,#REF!,#REF!,#REF!,#REF!,#REF!,#REF!,#REF!,#REF!,#REF!,#REF!,#REF!,#REF!</definedName>
    <definedName name="__APW_RESTORE_DATA142__" hidden="1">#REF!,#REF!,#REF!,#REF!,#REF!,#REF!,#REF!,#REF!,#REF!,#REF!,#REF!,#REF!,#REF!,#REF!,#REF!</definedName>
    <definedName name="__APW_RESTORE_DATA143__" hidden="1">#REF!,#REF!,#REF!,#REF!,#REF!,#REF!</definedName>
    <definedName name="__APW_RESTORE_DATA144__" hidden="1">#REF!,#REF!,#REF!,#REF!,#REF!,#REF!,#REF!,#REF!,#REF!,#REF!,#REF!,#REF!,#REF!,#REF!,#REF!,#REF!,#REF!</definedName>
    <definedName name="__APW_RESTORE_DATA145__" hidden="1">#REF!,#REF!,#REF!,#REF!,#REF!,#REF!,#REF!,#REF!,#REF!,#REF!,#REF!,#REF!,#REF!,#REF!,#REF!,#REF!</definedName>
    <definedName name="__APW_RESTORE_DATA146__" hidden="1">#REF!,#REF!,#REF!,#REF!,#REF!,#REF!,#REF!,#REF!,#REF!,#REF!,#REF!,#REF!,#REF!,#REF!,#REF!,#REF!</definedName>
    <definedName name="__APW_RESTORE_DATA147__" hidden="1">#REF!,#REF!,#REF!,#REF!,#REF!,#REF!,#REF!,#REF!,#REF!,#REF!,#REF!,#REF!,#REF!,#REF!,#REF!,#REF!</definedName>
    <definedName name="__APW_RESTORE_DATA148__" hidden="1">#REF!,#REF!,#REF!,#REF!,#REF!,#REF!,#REF!,#REF!,#REF!,#REF!,#REF!,#REF!,#REF!,#REF!,#REF!,#REF!</definedName>
    <definedName name="__APW_RESTORE_DATA149__" hidden="1">#REF!,#REF!,#REF!,#REF!,#REF!,#REF!,#REF!,#REF!,#REF!,#REF!,#REF!,#REF!,#REF!,#REF!,#REF!,#REF!</definedName>
    <definedName name="__APW_RESTORE_DATA15__" hidden="1">#REF!,#REF!,#REF!,#REF!,#REF!,#REF!,#REF!,#REF!,#REF!,#REF!,#REF!,#REF!,#REF!,#REF!,#REF!,#REF!</definedName>
    <definedName name="__APW_RESTORE_DATA150__" hidden="1">#REF!,#REF!,#REF!,#REF!,#REF!,#REF!,#REF!,#REF!,#REF!,#REF!,#REF!,#REF!,#REF!,#REF!,#REF!</definedName>
    <definedName name="__APW_RESTORE_DATA151__" hidden="1">#REF!,#REF!,#REF!,#REF!,#REF!,#REF!,#REF!,#REF!,#REF!,#REF!,#REF!,#REF!,#REF!,#REF!,#REF!</definedName>
    <definedName name="__APW_RESTORE_DATA152__" hidden="1">#REF!,#REF!,#REF!,#REF!,#REF!,#REF!,#REF!,#REF!,#REF!,#REF!,#REF!,#REF!,#REF!,#REF!,#REF!</definedName>
    <definedName name="__APW_RESTORE_DATA153__" hidden="1">#REF!,#REF!,#REF!,#REF!,#REF!,#REF!,#REF!,#REF!,#REF!,#REF!,#REF!,#REF!,#REF!,#REF!,#REF!</definedName>
    <definedName name="__APW_RESTORE_DATA154__" hidden="1">#REF!,#REF!,#REF!,#REF!,#REF!,#REF!,#REF!,#REF!,#REF!,#REF!,#REF!,#REF!,#REF!,#REF!,#REF!</definedName>
    <definedName name="__APW_RESTORE_DATA155__" hidden="1">#REF!,#REF!,#REF!,#REF!,#REF!,#REF!</definedName>
    <definedName name="__APW_RESTORE_DATA156__" hidden="1">#REF!,#REF!,#REF!,#REF!,#REF!,#REF!,#REF!,#REF!,#REF!,#REF!,#REF!,#REF!,#REF!,#REF!,#REF!,#REF!,#REF!</definedName>
    <definedName name="__APW_RESTORE_DATA157__" hidden="1">#REF!,#REF!,#REF!,#REF!,#REF!,#REF!,#REF!,#REF!,#REF!,#REF!,#REF!,#REF!,#REF!,#REF!,#REF!,#REF!</definedName>
    <definedName name="__APW_RESTORE_DATA158__" hidden="1">#REF!,#REF!,#REF!,#REF!,#REF!,#REF!,#REF!,#REF!,#REF!,#REF!,#REF!,#REF!,#REF!,#REF!,#REF!,#REF!</definedName>
    <definedName name="__APW_RESTORE_DATA159__" hidden="1">#REF!,#REF!,#REF!,#REF!,#REF!,#REF!,#REF!,#REF!,#REF!,#REF!,#REF!,#REF!,#REF!,#REF!,#REF!,#REF!</definedName>
    <definedName name="__APW_RESTORE_DATA16__" hidden="1">#REF!,#REF!,#REF!,#REF!,#REF!,#REF!,#REF!,#REF!,#REF!,#REF!,#REF!,#REF!,#REF!,#REF!,#REF!,#REF!</definedName>
    <definedName name="__APW_RESTORE_DATA160__" hidden="1">#REF!,#REF!,#REF!,#REF!,#REF!,#REF!,#REF!,#REF!,#REF!,#REF!,#REF!,#REF!,#REF!,#REF!,#REF!,#REF!</definedName>
    <definedName name="__APW_RESTORE_DATA161__" hidden="1">#REF!,#REF!,#REF!,#REF!,#REF!,#REF!,#REF!,#REF!,#REF!,#REF!,#REF!,#REF!,#REF!,#REF!,#REF!,#REF!</definedName>
    <definedName name="__APW_RESTORE_DATA162__" hidden="1">#REF!,#REF!,#REF!,#REF!,#REF!,#REF!,#REF!,#REF!,#REF!,#REF!,#REF!,#REF!,#REF!,#REF!,#REF!</definedName>
    <definedName name="__APW_RESTORE_DATA163__" hidden="1">#REF!,#REF!,#REF!,#REF!,#REF!,#REF!,#REF!,#REF!,#REF!,#REF!,#REF!,#REF!,#REF!,#REF!,#REF!</definedName>
    <definedName name="__APW_RESTORE_DATA164__" hidden="1">#REF!,#REF!,#REF!,#REF!,#REF!,#REF!,#REF!,#REF!,#REF!,#REF!,#REF!,#REF!,#REF!,#REF!,#REF!</definedName>
    <definedName name="__APW_RESTORE_DATA165__" hidden="1">#REF!,#REF!,#REF!,#REF!,#REF!,#REF!,#REF!,#REF!,#REF!,#REF!,#REF!,#REF!,#REF!,#REF!,#REF!</definedName>
    <definedName name="__APW_RESTORE_DATA166__" hidden="1">#REF!,#REF!,#REF!,#REF!,#REF!,#REF!,#REF!,#REF!,#REF!,#REF!,#REF!,#REF!,#REF!,#REF!,#REF!</definedName>
    <definedName name="__APW_RESTORE_DATA167__" hidden="1">#REF!,#REF!,#REF!,#REF!,#REF!,#REF!</definedName>
    <definedName name="__APW_RESTORE_DATA168__" hidden="1">#REF!,#REF!,#REF!,#REF!,#REF!,#REF!,#REF!,#REF!,#REF!,#REF!,#REF!,#REF!,#REF!,#REF!,#REF!,#REF!,#REF!</definedName>
    <definedName name="__APW_RESTORE_DATA169__" hidden="1">#REF!,#REF!,#REF!,#REF!,#REF!,#REF!,#REF!,#REF!,#REF!,#REF!,#REF!,#REF!,#REF!,#REF!,#REF!,#REF!</definedName>
    <definedName name="__APW_RESTORE_DATA17__" hidden="1">#REF!,#REF!,#REF!,#REF!,#REF!,#REF!,#REF!,#REF!,#REF!,#REF!,#REF!,#REF!,#REF!,#REF!,#REF!,#REF!</definedName>
    <definedName name="__APW_RESTORE_DATA170__" hidden="1">#REF!,#REF!,#REF!,#REF!,#REF!,#REF!,#REF!,#REF!,#REF!,#REF!,#REF!,#REF!,#REF!,#REF!,#REF!,#REF!</definedName>
    <definedName name="__APW_RESTORE_DATA171__" hidden="1">#REF!,#REF!,#REF!,#REF!,#REF!,#REF!,#REF!,#REF!,#REF!,#REF!,#REF!,#REF!,#REF!,#REF!,#REF!,#REF!</definedName>
    <definedName name="__APW_RESTORE_DATA172__" hidden="1">#REF!,#REF!,#REF!,#REF!,#REF!,#REF!,#REF!,#REF!,#REF!,#REF!,#REF!,#REF!,#REF!,#REF!,#REF!,#REF!</definedName>
    <definedName name="__APW_RESTORE_DATA173__" hidden="1">#REF!,#REF!,#REF!,#REF!,#REF!,#REF!,#REF!,#REF!,#REF!,#REF!,#REF!,#REF!,#REF!,#REF!,#REF!,#REF!</definedName>
    <definedName name="__APW_RESTORE_DATA174__" hidden="1">#REF!,#REF!,#REF!,#REF!,#REF!,#REF!,#REF!,#REF!,#REF!,#REF!,#REF!,#REF!,#REF!,#REF!,#REF!</definedName>
    <definedName name="__APW_RESTORE_DATA175__" hidden="1">#REF!,#REF!,#REF!,#REF!,#REF!,#REF!,#REF!,#REF!,#REF!,#REF!,#REF!,#REF!,#REF!,#REF!,#REF!</definedName>
    <definedName name="__APW_RESTORE_DATA176__" hidden="1">#REF!,#REF!,#REF!,#REF!,#REF!,#REF!,#REF!,#REF!,#REF!,#REF!,#REF!,#REF!,#REF!,#REF!,#REF!</definedName>
    <definedName name="__APW_RESTORE_DATA177__" hidden="1">#REF!,#REF!,#REF!,#REF!,#REF!,#REF!,#REF!,#REF!,#REF!,#REF!,#REF!,#REF!,#REF!,#REF!,#REF!</definedName>
    <definedName name="__APW_RESTORE_DATA178__" hidden="1">#REF!,#REF!,#REF!,#REF!,#REF!,#REF!,#REF!,#REF!,#REF!,#REF!,#REF!,#REF!,#REF!,#REF!,#REF!</definedName>
    <definedName name="__APW_RESTORE_DATA179__" hidden="1">#REF!,#REF!,#REF!,#REF!,#REF!,#REF!</definedName>
    <definedName name="__APW_RESTORE_DATA18__" hidden="1">#REF!,#REF!,#REF!,#REF!,#REF!,#REF!,#REF!,#REF!,#REF!,#REF!,#REF!,#REF!,#REF!,#REF!,#REF!</definedName>
    <definedName name="__APW_RESTORE_DATA180__" hidden="1">#REF!,#REF!,#REF!,#REF!,#REF!,#REF!,#REF!,#REF!,#REF!,#REF!,#REF!,#REF!,#REF!,#REF!,#REF!,#REF!,#REF!</definedName>
    <definedName name="__APW_RESTORE_DATA181__" hidden="1">#REF!,#REF!,#REF!,#REF!,#REF!,#REF!,#REF!,#REF!,#REF!,#REF!,#REF!,#REF!,#REF!,#REF!,#REF!,#REF!</definedName>
    <definedName name="__APW_RESTORE_DATA182__" hidden="1">#REF!,#REF!,#REF!,#REF!,#REF!,#REF!,#REF!,#REF!,#REF!,#REF!,#REF!,#REF!,#REF!,#REF!,#REF!,#REF!</definedName>
    <definedName name="__APW_RESTORE_DATA183__" hidden="1">#REF!,#REF!,#REF!,#REF!,#REF!,#REF!,#REF!,#REF!,#REF!,#REF!,#REF!,#REF!,#REF!,#REF!,#REF!,#REF!</definedName>
    <definedName name="__APW_RESTORE_DATA184__" hidden="1">#REF!,#REF!,#REF!,#REF!,#REF!,#REF!,#REF!,#REF!,#REF!,#REF!,#REF!,#REF!,#REF!,#REF!,#REF!,#REF!</definedName>
    <definedName name="__APW_RESTORE_DATA185__" hidden="1">#REF!,#REF!,#REF!,#REF!,#REF!,#REF!,#REF!,#REF!,#REF!,#REF!,#REF!,#REF!,#REF!,#REF!,#REF!,#REF!</definedName>
    <definedName name="__APW_RESTORE_DATA186__" hidden="1">#REF!,#REF!,#REF!,#REF!,#REF!,#REF!,#REF!,#REF!,#REF!,#REF!,#REF!,#REF!,#REF!,#REF!,#REF!</definedName>
    <definedName name="__APW_RESTORE_DATA187__" hidden="1">#REF!,#REF!,#REF!,#REF!,#REF!,#REF!,#REF!,#REF!,#REF!,#REF!,#REF!,#REF!,#REF!,#REF!,#REF!</definedName>
    <definedName name="__APW_RESTORE_DATA188__" hidden="1">#REF!,#REF!,#REF!,#REF!,#REF!,#REF!,#REF!,#REF!,#REF!,#REF!,#REF!,#REF!,#REF!,#REF!,#REF!</definedName>
    <definedName name="__APW_RESTORE_DATA189__" hidden="1">#REF!,#REF!,#REF!,#REF!,#REF!,#REF!,#REF!,#REF!,#REF!,#REF!,#REF!,#REF!,#REF!,#REF!,#REF!</definedName>
    <definedName name="__APW_RESTORE_DATA19__" hidden="1">#REF!,#REF!,#REF!,#REF!,#REF!,#REF!,#REF!,#REF!,#REF!,#REF!,#REF!,#REF!,#REF!,#REF!,#REF!</definedName>
    <definedName name="__APW_RESTORE_DATA190__" hidden="1">#REF!,#REF!,#REF!,#REF!,#REF!,#REF!,#REF!,#REF!,#REF!,#REF!,#REF!,#REF!,#REF!,#REF!,#REF!</definedName>
    <definedName name="__APW_RESTORE_DATA191__" hidden="1">#REF!,#REF!,#REF!,#REF!,#REF!,#REF!</definedName>
    <definedName name="__APW_RESTORE_DATA192__" hidden="1">#REF!,#REF!,#REF!,#REF!,#REF!,#REF!,#REF!,#REF!,#REF!,#REF!,#REF!,#REF!,#REF!,#REF!,#REF!,#REF!,#REF!</definedName>
    <definedName name="__APW_RESTORE_DATA193__" hidden="1">#REF!,#REF!,#REF!,#REF!,#REF!,#REF!,#REF!,#REF!,#REF!,#REF!,#REF!,#REF!,#REF!,#REF!,#REF!,#REF!</definedName>
    <definedName name="__APW_RESTORE_DATA194__" hidden="1">#REF!,#REF!,#REF!,#REF!,#REF!,#REF!,#REF!,#REF!,#REF!,#REF!,#REF!,#REF!,#REF!,#REF!,#REF!,#REF!</definedName>
    <definedName name="__APW_RESTORE_DATA195__" hidden="1">#REF!,#REF!,#REF!,#REF!,#REF!,#REF!,#REF!,#REF!,#REF!,#REF!,#REF!,#REF!,#REF!,#REF!,#REF!,#REF!</definedName>
    <definedName name="__APW_RESTORE_DATA196__" hidden="1">#REF!,#REF!,#REF!,#REF!,#REF!,#REF!,#REF!,#REF!,#REF!,#REF!,#REF!,#REF!,#REF!,#REF!,#REF!,#REF!</definedName>
    <definedName name="__APW_RESTORE_DATA197__" hidden="1">#REF!,#REF!,#REF!,#REF!,#REF!,#REF!,#REF!,#REF!,#REF!,#REF!,#REF!,#REF!,#REF!,#REF!,#REF!,#REF!</definedName>
    <definedName name="__APW_RESTORE_DATA198__" hidden="1">#REF!,#REF!,#REF!,#REF!,#REF!,#REF!,#REF!,#REF!,#REF!,#REF!,#REF!,#REF!,#REF!,#REF!,#REF!</definedName>
    <definedName name="__APW_RESTORE_DATA199__" hidden="1">#REF!,#REF!,#REF!,#REF!,#REF!,#REF!,#REF!,#REF!,#REF!,#REF!,#REF!,#REF!,#REF!,#REF!,#REF!,#REF!,#REF!</definedName>
    <definedName name="__APW_RESTORE_DATA2__" hidden="1">#REF!,#REF!,#REF!,#REF!,#REF!,#REF!,#REF!,#REF!,#REF!,#REF!,#REF!,#REF!,#REF!,#REF!,#REF!,#REF!</definedName>
    <definedName name="__APW_RESTORE_DATA20__" hidden="1">#REF!,#REF!,#REF!,#REF!,#REF!,#REF!,#REF!,#REF!,#REF!,#REF!,#REF!,#REF!,#REF!,#REF!,#REF!</definedName>
    <definedName name="__APW_RESTORE_DATA200__" hidden="1">#REF!,#REF!,#REF!,#REF!,#REF!,#REF!,#REF!,#REF!,#REF!,#REF!,#REF!,#REF!,#REF!,#REF!,#REF!,#REF!</definedName>
    <definedName name="__APW_RESTORE_DATA201__" hidden="1">#REF!,#REF!,#REF!,#REF!,#REF!,#REF!,#REF!,#REF!,#REF!,#REF!,#REF!,#REF!,#REF!,#REF!,#REF!,#REF!</definedName>
    <definedName name="__APW_RESTORE_DATA202__" hidden="1">#REF!,#REF!,#REF!,#REF!,#REF!,#REF!,#REF!,#REF!,#REF!,#REF!,#REF!,#REF!,#REF!,#REF!,#REF!,#REF!</definedName>
    <definedName name="__APW_RESTORE_DATA203__" hidden="1">#REF!,#REF!,#REF!,#REF!,#REF!,#REF!,#REF!,#REF!,#REF!,#REF!,#REF!,#REF!,#REF!,#REF!,#REF!,#REF!</definedName>
    <definedName name="__APW_RESTORE_DATA204__" hidden="1">#REF!,#REF!,#REF!,#REF!,#REF!,#REF!,#REF!,#REF!,#REF!,#REF!,#REF!,#REF!,#REF!,#REF!,#REF!,#REF!</definedName>
    <definedName name="__APW_RESTORE_DATA205__" hidden="1">#REF!,#REF!,#REF!,#REF!,#REF!,#REF!,#REF!,#REF!,#REF!,#REF!,#REF!,#REF!,#REF!,#REF!,#REF!</definedName>
    <definedName name="__APW_RESTORE_DATA206__" hidden="1">#REF!,#REF!,#REF!,#REF!,#REF!,#REF!,#REF!,#REF!,#REF!,#REF!,#REF!,#REF!,#REF!,#REF!,#REF!</definedName>
    <definedName name="__APW_RESTORE_DATA207__" hidden="1">#REF!,#REF!,#REF!,#REF!,#REF!,#REF!,#REF!,#REF!,#REF!,#REF!,#REF!,#REF!,#REF!,#REF!,#REF!</definedName>
    <definedName name="__APW_RESTORE_DATA208__" hidden="1">#REF!,#REF!,#REF!,#REF!,#REF!,#REF!,#REF!,#REF!,#REF!,#REF!,#REF!,#REF!,#REF!,#REF!,#REF!</definedName>
    <definedName name="__APW_RESTORE_DATA209__" hidden="1">#REF!,#REF!,#REF!,#REF!,#REF!,#REF!,#REF!,#REF!,#REF!,#REF!,#REF!,#REF!,#REF!,#REF!</definedName>
    <definedName name="__APW_RESTORE_DATA21__" hidden="1">#REF!,#REF!,#REF!,#REF!,#REF!,#REF!,#REF!,#REF!,#REF!,#REF!,#REF!,#REF!,#REF!,#REF!,#REF!</definedName>
    <definedName name="__APW_RESTORE_DATA210__" hidden="1">#REF!,#REF!,#REF!,#REF!,#REF!,#REF!,#REF!,#REF!,#REF!,#REF!,#REF!,#REF!,#REF!,#REF!,#REF!,#REF!,#REF!</definedName>
    <definedName name="__APW_RESTORE_DATA211__" hidden="1">#REF!,#REF!,#REF!,#REF!,#REF!,#REF!,#REF!,#REF!,#REF!,#REF!,#REF!,#REF!,#REF!,#REF!,#REF!,#REF!</definedName>
    <definedName name="__APW_RESTORE_DATA212__" hidden="1">#REF!,#REF!,#REF!,#REF!,#REF!,#REF!,#REF!,#REF!,#REF!,#REF!,#REF!,#REF!,#REF!,#REF!,#REF!,#REF!</definedName>
    <definedName name="__APW_RESTORE_DATA213__" hidden="1">#REF!,#REF!,#REF!,#REF!,#REF!,#REF!,#REF!,#REF!,#REF!,#REF!,#REF!,#REF!,#REF!,#REF!,#REF!,#REF!</definedName>
    <definedName name="__APW_RESTORE_DATA214__" hidden="1">#REF!,#REF!,#REF!,#REF!,#REF!,#REF!,#REF!,#REF!,#REF!,#REF!,#REF!,#REF!,#REF!,#REF!,#REF!,#REF!</definedName>
    <definedName name="__APW_RESTORE_DATA215__" hidden="1">#REF!,#REF!,#REF!,#REF!,#REF!,#REF!,#REF!,#REF!,#REF!,#REF!,#REF!,#REF!,#REF!,#REF!,#REF!,#REF!</definedName>
    <definedName name="__APW_RESTORE_DATA216__" hidden="1">#REF!,#REF!,#REF!,#REF!,#REF!,#REF!,#REF!,#REF!,#REF!,#REF!,#REF!,#REF!,#REF!,#REF!,#REF!</definedName>
    <definedName name="__APW_RESTORE_DATA217__" hidden="1">#REF!,#REF!,#REF!,#REF!,#REF!,#REF!,#REF!,#REF!,#REF!,#REF!,#REF!,#REF!,#REF!,#REF!,#REF!</definedName>
    <definedName name="__APW_RESTORE_DATA218__" hidden="1">#REF!,#REF!,#REF!,#REF!,#REF!,#REF!,#REF!,#REF!,#REF!,#REF!,#REF!,#REF!,#REF!,#REF!,#REF!</definedName>
    <definedName name="__APW_RESTORE_DATA219__" hidden="1">#REF!,#REF!,#REF!,#REF!,#REF!,#REF!,#REF!,#REF!,#REF!,#REF!,#REF!,#REF!,#REF!,#REF!,#REF!</definedName>
    <definedName name="__APW_RESTORE_DATA22__" hidden="1">#REF!,#REF!,#REF!,#REF!,#REF!,#REF!,#REF!,#REF!,#REF!,#REF!,#REF!,#REF!,#REF!,#REF!,#REF!</definedName>
    <definedName name="__APW_RESTORE_DATA220__" hidden="1">#REF!,#REF!,#REF!,#REF!,#REF!,#REF!,#REF!,#REF!,#REF!,#REF!,#REF!,#REF!,#REF!,#REF!</definedName>
    <definedName name="__APW_RESTORE_DATA221__" hidden="1">#REF!,#REF!,#REF!,#REF!,#REF!,#REF!,#REF!,#REF!,#REF!,#REF!,#REF!,#REF!,#REF!,#REF!,#REF!,#REF!,#REF!</definedName>
    <definedName name="__APW_RESTORE_DATA222__" hidden="1">#REF!,#REF!,#REF!,#REF!,#REF!,#REF!,#REF!,#REF!,#REF!,#REF!,#REF!,#REF!,#REF!,#REF!,#REF!,#REF!</definedName>
    <definedName name="__APW_RESTORE_DATA223__" hidden="1">#REF!,#REF!,#REF!,#REF!,#REF!,#REF!,#REF!,#REF!,#REF!,#REF!,#REF!,#REF!,#REF!,#REF!,#REF!,#REF!</definedName>
    <definedName name="__APW_RESTORE_DATA224__" hidden="1">#REF!,#REF!,#REF!,#REF!,#REF!,#REF!,#REF!,#REF!,#REF!,#REF!,#REF!,#REF!,#REF!,#REF!,#REF!,#REF!</definedName>
    <definedName name="__APW_RESTORE_DATA225__" hidden="1">#REF!,#REF!,#REF!,#REF!,#REF!,#REF!,#REF!,#REF!,#REF!,#REF!,#REF!,#REF!,#REF!,#REF!,#REF!,#REF!</definedName>
    <definedName name="__APW_RESTORE_DATA226__" hidden="1">#REF!,#REF!,#REF!,#REF!,#REF!,#REF!,#REF!,#REF!,#REF!,#REF!,#REF!,#REF!,#REF!,#REF!,#REF!,#REF!</definedName>
    <definedName name="__APW_RESTORE_DATA227__" hidden="1">#REF!,#REF!,#REF!,#REF!,#REF!,#REF!,#REF!,#REF!,#REF!,#REF!,#REF!,#REF!,#REF!,#REF!,#REF!</definedName>
    <definedName name="__APW_RESTORE_DATA228__" hidden="1">#REF!,#REF!,#REF!,#REF!,#REF!,#REF!,#REF!,#REF!,#REF!,#REF!,#REF!,#REF!,#REF!,#REF!,#REF!</definedName>
    <definedName name="__APW_RESTORE_DATA229__" hidden="1">#REF!,#REF!,#REF!,#REF!,#REF!,#REF!,#REF!,#REF!,#REF!,#REF!,#REF!,#REF!,#REF!,#REF!,#REF!</definedName>
    <definedName name="__APW_RESTORE_DATA23__" hidden="1">#REF!,#REF!,#REF!,#REF!,#REF!,#REF!</definedName>
    <definedName name="__APW_RESTORE_DATA230__" hidden="1">#REF!,#REF!,#REF!,#REF!,#REF!,#REF!,#REF!,#REF!,#REF!,#REF!,#REF!,#REF!,#REF!,#REF!,#REF!</definedName>
    <definedName name="__APW_RESTORE_DATA231__" hidden="1">#REF!,#REF!,#REF!,#REF!,#REF!,#REF!,#REF!,#REF!,#REF!,#REF!,#REF!,#REF!,#REF!,#REF!</definedName>
    <definedName name="__APW_RESTORE_DATA232__" hidden="1">#REF!,#REF!,#REF!,#REF!,#REF!,#REF!,#REF!,#REF!,#REF!,#REF!,#REF!,#REF!,#REF!,#REF!,#REF!,#REF!,#REF!</definedName>
    <definedName name="__APW_RESTORE_DATA233__" hidden="1">#REF!,#REF!,#REF!,#REF!,#REF!,#REF!,#REF!,#REF!,#REF!,#REF!,#REF!,#REF!,#REF!,#REF!,#REF!,#REF!</definedName>
    <definedName name="__APW_RESTORE_DATA234__" hidden="1">#REF!,#REF!,#REF!,#REF!,#REF!,#REF!,#REF!,#REF!,#REF!,#REF!,#REF!,#REF!,#REF!,#REF!,#REF!,#REF!</definedName>
    <definedName name="__APW_RESTORE_DATA235__" hidden="1">#REF!,#REF!,#REF!,#REF!,#REF!,#REF!,#REF!,#REF!,#REF!,#REF!,#REF!,#REF!,#REF!,#REF!,#REF!,#REF!</definedName>
    <definedName name="__APW_RESTORE_DATA236__" hidden="1">#REF!,#REF!,#REF!,#REF!,#REF!,#REF!,#REF!,#REF!,#REF!,#REF!,#REF!,#REF!,#REF!,#REF!,#REF!,#REF!</definedName>
    <definedName name="__APW_RESTORE_DATA237__" hidden="1">#REF!,#REF!,#REF!,#REF!,#REF!,#REF!,#REF!,#REF!,#REF!,#REF!,#REF!,#REF!,#REF!,#REF!,#REF!,#REF!</definedName>
    <definedName name="__APW_RESTORE_DATA238__" hidden="1">#REF!,#REF!,#REF!,#REF!,#REF!,#REF!,#REF!,#REF!,#REF!,#REF!,#REF!,#REF!,#REF!,#REF!,#REF!</definedName>
    <definedName name="__APW_RESTORE_DATA239__" hidden="1">#REF!,#REF!,#REF!,#REF!,#REF!,#REF!,#REF!,#REF!,#REF!,#REF!,#REF!,#REF!,#REF!,#REF!,#REF!</definedName>
    <definedName name="__APW_RESTORE_DATA24__" hidden="1">#REF!,#REF!,#REF!,#REF!,#REF!,#REF!,#REF!,#REF!,#REF!,#REF!,#REF!,#REF!,#REF!,#REF!,#REF!,#REF!,#REF!</definedName>
    <definedName name="__APW_RESTORE_DATA240__" hidden="1">#REF!,#REF!,#REF!,#REF!,#REF!,#REF!,#REF!,#REF!,#REF!,#REF!,#REF!,#REF!,#REF!,#REF!,#REF!</definedName>
    <definedName name="__APW_RESTORE_DATA241__" hidden="1">#REF!,#REF!,#REF!,#REF!,#REF!,#REF!,#REF!,#REF!,#REF!,#REF!,#REF!,#REF!,#REF!,#REF!,#REF!</definedName>
    <definedName name="__APW_RESTORE_DATA242__" hidden="1">#REF!,#REF!,#REF!,#REF!,#REF!,#REF!,#REF!,#REF!,#REF!,#REF!,#REF!,#REF!,#REF!,#REF!</definedName>
    <definedName name="__APW_RESTORE_DATA243__" hidden="1">#REF!,#REF!,#REF!,#REF!,#REF!,#REF!,#REF!,#REF!,#REF!,#REF!,#REF!,#REF!,#REF!,#REF!,#REF!,#REF!,#REF!</definedName>
    <definedName name="__APW_RESTORE_DATA244__" hidden="1">#REF!,#REF!,#REF!,#REF!,#REF!,#REF!,#REF!,#REF!,#REF!,#REF!,#REF!,#REF!,#REF!,#REF!,#REF!,#REF!</definedName>
    <definedName name="__APW_RESTORE_DATA245__" hidden="1">#REF!,#REF!,#REF!,#REF!,#REF!,#REF!,#REF!,#REF!,#REF!,#REF!,#REF!,#REF!,#REF!,#REF!,#REF!,#REF!</definedName>
    <definedName name="__APW_RESTORE_DATA246__" hidden="1">#REF!,#REF!,#REF!,#REF!,#REF!,#REF!,#REF!,#REF!,#REF!,#REF!,#REF!,#REF!,#REF!,#REF!,#REF!,#REF!</definedName>
    <definedName name="__APW_RESTORE_DATA247__" hidden="1">#REF!,#REF!,#REF!,#REF!,#REF!,#REF!,#REF!,#REF!,#REF!,#REF!,#REF!,#REF!,#REF!,#REF!,#REF!,#REF!</definedName>
    <definedName name="__APW_RESTORE_DATA248__" hidden="1">#REF!,#REF!,#REF!,#REF!,#REF!,#REF!,#REF!,#REF!,#REF!,#REF!,#REF!,#REF!,#REF!,#REF!,#REF!,#REF!</definedName>
    <definedName name="__APW_RESTORE_DATA249__" hidden="1">#REF!,#REF!,#REF!,#REF!,#REF!,#REF!,#REF!,#REF!,#REF!,#REF!,#REF!,#REF!,#REF!,#REF!,#REF!</definedName>
    <definedName name="__APW_RESTORE_DATA25__" hidden="1">#REF!,#REF!,#REF!,#REF!,#REF!,#REF!,#REF!,#REF!,#REF!,#REF!,#REF!,#REF!,#REF!,#REF!,#REF!,#REF!</definedName>
    <definedName name="__APW_RESTORE_DATA250__" hidden="1">#REF!,#REF!,#REF!,#REF!,#REF!,#REF!,#REF!,#REF!,#REF!,#REF!,#REF!,#REF!,#REF!,#REF!,#REF!</definedName>
    <definedName name="__APW_RESTORE_DATA251__" hidden="1">#REF!,#REF!,#REF!,#REF!,#REF!,#REF!,#REF!,#REF!,#REF!,#REF!,#REF!,#REF!,#REF!,#REF!,#REF!</definedName>
    <definedName name="__APW_RESTORE_DATA252__" hidden="1">#REF!,#REF!,#REF!,#REF!,#REF!,#REF!,#REF!,#REF!,#REF!,#REF!,#REF!,#REF!,#REF!,#REF!,#REF!</definedName>
    <definedName name="__APW_RESTORE_DATA253__" hidden="1">#REF!,#REF!,#REF!,#REF!,#REF!,#REF!,#REF!,#REF!,#REF!,#REF!,#REF!,#REF!,#REF!,#REF!</definedName>
    <definedName name="__APW_RESTORE_DATA254__" hidden="1">#REF!,#REF!,#REF!,#REF!,#REF!,#REF!,#REF!,#REF!,#REF!,#REF!,#REF!,#REF!,#REF!,#REF!,#REF!,#REF!,#REF!</definedName>
    <definedName name="__APW_RESTORE_DATA255__" hidden="1">#REF!,#REF!,#REF!,#REF!,#REF!,#REF!,#REF!,#REF!,#REF!,#REF!,#REF!,#REF!,#REF!,#REF!,#REF!,#REF!</definedName>
    <definedName name="__APW_RESTORE_DATA256__" hidden="1">#REF!,#REF!,#REF!,#REF!,#REF!,#REF!,#REF!,#REF!,#REF!,#REF!,#REF!,#REF!,#REF!,#REF!,#REF!,#REF!</definedName>
    <definedName name="__APW_RESTORE_DATA257__" hidden="1">#REF!,#REF!,#REF!,#REF!,#REF!,#REF!,#REF!,#REF!,#REF!,#REF!,#REF!,#REF!,#REF!,#REF!,#REF!,#REF!</definedName>
    <definedName name="__APW_RESTORE_DATA258__" hidden="1">#REF!,#REF!,#REF!,#REF!,#REF!,#REF!,#REF!,#REF!,#REF!,#REF!,#REF!,#REF!,#REF!,#REF!,#REF!,#REF!</definedName>
    <definedName name="__APW_RESTORE_DATA259__" hidden="1">#REF!,#REF!,#REF!,#REF!,#REF!,#REF!,#REF!,#REF!,#REF!,#REF!,#REF!,#REF!,#REF!,#REF!,#REF!,#REF!</definedName>
    <definedName name="__APW_RESTORE_DATA26__" hidden="1">#REF!,#REF!,#REF!,#REF!,#REF!,#REF!,#REF!,#REF!,#REF!,#REF!,#REF!,#REF!,#REF!,#REF!,#REF!,#REF!</definedName>
    <definedName name="__APW_RESTORE_DATA260__" hidden="1">#REF!,#REF!,#REF!,#REF!,#REF!,#REF!,#REF!,#REF!,#REF!,#REF!,#REF!,#REF!,#REF!,#REF!,#REF!</definedName>
    <definedName name="__APW_RESTORE_DATA261__" hidden="1">#REF!,#REF!,#REF!,#REF!,#REF!,#REF!,#REF!,#REF!,#REF!,#REF!,#REF!,#REF!,#REF!,#REF!,#REF!</definedName>
    <definedName name="__APW_RESTORE_DATA262__" hidden="1">#REF!,#REF!,#REF!,#REF!,#REF!,#REF!,#REF!,#REF!,#REF!,#REF!,#REF!,#REF!,#REF!,#REF!,#REF!</definedName>
    <definedName name="__APW_RESTORE_DATA263__" hidden="1">#REF!,#REF!,#REF!,#REF!,#REF!,#REF!,#REF!,#REF!,#REF!,#REF!,#REF!,#REF!,#REF!,#REF!,#REF!</definedName>
    <definedName name="__APW_RESTORE_DATA264__" hidden="1">#REF!,#REF!,#REF!,#REF!,#REF!,#REF!,#REF!,#REF!,#REF!,#REF!,#REF!,#REF!,#REF!,#REF!</definedName>
    <definedName name="__APW_RESTORE_DATA265__" hidden="1">#REF!,#REF!,#REF!,#REF!,#REF!,#REF!,#REF!,#REF!,#REF!,#REF!,#REF!,#REF!,#REF!,#REF!,#REF!,#REF!,#REF!</definedName>
    <definedName name="__APW_RESTORE_DATA266__" hidden="1">#REF!,#REF!,#REF!,#REF!,#REF!,#REF!,#REF!,#REF!,#REF!,#REF!,#REF!,#REF!,#REF!,#REF!,#REF!,#REF!</definedName>
    <definedName name="__APW_RESTORE_DATA267__" hidden="1">#REF!,#REF!,#REF!,#REF!,#REF!,#REF!,#REF!,#REF!,#REF!,#REF!,#REF!,#REF!,#REF!,#REF!,#REF!,#REF!</definedName>
    <definedName name="__APW_RESTORE_DATA268__" hidden="1">#REF!,#REF!,#REF!,#REF!,#REF!,#REF!,#REF!,#REF!,#REF!,#REF!,#REF!,#REF!,#REF!,#REF!,#REF!,#REF!</definedName>
    <definedName name="__APW_RESTORE_DATA269__" hidden="1">#REF!,#REF!,#REF!,#REF!,#REF!,#REF!,#REF!,#REF!,#REF!,#REF!,#REF!,#REF!,#REF!,#REF!,#REF!,#REF!</definedName>
    <definedName name="__APW_RESTORE_DATA27__" hidden="1">#REF!,#REF!,#REF!,#REF!,#REF!,#REF!,#REF!,#REF!,#REF!,#REF!,#REF!,#REF!,#REF!,#REF!,#REF!,#REF!</definedName>
    <definedName name="__APW_RESTORE_DATA270__" hidden="1">#REF!,#REF!,#REF!,#REF!,#REF!,#REF!,#REF!,#REF!,#REF!,#REF!,#REF!,#REF!,#REF!,#REF!,#REF!,#REF!</definedName>
    <definedName name="__APW_RESTORE_DATA271__" hidden="1">#REF!,#REF!,#REF!,#REF!,#REF!,#REF!,#REF!,#REF!,#REF!,#REF!,#REF!,#REF!,#REF!,#REF!,#REF!</definedName>
    <definedName name="__APW_RESTORE_DATA272__" hidden="1">#REF!,#REF!,#REF!,#REF!,#REF!,#REF!,#REF!,#REF!,#REF!,#REF!,#REF!,#REF!,#REF!,#REF!,#REF!</definedName>
    <definedName name="__APW_RESTORE_DATA273__" hidden="1">#REF!,#REF!,#REF!,#REF!,#REF!,#REF!,#REF!,#REF!,#REF!,#REF!,#REF!,#REF!,#REF!,#REF!,#REF!</definedName>
    <definedName name="__APW_RESTORE_DATA274__" hidden="1">#REF!,#REF!,#REF!,#REF!,#REF!,#REF!,#REF!,#REF!,#REF!,#REF!,#REF!,#REF!,#REF!,#REF!,#REF!</definedName>
    <definedName name="__APW_RESTORE_DATA275__" hidden="1">#REF!,#REF!,#REF!,#REF!,#REF!,#REF!,#REF!,#REF!,#REF!,#REF!,#REF!,#REF!,#REF!,#REF!</definedName>
    <definedName name="__APW_RESTORE_DATA276__" hidden="1">#REF!,#REF!,#REF!,#REF!,#REF!,#REF!,#REF!,#REF!,#REF!,#REF!,#REF!,#REF!,#REF!,#REF!,#REF!,#REF!,#REF!</definedName>
    <definedName name="__APW_RESTORE_DATA277__" hidden="1">#REF!,#REF!,#REF!,#REF!,#REF!,#REF!,#REF!,#REF!,#REF!,#REF!,#REF!,#REF!,#REF!,#REF!,#REF!,#REF!</definedName>
    <definedName name="__APW_RESTORE_DATA278__" hidden="1">#REF!,#REF!,#REF!,#REF!,#REF!,#REF!,#REF!,#REF!,#REF!,#REF!,#REF!,#REF!,#REF!,#REF!,#REF!,#REF!</definedName>
    <definedName name="__APW_RESTORE_DATA279__" hidden="1">#REF!,#REF!,#REF!,#REF!,#REF!,#REF!,#REF!,#REF!,#REF!,#REF!,#REF!,#REF!,#REF!,#REF!,#REF!,#REF!</definedName>
    <definedName name="__APW_RESTORE_DATA28__" hidden="1">#REF!,#REF!,#REF!,#REF!,#REF!,#REF!,#REF!,#REF!,#REF!,#REF!,#REF!,#REF!,#REF!,#REF!,#REF!,#REF!</definedName>
    <definedName name="__APW_RESTORE_DATA280__" hidden="1">#REF!,#REF!,#REF!,#REF!,#REF!,#REF!,#REF!,#REF!,#REF!,#REF!,#REF!,#REF!,#REF!,#REF!,#REF!,#REF!</definedName>
    <definedName name="__APW_RESTORE_DATA281__" hidden="1">#REF!,#REF!,#REF!,#REF!,#REF!,#REF!,#REF!,#REF!,#REF!,#REF!,#REF!,#REF!,#REF!,#REF!,#REF!,#REF!</definedName>
    <definedName name="__APW_RESTORE_DATA282__" hidden="1">#REF!,#REF!,#REF!,#REF!,#REF!,#REF!,#REF!,#REF!,#REF!,#REF!,#REF!,#REF!,#REF!,#REF!,#REF!</definedName>
    <definedName name="__APW_RESTORE_DATA283__" hidden="1">#REF!,#REF!,#REF!,#REF!,#REF!,#REF!,#REF!,#REF!,#REF!,#REF!,#REF!,#REF!,#REF!,#REF!,#REF!</definedName>
    <definedName name="__APW_RESTORE_DATA284__" hidden="1">#REF!,#REF!,#REF!,#REF!,#REF!,#REF!,#REF!,#REF!,#REF!,#REF!,#REF!,#REF!,#REF!,#REF!,#REF!</definedName>
    <definedName name="__APW_RESTORE_DATA285__" hidden="1">#REF!,#REF!,#REF!,#REF!,#REF!,#REF!,#REF!,#REF!,#REF!,#REF!,#REF!,#REF!,#REF!,#REF!,#REF!</definedName>
    <definedName name="__APW_RESTORE_DATA286__" hidden="1">#REF!,#REF!,#REF!,#REF!,#REF!,#REF!,#REF!,#REF!,#REF!,#REF!,#REF!,#REF!,#REF!,#REF!</definedName>
    <definedName name="__APW_RESTORE_DATA287__" hidden="1">#REF!,#REF!,#REF!,#REF!,#REF!,#REF!,#REF!,#REF!,#REF!,#REF!,#REF!,#REF!,#REF!,#REF!,#REF!,#REF!,#REF!</definedName>
    <definedName name="__APW_RESTORE_DATA288__" hidden="1">#REF!,#REF!,#REF!,#REF!,#REF!,#REF!,#REF!,#REF!,#REF!,#REF!,#REF!,#REF!,#REF!,#REF!,#REF!,#REF!</definedName>
    <definedName name="__APW_RESTORE_DATA289__" hidden="1">#REF!,#REF!,#REF!,#REF!,#REF!,#REF!,#REF!,#REF!,#REF!,#REF!,#REF!,#REF!,#REF!,#REF!,#REF!,#REF!</definedName>
    <definedName name="__APW_RESTORE_DATA29__" hidden="1">#REF!,#REF!,#REF!,#REF!,#REF!,#REF!,#REF!,#REF!,#REF!,#REF!,#REF!,#REF!,#REF!,#REF!,#REF!,#REF!</definedName>
    <definedName name="__APW_RESTORE_DATA290__" hidden="1">#REF!,#REF!,#REF!,#REF!,#REF!,#REF!,#REF!,#REF!,#REF!,#REF!,#REF!,#REF!,#REF!,#REF!,#REF!,#REF!</definedName>
    <definedName name="__APW_RESTORE_DATA291__" hidden="1">#REF!,#REF!,#REF!,#REF!,#REF!,#REF!,#REF!,#REF!,#REF!,#REF!,#REF!,#REF!,#REF!,#REF!,#REF!,#REF!</definedName>
    <definedName name="__APW_RESTORE_DATA292__" hidden="1">#REF!,#REF!,#REF!,#REF!,#REF!,#REF!,#REF!,#REF!,#REF!,#REF!,#REF!,#REF!,#REF!,#REF!,#REF!,#REF!</definedName>
    <definedName name="__APW_RESTORE_DATA293__" hidden="1">#REF!,#REF!,#REF!,#REF!,#REF!,#REF!,#REF!,#REF!,#REF!,#REF!,#REF!,#REF!,#REF!,#REF!,#REF!</definedName>
    <definedName name="__APW_RESTORE_DATA294__" hidden="1">#REF!,#REF!,#REF!,#REF!,#REF!,#REF!,#REF!,#REF!,#REF!,#REF!,#REF!,#REF!,#REF!,#REF!,#REF!</definedName>
    <definedName name="__APW_RESTORE_DATA295__" hidden="1">#REF!,#REF!,#REF!,#REF!,#REF!,#REF!,#REF!,#REF!,#REF!,#REF!,#REF!,#REF!,#REF!,#REF!,#REF!</definedName>
    <definedName name="__APW_RESTORE_DATA296__" hidden="1">#REF!,#REF!,#REF!,#REF!,#REF!,#REF!,#REF!,#REF!,#REF!,#REF!,#REF!,#REF!,#REF!,#REF!,#REF!</definedName>
    <definedName name="__APW_RESTORE_DATA297__" hidden="1">#REF!,#REF!,#REF!,#REF!,#REF!,#REF!,#REF!,#REF!,#REF!,#REF!,#REF!,#REF!,#REF!,#REF!</definedName>
    <definedName name="__APW_RESTORE_DATA298__" hidden="1">#REF!,#REF!,#REF!,#REF!,#REF!,#REF!,#REF!,#REF!,#REF!,#REF!,#REF!,#REF!,#REF!,#REF!,#REF!,#REF!,#REF!</definedName>
    <definedName name="__APW_RESTORE_DATA299__" hidden="1">#REF!,#REF!,#REF!,#REF!,#REF!,#REF!,#REF!,#REF!,#REF!,#REF!,#REF!,#REF!,#REF!,#REF!,#REF!,#REF!</definedName>
    <definedName name="__APW_RESTORE_DATA3__" hidden="1">#REF!,#REF!,#REF!,#REF!,#REF!,#REF!,#REF!,#REF!,#REF!,#REF!,#REF!,#REF!,#REF!,#REF!,#REF!,#REF!</definedName>
    <definedName name="__APW_RESTORE_DATA30__" hidden="1">#REF!,#REF!,#REF!,#REF!,#REF!,#REF!,#REF!,#REF!,#REF!,#REF!,#REF!,#REF!,#REF!,#REF!,#REF!</definedName>
    <definedName name="__APW_RESTORE_DATA300__" hidden="1">#REF!,#REF!,#REF!,#REF!,#REF!,#REF!,#REF!,#REF!,#REF!,#REF!,#REF!,#REF!,#REF!,#REF!,#REF!,#REF!</definedName>
    <definedName name="__APW_RESTORE_DATA301__" hidden="1">#REF!,#REF!,#REF!,#REF!,#REF!,#REF!,#REF!,#REF!,#REF!,#REF!,#REF!,#REF!,#REF!,#REF!,#REF!,#REF!</definedName>
    <definedName name="__APW_RESTORE_DATA302__" hidden="1">#REF!,#REF!,#REF!,#REF!,#REF!,#REF!,#REF!,#REF!,#REF!,#REF!,#REF!,#REF!,#REF!,#REF!,#REF!,#REF!</definedName>
    <definedName name="__APW_RESTORE_DATA303__" hidden="1">#REF!,#REF!,#REF!,#REF!,#REF!,#REF!,#REF!,#REF!,#REF!,#REF!,#REF!,#REF!,#REF!,#REF!,#REF!,#REF!</definedName>
    <definedName name="__APW_RESTORE_DATA304__" hidden="1">#REF!,#REF!,#REF!,#REF!,#REF!,#REF!,#REF!,#REF!,#REF!,#REF!,#REF!,#REF!,#REF!,#REF!,#REF!</definedName>
    <definedName name="__APW_RESTORE_DATA305__" hidden="1">#REF!,#REF!,#REF!,#REF!,#REF!,#REF!,#REF!,#REF!,#REF!,#REF!,#REF!,#REF!,#REF!,#REF!,#REF!</definedName>
    <definedName name="__APW_RESTORE_DATA306__" hidden="1">#REF!,#REF!,#REF!,#REF!,#REF!,#REF!,#REF!,#REF!,#REF!,#REF!,#REF!,#REF!,#REF!,#REF!,#REF!</definedName>
    <definedName name="__APW_RESTORE_DATA307__" hidden="1">#REF!,#REF!,#REF!,#REF!,#REF!,#REF!,#REF!,#REF!,#REF!,#REF!,#REF!,#REF!,#REF!,#REF!,#REF!</definedName>
    <definedName name="__APW_RESTORE_DATA308__" hidden="1">#REF!,#REF!,#REF!,#REF!,#REF!,#REF!,#REF!,#REF!,#REF!,#REF!,#REF!,#REF!,#REF!,#REF!</definedName>
    <definedName name="__APW_RESTORE_DATA309__" hidden="1">#REF!,#REF!,#REF!,#REF!,#REF!,#REF!,#REF!,#REF!,#REF!,#REF!,#REF!,#REF!,#REF!,#REF!,#REF!,#REF!,#REF!</definedName>
    <definedName name="__APW_RESTORE_DATA31__" hidden="1">#REF!,#REF!,#REF!,#REF!,#REF!,#REF!,#REF!,#REF!,#REF!,#REF!,#REF!,#REF!,#REF!,#REF!,#REF!</definedName>
    <definedName name="__APW_RESTORE_DATA310__" hidden="1">#REF!,#REF!,#REF!,#REF!,#REF!,#REF!,#REF!,#REF!,#REF!,#REF!,#REF!,#REF!,#REF!,#REF!,#REF!,#REF!</definedName>
    <definedName name="__APW_RESTORE_DATA311__" hidden="1">#REF!,#REF!,#REF!,#REF!,#REF!,#REF!,#REF!,#REF!,#REF!,#REF!,#REF!,#REF!,#REF!,#REF!,#REF!,#REF!</definedName>
    <definedName name="__APW_RESTORE_DATA312__" hidden="1">#REF!,#REF!,#REF!,#REF!,#REF!,#REF!,#REF!,#REF!,#REF!,#REF!,#REF!,#REF!,#REF!,#REF!,#REF!,#REF!</definedName>
    <definedName name="__APW_RESTORE_DATA313__" hidden="1">#REF!,#REF!,#REF!,#REF!,#REF!,#REF!,#REF!,#REF!,#REF!,#REF!,#REF!,#REF!,#REF!,#REF!,#REF!,#REF!</definedName>
    <definedName name="__APW_RESTORE_DATA314__" hidden="1">#REF!,#REF!,#REF!,#REF!,#REF!,#REF!,#REF!,#REF!,#REF!,#REF!,#REF!,#REF!,#REF!,#REF!,#REF!,#REF!</definedName>
    <definedName name="__APW_RESTORE_DATA315__" hidden="1">#REF!,#REF!,#REF!,#REF!,#REF!,#REF!,#REF!,#REF!,#REF!,#REF!,#REF!,#REF!,#REF!,#REF!,#REF!</definedName>
    <definedName name="__APW_RESTORE_DATA316__" hidden="1">#REF!,#REF!,#REF!,#REF!,#REF!,#REF!,#REF!,#REF!,#REF!,#REF!,#REF!,#REF!,#REF!,#REF!,#REF!</definedName>
    <definedName name="__APW_RESTORE_DATA317__" hidden="1">#REF!,#REF!,#REF!,#REF!,#REF!,#REF!,#REF!,#REF!,#REF!,#REF!,#REF!,#REF!,#REF!,#REF!,#REF!</definedName>
    <definedName name="__APW_RESTORE_DATA318__" hidden="1">#REF!,#REF!,#REF!,#REF!,#REF!,#REF!,#REF!,#REF!,#REF!,#REF!,#REF!,#REF!,#REF!,#REF!,#REF!</definedName>
    <definedName name="__APW_RESTORE_DATA319__" hidden="1">#REF!,#REF!,#REF!,#REF!,#REF!,#REF!,#REF!,#REF!,#REF!,#REF!,#REF!,#REF!,#REF!,#REF!</definedName>
    <definedName name="__APW_RESTORE_DATA32__" hidden="1">#REF!,#REF!,#REF!,#REF!,#REF!,#REF!,#REF!,#REF!,#REF!,#REF!,#REF!,#REF!,#REF!,#REF!,#REF!</definedName>
    <definedName name="__APW_RESTORE_DATA320__" hidden="1">#REF!,#REF!,#REF!,#REF!,#REF!,#REF!,#REF!,#REF!,#REF!,#REF!,#REF!,#REF!,#REF!,#REF!,#REF!,#REF!,#REF!</definedName>
    <definedName name="__APW_RESTORE_DATA321__" hidden="1">#REF!,#REF!,#REF!,#REF!,#REF!,#REF!,#REF!,#REF!,#REF!,#REF!,#REF!,#REF!,#REF!,#REF!,#REF!,#REF!</definedName>
    <definedName name="__APW_RESTORE_DATA322__" hidden="1">#REF!,#REF!,#REF!,#REF!,#REF!,#REF!,#REF!,#REF!,#REF!,#REF!,#REF!,#REF!,#REF!,#REF!,#REF!,#REF!</definedName>
    <definedName name="__APW_RESTORE_DATA323__" hidden="1">#REF!,#REF!,#REF!,#REF!,#REF!,#REF!,#REF!,#REF!,#REF!,#REF!,#REF!,#REF!,#REF!,#REF!,#REF!,#REF!</definedName>
    <definedName name="__APW_RESTORE_DATA324__" hidden="1">#REF!,#REF!,#REF!,#REF!,#REF!,#REF!,#REF!,#REF!,#REF!,#REF!,#REF!,#REF!,#REF!,#REF!,#REF!,#REF!</definedName>
    <definedName name="__APW_RESTORE_DATA325__" hidden="1">#REF!,#REF!,#REF!,#REF!,#REF!,#REF!,#REF!,#REF!,#REF!,#REF!,#REF!,#REF!,#REF!,#REF!,#REF!,#REF!</definedName>
    <definedName name="__APW_RESTORE_DATA326__" hidden="1">#REF!,#REF!,#REF!,#REF!,#REF!,#REF!,#REF!,#REF!,#REF!,#REF!,#REF!,#REF!,#REF!,#REF!,#REF!</definedName>
    <definedName name="__APW_RESTORE_DATA327__" hidden="1">#REF!,#REF!,#REF!,#REF!,#REF!,#REF!,#REF!,#REF!,#REF!,#REF!,#REF!,#REF!,#REF!,#REF!,#REF!</definedName>
    <definedName name="__APW_RESTORE_DATA328__" hidden="1">#REF!,#REF!,#REF!,#REF!,#REF!,#REF!,#REF!,#REF!,#REF!,#REF!,#REF!,#REF!,#REF!,#REF!,#REF!</definedName>
    <definedName name="__APW_RESTORE_DATA329__" hidden="1">#REF!,#REF!,#REF!,#REF!,#REF!,#REF!,#REF!,#REF!,#REF!,#REF!,#REF!,#REF!,#REF!,#REF!,#REF!</definedName>
    <definedName name="__APW_RESTORE_DATA33__" hidden="1">#REF!,#REF!,#REF!,#REF!,#REF!,#REF!,#REF!,#REF!,#REF!,#REF!,#REF!,#REF!,#REF!,#REF!,#REF!</definedName>
    <definedName name="__APW_RESTORE_DATA330__" hidden="1">#REF!,#REF!,#REF!,#REF!,#REF!,#REF!,#REF!,#REF!,#REF!,#REF!,#REF!,#REF!,#REF!,#REF!</definedName>
    <definedName name="__APW_RESTORE_DATA331__" hidden="1">#REF!,#REF!,#REF!,#REF!,#REF!,#REF!,#REF!,#REF!,#REF!,#REF!,#REF!,#REF!,#REF!,#REF!,#REF!,#REF!,#REF!</definedName>
    <definedName name="__APW_RESTORE_DATA332__" hidden="1">#REF!,#REF!,#REF!,#REF!,#REF!,#REF!,#REF!,#REF!,#REF!,#REF!,#REF!,#REF!,#REF!,#REF!,#REF!,#REF!</definedName>
    <definedName name="__APW_RESTORE_DATA333__" hidden="1">#REF!,#REF!,#REF!,#REF!,#REF!,#REF!,#REF!,#REF!,#REF!,#REF!,#REF!,#REF!,#REF!,#REF!,#REF!,#REF!</definedName>
    <definedName name="__APW_RESTORE_DATA334__" hidden="1">#REF!,#REF!,#REF!,#REF!,#REF!,#REF!,#REF!,#REF!,#REF!,#REF!,#REF!,#REF!,#REF!,#REF!,#REF!,#REF!</definedName>
    <definedName name="__APW_RESTORE_DATA335__" hidden="1">#REF!,#REF!,#REF!,#REF!,#REF!,#REF!,#REF!,#REF!,#REF!,#REF!,#REF!,#REF!,#REF!,#REF!,#REF!,#REF!</definedName>
    <definedName name="__APW_RESTORE_DATA336__" hidden="1">#REF!,#REF!,#REF!,#REF!,#REF!,#REF!,#REF!,#REF!,#REF!,#REF!,#REF!,#REF!,#REF!,#REF!,#REF!,#REF!</definedName>
    <definedName name="__APW_RESTORE_DATA337__" hidden="1">#REF!,#REF!,#REF!,#REF!,#REF!,#REF!,#REF!,#REF!,#REF!,#REF!,#REF!,#REF!,#REF!,#REF!,#REF!</definedName>
    <definedName name="__APW_RESTORE_DATA338__" hidden="1">#REF!,#REF!,#REF!,#REF!,#REF!,#REF!,#REF!,#REF!,#REF!,#REF!,#REF!,#REF!,#REF!,#REF!,#REF!</definedName>
    <definedName name="__APW_RESTORE_DATA339__" hidden="1">#REF!,#REF!,#REF!,#REF!,#REF!,#REF!,#REF!,#REF!,#REF!,#REF!,#REF!,#REF!,#REF!,#REF!,#REF!</definedName>
    <definedName name="__APW_RESTORE_DATA34__" hidden="1">#REF!,#REF!,#REF!,#REF!,#REF!,#REF!,#REF!,#REF!,#REF!,#REF!,#REF!,#REF!,#REF!,#REF!,#REF!</definedName>
    <definedName name="__APW_RESTORE_DATA340__" hidden="1">#REF!,#REF!,#REF!,#REF!,#REF!,#REF!,#REF!,#REF!,#REF!,#REF!,#REF!,#REF!,#REF!,#REF!,#REF!</definedName>
    <definedName name="__APW_RESTORE_DATA341__" hidden="1">#REF!,#REF!,#REF!,#REF!,#REF!,#REF!,#REF!,#REF!,#REF!,#REF!,#REF!,#REF!,#REF!,#REF!</definedName>
    <definedName name="__APW_RESTORE_DATA342__" hidden="1">#REF!,#REF!,#REF!,#REF!,#REF!,#REF!,#REF!,#REF!,#REF!,#REF!,#REF!,#REF!,#REF!,#REF!,#REF!,#REF!,#REF!</definedName>
    <definedName name="__APW_RESTORE_DATA343__" hidden="1">#REF!,#REF!,#REF!,#REF!,#REF!,#REF!,#REF!,#REF!,#REF!,#REF!,#REF!,#REF!,#REF!,#REF!,#REF!,#REF!</definedName>
    <definedName name="__APW_RESTORE_DATA344__" hidden="1">#REF!,#REF!,#REF!,#REF!,#REF!,#REF!,#REF!,#REF!,#REF!,#REF!,#REF!,#REF!,#REF!,#REF!,#REF!,#REF!</definedName>
    <definedName name="__APW_RESTORE_DATA345__" hidden="1">#REF!,#REF!,#REF!,#REF!,#REF!,#REF!,#REF!,#REF!,#REF!,#REF!,#REF!,#REF!,#REF!,#REF!,#REF!,#REF!</definedName>
    <definedName name="__APW_RESTORE_DATA346__" hidden="1">#REF!,#REF!,#REF!,#REF!,#REF!,#REF!,#REF!,#REF!,#REF!,#REF!,#REF!,#REF!,#REF!,#REF!,#REF!,#REF!</definedName>
    <definedName name="__APW_RESTORE_DATA347__" hidden="1">#REF!,#REF!,#REF!,#REF!,#REF!,#REF!,#REF!,#REF!,#REF!,#REF!,#REF!,#REF!,#REF!,#REF!,#REF!,#REF!</definedName>
    <definedName name="__APW_RESTORE_DATA348__" hidden="1">#REF!,#REF!,#REF!,#REF!,#REF!,#REF!,#REF!,#REF!,#REF!,#REF!,#REF!,#REF!,#REF!,#REF!,#REF!</definedName>
    <definedName name="__APW_RESTORE_DATA349__" hidden="1">#REF!,#REF!,#REF!,#REF!,#REF!,#REF!,#REF!,#REF!,#REF!,#REF!,#REF!,#REF!,#REF!,#REF!,#REF!</definedName>
    <definedName name="__APW_RESTORE_DATA35__" hidden="1">#REF!,#REF!,#REF!,#REF!,#REF!,#REF!</definedName>
    <definedName name="__APW_RESTORE_DATA350__" hidden="1">#REF!,#REF!,#REF!,#REF!,#REF!,#REF!,#REF!,#REF!,#REF!,#REF!,#REF!,#REF!,#REF!,#REF!,#REF!</definedName>
    <definedName name="__APW_RESTORE_DATA351__" hidden="1">#REF!,#REF!,#REF!,#REF!,#REF!,#REF!,#REF!,#REF!,#REF!,#REF!,#REF!,#REF!,#REF!,#REF!,#REF!</definedName>
    <definedName name="__APW_RESTORE_DATA352__" hidden="1">#REF!,#REF!,#REF!,#REF!,#REF!,#REF!,#REF!,#REF!,#REF!,#REF!,#REF!,#REF!,#REF!,#REF!</definedName>
    <definedName name="__APW_RESTORE_DATA353__" hidden="1">#REF!,#REF!,#REF!,#REF!,#REF!,#REF!,#REF!,#REF!,#REF!,#REF!,#REF!,#REF!,#REF!,#REF!,#REF!,#REF!,#REF!</definedName>
    <definedName name="__APW_RESTORE_DATA354__" hidden="1">#REF!,#REF!,#REF!,#REF!,#REF!,#REF!,#REF!,#REF!,#REF!,#REF!,#REF!,#REF!,#REF!,#REF!,#REF!,#REF!</definedName>
    <definedName name="__APW_RESTORE_DATA355__" hidden="1">#REF!,#REF!,#REF!,#REF!,#REF!,#REF!,#REF!,#REF!,#REF!,#REF!,#REF!,#REF!,#REF!,#REF!,#REF!,#REF!</definedName>
    <definedName name="__APW_RESTORE_DATA356__" hidden="1">#REF!,#REF!,#REF!,#REF!,#REF!,#REF!,#REF!,#REF!,#REF!,#REF!,#REF!,#REF!,#REF!,#REF!,#REF!,#REF!</definedName>
    <definedName name="__APW_RESTORE_DATA357__" hidden="1">#REF!,#REF!,#REF!,#REF!,#REF!,#REF!,#REF!,#REF!,#REF!,#REF!,#REF!,#REF!,#REF!,#REF!,#REF!,#REF!</definedName>
    <definedName name="__APW_RESTORE_DATA358__" hidden="1">#REF!,#REF!,#REF!,#REF!,#REF!,#REF!,#REF!,#REF!,#REF!,#REF!,#REF!,#REF!,#REF!,#REF!,#REF!,#REF!</definedName>
    <definedName name="__APW_RESTORE_DATA359__" hidden="1">#REF!,#REF!,#REF!,#REF!,#REF!,#REF!,#REF!,#REF!,#REF!,#REF!,#REF!,#REF!,#REF!,#REF!,#REF!</definedName>
    <definedName name="__APW_RESTORE_DATA36__" hidden="1">#REF!,#REF!,#REF!,#REF!,#REF!,#REF!,#REF!,#REF!,#REF!,#REF!,#REF!,#REF!,#REF!,#REF!,#REF!,#REF!,#REF!</definedName>
    <definedName name="__APW_RESTORE_DATA360__" hidden="1">#REF!,#REF!,#REF!,#REF!,#REF!,#REF!,#REF!,#REF!,#REF!,#REF!,#REF!,#REF!,#REF!,#REF!,#REF!</definedName>
    <definedName name="__APW_RESTORE_DATA361__" hidden="1">#REF!,#REF!,#REF!,#REF!,#REF!,#REF!,#REF!,#REF!,#REF!,#REF!,#REF!,#REF!,#REF!,#REF!,#REF!</definedName>
    <definedName name="__APW_RESTORE_DATA362__" hidden="1">#REF!,#REF!,#REF!,#REF!,#REF!,#REF!,#REF!,#REF!,#REF!,#REF!,#REF!,#REF!,#REF!,#REF!,#REF!</definedName>
    <definedName name="__APW_RESTORE_DATA363__" hidden="1">#REF!,#REF!,#REF!,#REF!,#REF!,#REF!,#REF!,#REF!,#REF!,#REF!,#REF!,#REF!,#REF!,#REF!</definedName>
    <definedName name="__APW_RESTORE_DATA364__" hidden="1">#REF!,#REF!,#REF!,#REF!,#REF!,#REF!,#REF!,#REF!,#REF!,#REF!,#REF!,#REF!,#REF!,#REF!,#REF!,#REF!,#REF!</definedName>
    <definedName name="__APW_RESTORE_DATA365__" hidden="1">#REF!,#REF!,#REF!,#REF!,#REF!,#REF!,#REF!,#REF!,#REF!,#REF!,#REF!,#REF!,#REF!,#REF!,#REF!,#REF!</definedName>
    <definedName name="__APW_RESTORE_DATA366__" hidden="1">#REF!,#REF!,#REF!,#REF!,#REF!,#REF!,#REF!,#REF!,#REF!,#REF!,#REF!,#REF!,#REF!,#REF!,#REF!,#REF!</definedName>
    <definedName name="__APW_RESTORE_DATA367__" hidden="1">#REF!,#REF!,#REF!,#REF!,#REF!,#REF!,#REF!,#REF!,#REF!,#REF!,#REF!,#REF!,#REF!,#REF!,#REF!,#REF!</definedName>
    <definedName name="__APW_RESTORE_DATA368__" hidden="1">#REF!,#REF!,#REF!,#REF!,#REF!,#REF!,#REF!,#REF!,#REF!,#REF!,#REF!,#REF!,#REF!,#REF!,#REF!,#REF!</definedName>
    <definedName name="__APW_RESTORE_DATA369__" hidden="1">#REF!,#REF!,#REF!,#REF!,#REF!,#REF!,#REF!,#REF!,#REF!,#REF!,#REF!,#REF!,#REF!,#REF!,#REF!,#REF!</definedName>
    <definedName name="__APW_RESTORE_DATA37__" hidden="1">#REF!,#REF!,#REF!,#REF!,#REF!,#REF!,#REF!,#REF!,#REF!,#REF!,#REF!,#REF!,#REF!,#REF!,#REF!,#REF!</definedName>
    <definedName name="__APW_RESTORE_DATA370__" hidden="1">#REF!,#REF!,#REF!,#REF!,#REF!,#REF!,#REF!,#REF!,#REF!,#REF!,#REF!,#REF!,#REF!,#REF!,#REF!</definedName>
    <definedName name="__APW_RESTORE_DATA371__" hidden="1">#REF!,#REF!,#REF!,#REF!,#REF!,#REF!,#REF!,#REF!,#REF!,#REF!,#REF!,#REF!,#REF!,#REF!,#REF!</definedName>
    <definedName name="__APW_RESTORE_DATA372__" hidden="1">#REF!,#REF!,#REF!,#REF!,#REF!,#REF!,#REF!,#REF!,#REF!,#REF!,#REF!,#REF!,#REF!,#REF!,#REF!</definedName>
    <definedName name="__APW_RESTORE_DATA373__" hidden="1">#REF!,#REF!,#REF!,#REF!,#REF!,#REF!,#REF!,#REF!,#REF!,#REF!,#REF!,#REF!,#REF!,#REF!,#REF!</definedName>
    <definedName name="__APW_RESTORE_DATA374__" hidden="1">#REF!,#REF!,#REF!,#REF!,#REF!,#REF!,#REF!,#REF!,#REF!,#REF!,#REF!,#REF!,#REF!,#REF!</definedName>
    <definedName name="__APW_RESTORE_DATA375__" hidden="1">#REF!,#REF!,#REF!,#REF!,#REF!,#REF!,#REF!,#REF!,#REF!,#REF!,#REF!,#REF!,#REF!,#REF!,#REF!,#REF!,#REF!</definedName>
    <definedName name="__APW_RESTORE_DATA376__" hidden="1">#REF!,#REF!,#REF!,#REF!,#REF!,#REF!,#REF!,#REF!,#REF!,#REF!,#REF!,#REF!,#REF!,#REF!,#REF!,#REF!</definedName>
    <definedName name="__APW_RESTORE_DATA377__" hidden="1">#REF!,#REF!,#REF!,#REF!,#REF!,#REF!,#REF!,#REF!,#REF!,#REF!,#REF!,#REF!,#REF!,#REF!,#REF!,#REF!</definedName>
    <definedName name="__APW_RESTORE_DATA378__" hidden="1">#REF!,#REF!,#REF!,#REF!,#REF!,#REF!,#REF!,#REF!,#REF!,#REF!,#REF!,#REF!,#REF!,#REF!,#REF!,#REF!</definedName>
    <definedName name="__APW_RESTORE_DATA379__" hidden="1">#REF!,#REF!,#REF!,#REF!,#REF!,#REF!,#REF!,#REF!,#REF!,#REF!,#REF!,#REF!,#REF!,#REF!,#REF!,#REF!</definedName>
    <definedName name="__APW_RESTORE_DATA38__" hidden="1">#REF!,#REF!,#REF!,#REF!,#REF!,#REF!,#REF!,#REF!,#REF!,#REF!,#REF!,#REF!,#REF!,#REF!,#REF!,#REF!</definedName>
    <definedName name="__APW_RESTORE_DATA380__" hidden="1">#REF!,#REF!,#REF!,#REF!,#REF!,#REF!,#REF!,#REF!,#REF!,#REF!,#REF!,#REF!,#REF!,#REF!,#REF!,#REF!</definedName>
    <definedName name="__APW_RESTORE_DATA381__" hidden="1">#REF!,#REF!,#REF!,#REF!,#REF!,#REF!,#REF!,#REF!,#REF!,#REF!,#REF!,#REF!,#REF!,#REF!,#REF!</definedName>
    <definedName name="__APW_RESTORE_DATA382__" hidden="1">#REF!,#REF!,#REF!,#REF!,#REF!,#REF!,#REF!,#REF!,#REF!,#REF!,#REF!,#REF!,#REF!,#REF!,#REF!</definedName>
    <definedName name="__APW_RESTORE_DATA383__" hidden="1">#REF!,#REF!,#REF!,#REF!,#REF!,#REF!,#REF!,#REF!,#REF!,#REF!,#REF!,#REF!,#REF!,#REF!,#REF!</definedName>
    <definedName name="__APW_RESTORE_DATA384__" hidden="1">#REF!,#REF!,#REF!,#REF!,#REF!,#REF!,#REF!,#REF!,#REF!,#REF!,#REF!,#REF!,#REF!,#REF!,#REF!</definedName>
    <definedName name="__APW_RESTORE_DATA385__" hidden="1">#REF!,#REF!,#REF!,#REF!,#REF!,#REF!,#REF!,#REF!,#REF!,#REF!,#REF!,#REF!,#REF!,#REF!</definedName>
    <definedName name="__APW_RESTORE_DATA386__" hidden="1">#REF!,#REF!,#REF!,#REF!,#REF!,#REF!,#REF!,#REF!,#REF!,#REF!,#REF!,#REF!,#REF!,#REF!,#REF!,#REF!</definedName>
    <definedName name="__APW_RESTORE_DATA387__" hidden="1">#REF!,#REF!,#REF!,#REF!,#REF!,#REF!,#REF!,#REF!,#REF!,#REF!,#REF!,#REF!,#REF!,#REF!,#REF!</definedName>
    <definedName name="__APW_RESTORE_DATA388__" hidden="1">#REF!,#REF!,#REF!,#REF!,#REF!,#REF!,#REF!,#REF!,#REF!,#REF!,#REF!,#REF!,#REF!,#REF!,#REF!</definedName>
    <definedName name="__APW_RESTORE_DATA389__" hidden="1">#REF!,#REF!,#REF!,#REF!,#REF!,#REF!,#REF!,#REF!,#REF!,#REF!,#REF!,#REF!,#REF!,#REF!,#REF!</definedName>
    <definedName name="__APW_RESTORE_DATA39__" hidden="1">#REF!,#REF!,#REF!,#REF!,#REF!,#REF!,#REF!,#REF!,#REF!,#REF!,#REF!,#REF!,#REF!,#REF!,#REF!,#REF!</definedName>
    <definedName name="__APW_RESTORE_DATA390__" hidden="1">#REF!,#REF!,#REF!,#REF!,#REF!,#REF!,#REF!,#REF!,#REF!,#REF!,#REF!,#REF!,#REF!,#REF!,#REF!</definedName>
    <definedName name="__APW_RESTORE_DATA391__" hidden="1">#REF!,#REF!,#REF!,#REF!,#REF!,#REF!,#REF!,#REF!,#REF!,#REF!,#REF!,#REF!,#REF!,#REF!,#REF!</definedName>
    <definedName name="__APW_RESTORE_DATA392__" hidden="1">#REF!,#REF!,#REF!,#REF!,#REF!,#REF!,#REF!,#REF!,#REF!,#REF!,#REF!,#REF!,#REF!,#REF!,#REF!</definedName>
    <definedName name="__APW_RESTORE_DATA393__" hidden="1">#REF!,#REF!,#REF!,#REF!,#REF!,#REF!,#REF!,#REF!,#REF!,#REF!,#REF!,#REF!,#REF!,#REF!</definedName>
    <definedName name="__APW_RESTORE_DATA394__" hidden="1">#REF!,#REF!,#REF!,#REF!,#REF!,#REF!,#REF!,#REF!,#REF!,#REF!,#REF!,#REF!,#REF!,#REF!</definedName>
    <definedName name="__APW_RESTORE_DATA395__" hidden="1">#REF!,#REF!,#REF!,#REF!,#REF!,#REF!,#REF!,#REF!,#REF!,#REF!,#REF!,#REF!,#REF!,#REF!</definedName>
    <definedName name="__APW_RESTORE_DATA396__" hidden="1">#REF!,#REF!,#REF!,#REF!,#REF!,#REF!,#REF!,#REF!,#REF!,#REF!,#REF!,#REF!,#REF!,#REF!</definedName>
    <definedName name="__APW_RESTORE_DATA397__" hidden="1">#REF!,#REF!,#REF!,#REF!,#REF!,#REF!,#REF!,#REF!,#REF!</definedName>
    <definedName name="__APW_RESTORE_DATA398__" hidden="1">#REF!,#REF!,#REF!,#REF!,#REF!,#REF!,#REF!,#REF!,#REF!,#REF!,#REF!,#REF!,#REF!,#REF!,#REF!,#REF!</definedName>
    <definedName name="__APW_RESTORE_DATA399__" hidden="1">#REF!,#REF!,#REF!,#REF!,#REF!,#REF!,#REF!,#REF!,#REF!,#REF!,#REF!,#REF!,#REF!,#REF!,#REF!,#REF!</definedName>
    <definedName name="__APW_RESTORE_DATA4__" hidden="1">#REF!,#REF!,#REF!,#REF!,#REF!,#REF!,#REF!,#REF!,#REF!,#REF!,#REF!,#REF!,#REF!,#REF!,#REF!,#REF!</definedName>
    <definedName name="__APW_RESTORE_DATA40__" hidden="1">#REF!,#REF!,#REF!,#REF!,#REF!,#REF!,#REF!,#REF!,#REF!,#REF!,#REF!,#REF!,#REF!,#REF!,#REF!,#REF!</definedName>
    <definedName name="__APW_RESTORE_DATA400__" hidden="1">#REF!,#REF!,#REF!,#REF!,#REF!,#REF!,#REF!,#REF!,#REF!,#REF!,#REF!,#REF!,#REF!,#REF!,#REF!,#REF!</definedName>
    <definedName name="__APW_RESTORE_DATA401__" hidden="1">#REF!,#REF!,#REF!,#REF!,#REF!,#REF!,#REF!,#REF!,#REF!,#REF!,#REF!,#REF!,#REF!,#REF!,#REF!,#REF!</definedName>
    <definedName name="__APW_RESTORE_DATA402__" hidden="1">#REF!,#REF!,#REF!,#REF!,#REF!,#REF!,#REF!,#REF!,#REF!,#REF!,#REF!,#REF!,#REF!,#REF!,#REF!,#REF!</definedName>
    <definedName name="__APW_RESTORE_DATA403__" hidden="1">#REF!,#REF!,#REF!,#REF!,#REF!,#REF!,#REF!,#REF!,#REF!,#REF!,#REF!,#REF!,#REF!,#REF!,#REF!</definedName>
    <definedName name="__APW_RESTORE_DATA404__" hidden="1">#REF!,#REF!,#REF!,#REF!,#REF!,#REF!,#REF!,#REF!,#REF!,#REF!,#REF!,#REF!,#REF!,#REF!,#REF!</definedName>
    <definedName name="__APW_RESTORE_DATA405__" hidden="1">#REF!,#REF!,#REF!,#REF!,#REF!,#REF!,#REF!,#REF!,#REF!,#REF!,#REF!,#REF!,#REF!,#REF!,#REF!</definedName>
    <definedName name="__APW_RESTORE_DATA406__" hidden="1">#REF!,#REF!,#REF!,#REF!,#REF!,#REF!,#REF!,#REF!,#REF!,#REF!,#REF!,#REF!,#REF!,#REF!,#REF!</definedName>
    <definedName name="__APW_RESTORE_DATA407__" hidden="1">#REF!,#REF!,#REF!,#REF!,#REF!,#REF!,#REF!,#REF!,#REF!,#REF!,#REF!,#REF!,#REF!,#REF!,#REF!</definedName>
    <definedName name="__APW_RESTORE_DATA408__" hidden="1">#REF!,#REF!,#REF!,#REF!,#REF!,#REF!,#REF!,#REF!,#REF!,#REF!,#REF!</definedName>
    <definedName name="__APW_RESTORE_DATA409__" hidden="1">#REF!,#REF!,#REF!,#REF!,#REF!,#REF!,#REF!,#REF!,#REF!,#REF!,#REF!,#REF!,#REF!,#REF!,#REF!,#REF!,#REF!</definedName>
    <definedName name="__APW_RESTORE_DATA41__" hidden="1">#REF!,#REF!,#REF!,#REF!,#REF!,#REF!,#REF!,#REF!,#REF!,#REF!,#REF!,#REF!,#REF!,#REF!,#REF!,#REF!</definedName>
    <definedName name="__APW_RESTORE_DATA410__" hidden="1">#REF!,#REF!,#REF!,#REF!,#REF!,#REF!,#REF!,#REF!,#REF!,#REF!,#REF!,#REF!,#REF!,#REF!,#REF!,#REF!</definedName>
    <definedName name="__APW_RESTORE_DATA411__" hidden="1">#REF!,#REF!,#REF!,#REF!,#REF!,#REF!,#REF!,#REF!,#REF!,#REF!,#REF!,#REF!,#REF!,#REF!,#REF!,#REF!</definedName>
    <definedName name="__APW_RESTORE_DATA412__" hidden="1">#REF!,#REF!,#REF!,#REF!,#REF!,#REF!,#REF!,#REF!,#REF!,#REF!,#REF!,#REF!,#REF!,#REF!,#REF!,#REF!</definedName>
    <definedName name="__APW_RESTORE_DATA413__" hidden="1">#REF!,#REF!,#REF!,#REF!,#REF!,#REF!,#REF!,#REF!,#REF!,#REF!,#REF!,#REF!,#REF!,#REF!,#REF!,#REF!</definedName>
    <definedName name="__APW_RESTORE_DATA414__" hidden="1">#REF!,#REF!,#REF!,#REF!,#REF!,#REF!,#REF!,#REF!,#REF!,#REF!,#REF!,#REF!,#REF!,#REF!,#REF!,#REF!</definedName>
    <definedName name="__APW_RESTORE_DATA415__" hidden="1">#REF!,#REF!,#REF!,#REF!,#REF!,#REF!,#REF!,#REF!,#REF!,#REF!,#REF!,#REF!,#REF!,#REF!,#REF!</definedName>
    <definedName name="__APW_RESTORE_DATA416__" hidden="1">#REF!,#REF!,#REF!,#REF!,#REF!,#REF!,#REF!,#REF!,#REF!,#REF!,#REF!,#REF!,#REF!,#REF!,#REF!</definedName>
    <definedName name="__APW_RESTORE_DATA417__" hidden="1">#REF!,#REF!,#REF!,#REF!,#REF!,#REF!,#REF!,#REF!,#REF!,#REF!,#REF!,#REF!,#REF!,#REF!,#REF!</definedName>
    <definedName name="__APW_RESTORE_DATA418__" hidden="1">#REF!,#REF!,#REF!,#REF!,#REF!,#REF!,#REF!,#REF!,#REF!,#REF!,#REF!,#REF!,#REF!,#REF!,#REF!</definedName>
    <definedName name="__APW_RESTORE_DATA419__" hidden="1">#REF!,#REF!,#REF!,#REF!,#REF!,#REF!,#REF!,#REF!,#REF!,#REF!,#REF!,#REF!,#REF!,#REF!,#REF!</definedName>
    <definedName name="__APW_RESTORE_DATA42__" hidden="1">#REF!,#REF!,#REF!,#REF!,#REF!,#REF!,#REF!,#REF!,#REF!,#REF!,#REF!,#REF!,#REF!,#REF!,#REF!</definedName>
    <definedName name="__APW_RESTORE_DATA420__" hidden="1">#REF!,#REF!,#REF!,#REF!,#REF!,#REF!,#REF!,#REF!,#REF!,#REF!,#REF!</definedName>
    <definedName name="__APW_RESTORE_DATA421__" hidden="1">#REF!,#REF!,#REF!,#REF!,#REF!,#REF!,#REF!,#REF!,#REF!,#REF!,#REF!,#REF!,#REF!,#REF!,#REF!,#REF!</definedName>
    <definedName name="__APW_RESTORE_DATA422__" hidden="1">#REF!,#REF!,#REF!,#REF!,#REF!,#REF!,#REF!,#REF!,#REF!,#REF!,#REF!,#REF!,#REF!,#REF!,#REF!</definedName>
    <definedName name="__APW_RESTORE_DATA423__" hidden="1">#REF!,#REF!,#REF!,#REF!,#REF!,#REF!,#REF!,#REF!,#REF!,#REF!,#REF!,#REF!,#REF!,#REF!,#REF!</definedName>
    <definedName name="__APW_RESTORE_DATA424__" hidden="1">#REF!,#REF!,#REF!,#REF!,#REF!,#REF!,#REF!,#REF!,#REF!,#REF!,#REF!,#REF!,#REF!,#REF!,#REF!</definedName>
    <definedName name="__APW_RESTORE_DATA425__" hidden="1">#REF!,#REF!,#REF!,#REF!,#REF!,#REF!,#REF!,#REF!,#REF!,#REF!,#REF!,#REF!,#REF!,#REF!,#REF!</definedName>
    <definedName name="__APW_RESTORE_DATA426__" hidden="1">#REF!,#REF!,#REF!,#REF!,#REF!,#REF!,#REF!,#REF!,#REF!,#REF!,#REF!,#REF!,#REF!,#REF!,#REF!</definedName>
    <definedName name="__APW_RESTORE_DATA427__" hidden="1">#REF!,#REF!,#REF!,#REF!,#REF!,#REF!,#REF!,#REF!,#REF!,#REF!,#REF!,#REF!,#REF!,#REF!,#REF!</definedName>
    <definedName name="__APW_RESTORE_DATA428__" hidden="1">#REF!,#REF!,#REF!,#REF!,#REF!,#REF!,#REF!,#REF!,#REF!,#REF!,#REF!,#REF!,#REF!,#REF!</definedName>
    <definedName name="__APW_RESTORE_DATA429__" hidden="1">#REF!,#REF!,#REF!,#REF!,#REF!,#REF!,#REF!,#REF!,#REF!,#REF!,#REF!,#REF!,#REF!,#REF!</definedName>
    <definedName name="__APW_RESTORE_DATA43__" hidden="1">#REF!,#REF!,#REF!,#REF!,#REF!,#REF!,#REF!,#REF!,#REF!,#REF!,#REF!,#REF!,#REF!,#REF!,#REF!</definedName>
    <definedName name="__APW_RESTORE_DATA430__" hidden="1">#REF!,#REF!,#REF!,#REF!,#REF!,#REF!,#REF!,#REF!,#REF!,#REF!,#REF!,#REF!,#REF!,#REF!</definedName>
    <definedName name="__APW_RESTORE_DATA431__" hidden="1">#REF!,#REF!,#REF!,#REF!,#REF!,#REF!,#REF!,#REF!,#REF!,#REF!,#REF!,#REF!,#REF!,#REF!</definedName>
    <definedName name="__APW_RESTORE_DATA432__" hidden="1">#REF!,#REF!,#REF!,#REF!,#REF!,#REF!,#REF!,#REF!,#REF!,#REF!,#REF!,#REF!,#REF!,#REF!</definedName>
    <definedName name="__APW_RESTORE_DATA433__" hidden="1">#REF!,#REF!,#REF!,#REF!,#REF!,#REF!,#REF!</definedName>
    <definedName name="__APW_RESTORE_DATA44__" hidden="1">#REF!,#REF!,#REF!,#REF!,#REF!,#REF!,#REF!,#REF!,#REF!,#REF!,#REF!,#REF!,#REF!,#REF!,#REF!</definedName>
    <definedName name="__APW_RESTORE_DATA45__" hidden="1">#REF!,#REF!,#REF!,#REF!,#REF!,#REF!,#REF!,#REF!,#REF!,#REF!,#REF!,#REF!,#REF!,#REF!,#REF!</definedName>
    <definedName name="__APW_RESTORE_DATA46__" hidden="1">#REF!,#REF!,#REF!,#REF!,#REF!,#REF!,#REF!,#REF!,#REF!,#REF!,#REF!,#REF!,#REF!,#REF!,#REF!</definedName>
    <definedName name="__APW_RESTORE_DATA47__" hidden="1">#REF!,#REF!,#REF!,#REF!,#REF!,#REF!</definedName>
    <definedName name="__APW_RESTORE_DATA48__" hidden="1">#REF!,#REF!,#REF!,#REF!,#REF!,#REF!,#REF!,#REF!,#REF!,#REF!,#REF!,#REF!,#REF!,#REF!,#REF!,#REF!,#REF!</definedName>
    <definedName name="__APW_RESTORE_DATA49__" hidden="1">#REF!,#REF!,#REF!,#REF!,#REF!,#REF!,#REF!,#REF!,#REF!,#REF!,#REF!,#REF!,#REF!,#REF!,#REF!,#REF!</definedName>
    <definedName name="__APW_RESTORE_DATA5__" hidden="1">#REF!,#REF!,#REF!,#REF!,#REF!,#REF!,#REF!,#REF!,#REF!,#REF!,#REF!,#REF!,#REF!,#REF!,#REF!,#REF!</definedName>
    <definedName name="__APW_RESTORE_DATA50__" hidden="1">#REF!,#REF!,#REF!,#REF!,#REF!,#REF!,#REF!,#REF!,#REF!,#REF!,#REF!,#REF!,#REF!,#REF!,#REF!,#REF!</definedName>
    <definedName name="__APW_RESTORE_DATA51__" hidden="1">#REF!,#REF!,#REF!,#REF!,#REF!,#REF!,#REF!,#REF!,#REF!,#REF!,#REF!,#REF!,#REF!,#REF!,#REF!,#REF!</definedName>
    <definedName name="__APW_RESTORE_DATA52__" hidden="1">#REF!,#REF!,#REF!,#REF!,#REF!,#REF!,#REF!,#REF!,#REF!,#REF!,#REF!,#REF!,#REF!,#REF!,#REF!,#REF!</definedName>
    <definedName name="__APW_RESTORE_DATA53__" hidden="1">#REF!,#REF!,#REF!,#REF!,#REF!,#REF!,#REF!,#REF!,#REF!,#REF!,#REF!,#REF!,#REF!,#REF!,#REF!,#REF!</definedName>
    <definedName name="__APW_RESTORE_DATA54__" hidden="1">#REF!,#REF!,#REF!,#REF!,#REF!,#REF!,#REF!,#REF!,#REF!,#REF!,#REF!,#REF!,#REF!,#REF!,#REF!</definedName>
    <definedName name="__APW_RESTORE_DATA55__" hidden="1">#REF!,#REF!,#REF!,#REF!,#REF!,#REF!,#REF!,#REF!,#REF!,#REF!,#REF!,#REF!,#REF!,#REF!,#REF!</definedName>
    <definedName name="__APW_RESTORE_DATA56__" hidden="1">#REF!,#REF!,#REF!,#REF!,#REF!,#REF!,#REF!,#REF!,#REF!,#REF!,#REF!,#REF!,#REF!,#REF!,#REF!</definedName>
    <definedName name="__APW_RESTORE_DATA57__" hidden="1">#REF!,#REF!,#REF!,#REF!,#REF!,#REF!,#REF!,#REF!,#REF!,#REF!,#REF!,#REF!,#REF!,#REF!,#REF!</definedName>
    <definedName name="__APW_RESTORE_DATA58__" hidden="1">#REF!,#REF!,#REF!,#REF!,#REF!,#REF!,#REF!,#REF!,#REF!,#REF!,#REF!,#REF!,#REF!,#REF!,#REF!</definedName>
    <definedName name="__APW_RESTORE_DATA59__" hidden="1">#REF!,#REF!,#REF!,#REF!,#REF!,#REF!</definedName>
    <definedName name="__APW_RESTORE_DATA596__" hidden="1">[10]Tablexxxxx!$C$6,[10]Tablexxxxx!$C$7,[10]Tablexxxxx!$C$8,[10]Tablexxxxx!$C$9,[10]Tablexxxxx!$C$10,[10]Tablexxxxx!$C$11,[10]Tablexxxxx!$C$12,[10]Tablexxxxx!$C$13,[10]Tablexxxxx!$C$14,[10]Tablexxxxx!$C$15,[10]Tablexxxxx!$C$16,[10]Tablexxxxx!$C$17,[10]Tablexxxxx!$C$18,[10]Tablexxxxx!$C$19,[10]Tablexxxxx!$C$20,[10]Tablexxxxx!$C$21,[10]Tablexxxxx!$C$22</definedName>
    <definedName name="__APW_RESTORE_DATA597__" hidden="1">[10]Tablexxxxx!$C$23,[10]Tablexxxxx!$C$24,[10]Tablexxxxx!$C$25,[10]Tablexxxxx!$C$26,[10]Tablexxxxx!$C$27,[10]Tablexxxxx!$C$28,[10]Tablexxxxx!$C$29,[10]Tablexxxxx!$C$30,[10]Tablexxxxx!$C$31,[10]Tablexxxxx!$C$32,[10]Tablexxxxx!$C$33,[10]Tablexxxxx!$C$34,[10]Tablexxxxx!$C$35,[10]Tablexxxxx!$C$36,[10]Tablexxxxx!$C$37,[10]Tablexxxxx!$C$38</definedName>
    <definedName name="__APW_RESTORE_DATA598__" hidden="1">[10]Tablexxxxx!$C$39,[10]Tablexxxxx!$C$40,[10]Tablexxxxx!$C$41,[10]Tablexxxxx!$C$42,[10]Tablexxxxx!$C$43,[10]Tablexxxxx!$C$44,[10]Tablexxxxx!$C$45,[10]Tablexxxxx!$C$46,[10]Tablexxxxx!$C$47,[10]Tablexxxxx!$C$48,[10]Tablexxxxx!$C$49,[10]Tablexxxxx!$C$50,[10]Tablexxxxx!$C$51,[10]Tablexxxxx!$C$52,[10]Tablexxxxx!$C$53,[10]Tablexxxxx!$C$54</definedName>
    <definedName name="__APW_RESTORE_DATA599__" hidden="1">[10]Tablexxxxx!$C$55,[10]Tablexxxxx!$C$56,[10]Tablexxxxx!$C$57,[10]Tablexxxxx!$C$58,[10]Tablexxxxx!$C$59,[10]Tablexxxxx!$C$60,[10]Tablexxxxx!$C$61,[10]Tablexxxxx!$C$62,[10]Tablexxxxx!$C$63,[10]Tablexxxxx!$C$64,[10]Tablexxxxx!$C$65,[10]Tablexxxxx!$C$66,[10]Tablexxxxx!$C$67,[10]Tablexxxxx!$C$68,[10]Tablexxxxx!$C$69,[10]Tablexxxxx!$C$70</definedName>
    <definedName name="__APW_RESTORE_DATA6__" hidden="1">#REF!,#REF!,#REF!,#REF!,#REF!,#REF!,#REF!,#REF!,#REF!,#REF!,#REF!,#REF!,#REF!,#REF!,#REF!</definedName>
    <definedName name="__APW_RESTORE_DATA60__" hidden="1">#REF!,#REF!,#REF!,#REF!,#REF!,#REF!,#REF!,#REF!,#REF!,#REF!,#REF!,#REF!,#REF!,#REF!,#REF!,#REF!,#REF!</definedName>
    <definedName name="__APW_RESTORE_DATA600__" hidden="1">[10]Tablexxxxx!$C$71,[10]Tablexxxxx!$C$72,[10]Tablexxxxx!$C$73,[10]Tablexxxxx!$C$74,[10]Tablexxxxx!$C$75,[10]Tablexxxxx!$C$76,[10]Tablexxxxx!$C$77,[10]Tablexxxxx!$C$78,[10]Tablexxxxx!$C$79,[10]Tablexxxxx!$C$80,[10]Tablexxxxx!$C$81,[10]Tablexxxxx!$C$82,[10]Tablexxxxx!$C$83,[10]Tablexxxxx!$C$84,[10]Tablexxxxx!$C$85,[10]Tablexxxxx!$C$86</definedName>
    <definedName name="__APW_RESTORE_DATA601__" hidden="1">[10]Tablexxxxx!$C$87,[10]Tablexxxxx!$C$88,[10]Tablexxxxx!$C$89,[10]Tablexxxxx!$C$90,[10]Tablexxxxx!$C$91,[10]Tablexxxxx!$C$92,[10]Tablexxxxx!$C$93,[10]Tablexxxxx!$C$94,[10]Tablexxxxx!$C$95,[10]Tablexxxxx!$C$96,[10]Tablexxxxx!$C$97,[10]Tablexxxxx!$C$98,[10]Tablexxxxx!$C$99,[10]Tablexxxxx!$C$100,[10]Tablexxxxx!$C$101,[10]Tablexxxxx!$C$102</definedName>
    <definedName name="__APW_RESTORE_DATA602__" hidden="1">[10]Tablexxxxx!$C$103,[10]Tablexxxxx!$C$104,[10]Tablexxxxx!$C$105,[10]Tablexxxxx!$C$106,[10]Tablexxxxx!$C$107,[10]Tablexxxxx!$C$108,[10]Tablexxxxx!$C$109,[10]Tablexxxxx!$C$110,[10]Tablexxxxx!$C$111,[10]Tablexxxxx!$C$112,[10]Tablexxxxx!$C$113,[10]Tablexxxxx!$C$114,[10]Tablexxxxx!$C$115,[10]Tablexxxxx!$C$116,[10]Tablexxxxx!$C$117</definedName>
    <definedName name="__APW_RESTORE_DATA603__" hidden="1">[10]Tablexxxxx!$C$118,[10]Tablexxxxx!$C$119,[10]Tablexxxxx!$C$120,[10]Tablexxxxx!$C$121,[10]Tablexxxxx!$C$122,[10]Tablexxxxx!$C$123,[10]Tablexxxxx!$C$124,[10]Tablexxxxx!$C$125,[10]Tablexxxxx!$C$126,[10]Tablexxxxx!$C$127,[10]Tablexxxxx!$C$128,[10]Tablexxxxx!$C$129,[10]Tablexxxxx!$C$130,[10]Tablexxxxx!$C$131,[10]Tablexxxxx!$C$132</definedName>
    <definedName name="__APW_RESTORE_DATA604__" hidden="1">[10]Tablexxxxx!$C$133,[10]Tablexxxxx!$C$134,[10]Tablexxxxx!$C$135,[10]Tablexxxxx!$C$136,[10]Tablexxxxx!$C$137,[10]Tablexxxxx!$C$138,[10]Tablexxxxx!$C$139,[10]Tablexxxxx!$C$140,[10]Tablexxxxx!$C$141,[10]Tablexxxxx!$C$142,[10]Tablexxxxx!$C$143,[10]Tablexxxxx!$C$144,[10]Tablexxxxx!$C$145,[10]Tablexxxxx!$C$146,[10]Tablexxxxx!$C$147</definedName>
    <definedName name="__APW_RESTORE_DATA605__" hidden="1">[10]Tablexxxxx!$C$148,[10]Tablexxxxx!$C$149,[10]Tablexxxxx!$C$150,[10]Tablexxxxx!$C$151,[10]Tablexxxxx!$C$152,[10]Tablexxxxx!$C$153,[10]Tablexxxxx!$C$154,[10]Tablexxxxx!$C$155,[10]Tablexxxxx!$C$156,[10]Tablexxxxx!$C$157,[10]Tablexxxxx!$C$158,[10]Tablexxxxx!$C$159,[10]Tablexxxxx!$C$160,[10]Tablexxxxx!$C$161,[10]Tablexxxxx!$C$162</definedName>
    <definedName name="__APW_RESTORE_DATA606__" hidden="1">[10]Tablexxxxx!$C$163,[10]Tablexxxxx!$C$164,[10]Tablexxxxx!$C$165,[10]Tablexxxxx!$C$166,[10]Tablexxxxx!$C$167,[10]Tablexxxxx!$C$168,[10]Tablexxxxx!$C$169,[10]Tablexxxxx!$C$170,[10]Tablexxxxx!$C$171,[10]Tablexxxxx!$C$172,[10]Tablexxxxx!$C$173,[10]Tablexxxxx!$C$174,[10]Tablexxxxx!$C$175,[10]Tablexxxxx!$C$176,[10]Tablexxxxx!$C$177</definedName>
    <definedName name="__APW_RESTORE_DATA607__" hidden="1">[10]Tablexxxxx!$C$178,[10]Tablexxxxx!$C$179,[10]Tablexxxxx!$C$180,[10]Tablexxxxx!$C$181,[10]Tablexxxxx!$C$182,[10]Tablexxxxx!$C$183,[10]Tablexxxxx!$C$184,[10]Tablexxxxx!$C$185,[10]Tablexxxxx!$C$186,[10]Tablexxxxx!$C$187,[10]Tablexxxxx!$C$188,[10]Tablexxxxx!$C$189,[10]Tablexxxxx!$C$190,[10]Tablexxxxx!$C$191,[10]Tablexxxxx!$C$192</definedName>
    <definedName name="__APW_RESTORE_DATA608__" hidden="1">[10]Tablexxxxx!$C$193,[10]Tablexxxxx!$C$194,[10]Tablexxxxx!$C$195,[10]Tablexxxxx!$C$196,[10]Tablexxxxx!$C$197,[10]Tablexxxxx!$C$198,[10]Tablexxxxx!$C$199,[10]Tablexxxxx!$C$200,[10]Tablexxxxx!$C$201,[10]Tablexxxxx!$C$202,[10]Tablexxxxx!$C$203,[10]Tablexxxxx!$C$204,[10]Tablexxxxx!$C$205,[10]Tablexxxxx!$C$206,[10]Tablexxxxx!$C$207</definedName>
    <definedName name="__APW_RESTORE_DATA609__" hidden="1">[10]Tablexxxxx!$C$208,[10]Tablexxxxx!$C$209,[10]Tablexxxxx!$C$210,[10]Tablexxxxx!$C$211,[10]Tablexxxxx!$C$212,[10]Tablexxxxx!$C$213,[10]Tablexxxxx!$C$214,[10]Tablexxxxx!$C$215,[10]Tablexxxxx!$C$216,[10]Tablexxxxx!$C$217,[10]Tablexxxxx!$C$218,[10]Tablexxxxx!$C$219,[10]Tablexxxxx!$C$220,[10]Tablexxxxx!$C$221,[10]Tablexxxxx!$C$222</definedName>
    <definedName name="__APW_RESTORE_DATA61__" hidden="1">#REF!,#REF!,#REF!,#REF!,#REF!,#REF!,#REF!,#REF!,#REF!,#REF!,#REF!,#REF!,#REF!,#REF!,#REF!,#REF!</definedName>
    <definedName name="__APW_RESTORE_DATA610__" hidden="1">[10]Tablexxxxx!$C$223,[10]Tablexxxxx!$C$224,[10]Tablexxxxx!$C$225,[10]Tablexxxxx!$C$226,[10]Tablexxxxx!$C$227,[10]Tablexxxxx!$C$228,[10]Tablexxxxx!$C$229,[10]Tablexxxxx!$C$230,[10]Tablexxxxx!$C$231,[10]Tablexxxxx!$C$232,[10]Tablexxxxx!$C$233,[10]Tablexxxxx!$C$234,[10]Tablexxxxx!$C$235,[10]Tablexxxxx!$C$236,[10]Tablexxxxx!$C$237</definedName>
    <definedName name="__APW_RESTORE_DATA611__" hidden="1">[10]Tablexxxxx!$C$238,[10]Tablexxxxx!$C$239,[10]Tablexxxxx!$C$240,[10]Tablexxxxx!$C$241,[10]Tablexxxxx!$C$242,[10]Tablexxxxx!$C$243,[10]Tablexxxxx!$C$244,[10]Tablexxxxx!$C$245,[10]Tablexxxxx!$C$246,[10]Tablexxxxx!$C$247,[10]Tablexxxxx!$C$248,[10]Tablexxxxx!$C$249,[10]Tablexxxxx!$C$250,[10]Tablexxxxx!$C$251,[10]Tablexxxxx!$C$252</definedName>
    <definedName name="__APW_RESTORE_DATA612__" hidden="1">[10]Tablexxxxx!$C$253,[10]Tablexxxxx!$C$254,[10]Tablexxxxx!$C$255,[10]Tablexxxxx!$C$256,[10]Tablexxxxx!$C$257</definedName>
    <definedName name="__APW_RESTORE_DATA613__" hidden="1">[10]Tablexxxxx!$D$6,[10]Tablexxxxx!$D$7,[10]Tablexxxxx!$D$8,[10]Tablexxxxx!$D$9,[10]Tablexxxxx!$D$10,[10]Tablexxxxx!$D$11,[10]Tablexxxxx!$D$12,[10]Tablexxxxx!$D$13,[10]Tablexxxxx!$D$14,[10]Tablexxxxx!$D$15,[10]Tablexxxxx!$D$16,[10]Tablexxxxx!$D$17,[10]Tablexxxxx!$D$18,[10]Tablexxxxx!$D$19,[10]Tablexxxxx!$D$20,[10]Tablexxxxx!$D$21,[10]Tablexxxxx!$D$22</definedName>
    <definedName name="__APW_RESTORE_DATA614__" hidden="1">[10]Tablexxxxx!$D$23,[10]Tablexxxxx!$D$24,[10]Tablexxxxx!$D$25,[10]Tablexxxxx!$D$26,[10]Tablexxxxx!$D$27,[10]Tablexxxxx!$D$28,[10]Tablexxxxx!$D$29,[10]Tablexxxxx!$D$30,[10]Tablexxxxx!$D$31,[10]Tablexxxxx!$D$32,[10]Tablexxxxx!$D$33,[10]Tablexxxxx!$D$34,[10]Tablexxxxx!$D$35,[10]Tablexxxxx!$D$36,[10]Tablexxxxx!$D$37,[10]Tablexxxxx!$D$38</definedName>
    <definedName name="__APW_RESTORE_DATA615__" hidden="1">[10]Tablexxxxx!$D$39,[10]Tablexxxxx!$D$40,[10]Tablexxxxx!$D$41,[10]Tablexxxxx!$D$42,[10]Tablexxxxx!$D$43,[10]Tablexxxxx!$D$44,[10]Tablexxxxx!$D$45,[10]Tablexxxxx!$D$46,[10]Tablexxxxx!$D$47,[10]Tablexxxxx!$D$48,[10]Tablexxxxx!$D$49,[10]Tablexxxxx!$D$50,[10]Tablexxxxx!$D$51,[10]Tablexxxxx!$D$52,[10]Tablexxxxx!$D$53,[10]Tablexxxxx!$D$54</definedName>
    <definedName name="__APW_RESTORE_DATA616__" hidden="1">[10]Tablexxxxx!$D$55,[10]Tablexxxxx!$D$56,[10]Tablexxxxx!$D$57,[10]Tablexxxxx!$D$58,[10]Tablexxxxx!$D$59,[10]Tablexxxxx!$D$60,[10]Tablexxxxx!$D$61,[10]Tablexxxxx!$D$62,[10]Tablexxxxx!$D$63,[10]Tablexxxxx!$D$64,[10]Tablexxxxx!$D$65,[10]Tablexxxxx!$D$66,[10]Tablexxxxx!$D$67,[10]Tablexxxxx!$D$68,[10]Tablexxxxx!$D$69,[10]Tablexxxxx!$D$70</definedName>
    <definedName name="__APW_RESTORE_DATA617__" hidden="1">[10]Tablexxxxx!$D$71,[10]Tablexxxxx!$D$72,[10]Tablexxxxx!$D$73,[10]Tablexxxxx!$D$74,[10]Tablexxxxx!$D$75,[10]Tablexxxxx!$D$76,[10]Tablexxxxx!$D$77,[10]Tablexxxxx!$D$78,[10]Tablexxxxx!$D$79,[10]Tablexxxxx!$D$80,[10]Tablexxxxx!$D$81,[10]Tablexxxxx!$D$82,[10]Tablexxxxx!$D$83,[10]Tablexxxxx!$D$84,[10]Tablexxxxx!$D$85,[10]Tablexxxxx!$D$86</definedName>
    <definedName name="__APW_RESTORE_DATA618__" hidden="1">[10]Tablexxxxx!$D$87,[10]Tablexxxxx!$D$88,[10]Tablexxxxx!$D$89,[10]Tablexxxxx!$D$90,[10]Tablexxxxx!$D$91,[10]Tablexxxxx!$D$92,[10]Tablexxxxx!$D$93,[10]Tablexxxxx!$D$94,[10]Tablexxxxx!$D$95,[10]Tablexxxxx!$D$96,[10]Tablexxxxx!$D$97,[10]Tablexxxxx!$D$98,[10]Tablexxxxx!$D$99,[10]Tablexxxxx!$D$100,[10]Tablexxxxx!$D$101,[10]Tablexxxxx!$D$102</definedName>
    <definedName name="__APW_RESTORE_DATA619__" hidden="1">[10]Tablexxxxx!$D$103,[10]Tablexxxxx!$D$104,[10]Tablexxxxx!$D$105,[10]Tablexxxxx!$D$106,[10]Tablexxxxx!$D$107,[10]Tablexxxxx!$D$108,[10]Tablexxxxx!$D$109,[10]Tablexxxxx!$D$110,[10]Tablexxxxx!$D$111,[10]Tablexxxxx!$D$112,[10]Tablexxxxx!$D$113,[10]Tablexxxxx!$D$114,[10]Tablexxxxx!$D$115,[10]Tablexxxxx!$D$116,[10]Tablexxxxx!$D$117</definedName>
    <definedName name="__APW_RESTORE_DATA62__" hidden="1">#REF!,#REF!,#REF!,#REF!,#REF!,#REF!,#REF!,#REF!,#REF!,#REF!,#REF!,#REF!,#REF!,#REF!,#REF!,#REF!</definedName>
    <definedName name="__APW_RESTORE_DATA620__" hidden="1">[10]Tablexxxxx!$D$118,[10]Tablexxxxx!$D$119,[10]Tablexxxxx!$D$120,[10]Tablexxxxx!$D$121,[10]Tablexxxxx!$D$122,[10]Tablexxxxx!$D$123,[10]Tablexxxxx!$D$124,[10]Tablexxxxx!$D$125,[10]Tablexxxxx!$D$126,[10]Tablexxxxx!$D$127,[10]Tablexxxxx!$D$128,[10]Tablexxxxx!$D$129,[10]Tablexxxxx!$D$130,[10]Tablexxxxx!$D$131,[10]Tablexxxxx!$D$132</definedName>
    <definedName name="__APW_RESTORE_DATA621__" hidden="1">[10]Tablexxxxx!$D$133,[10]Tablexxxxx!$D$134,[10]Tablexxxxx!$D$135,[10]Tablexxxxx!$D$136,[10]Tablexxxxx!$D$137,[10]Tablexxxxx!$D$138,[10]Tablexxxxx!$D$139,[10]Tablexxxxx!$D$140,[10]Tablexxxxx!$D$141,[10]Tablexxxxx!$D$142,[10]Tablexxxxx!$D$143,[10]Tablexxxxx!$D$144,[10]Tablexxxxx!$D$145,[10]Tablexxxxx!$D$146,[10]Tablexxxxx!$D$147</definedName>
    <definedName name="__APW_RESTORE_DATA622__" hidden="1">[10]Tablexxxxx!$D$148,[10]Tablexxxxx!$D$149,[10]Tablexxxxx!$D$150,[10]Tablexxxxx!$D$151,[10]Tablexxxxx!$D$152,[10]Tablexxxxx!$D$153,[10]Tablexxxxx!$D$154,[10]Tablexxxxx!$D$155,[10]Tablexxxxx!$D$156,[10]Tablexxxxx!$D$157,[10]Tablexxxxx!$D$158,[10]Tablexxxxx!$D$159,[10]Tablexxxxx!$D$160,[10]Tablexxxxx!$D$161,[10]Tablexxxxx!$D$162</definedName>
    <definedName name="__APW_RESTORE_DATA623__" hidden="1">[10]Tablexxxxx!$D$163,[10]Tablexxxxx!$D$164,[10]Tablexxxxx!$D$165,[10]Tablexxxxx!$D$166,[10]Tablexxxxx!$D$167,[10]Tablexxxxx!$D$168,[10]Tablexxxxx!$D$169,[10]Tablexxxxx!$D$170,[10]Tablexxxxx!$D$171,[10]Tablexxxxx!$D$172,[10]Tablexxxxx!$D$173,[10]Tablexxxxx!$D$174,[10]Tablexxxxx!$D$175,[10]Tablexxxxx!$D$176,[10]Tablexxxxx!$D$177</definedName>
    <definedName name="__APW_RESTORE_DATA624__" hidden="1">[10]Tablexxxxx!$D$178,[10]Tablexxxxx!$D$179,[10]Tablexxxxx!$D$180,[10]Tablexxxxx!$D$181,[10]Tablexxxxx!$D$182,[10]Tablexxxxx!$D$183,[10]Tablexxxxx!$D$184,[10]Tablexxxxx!$D$185,[10]Tablexxxxx!$D$186,[10]Tablexxxxx!$D$187,[10]Tablexxxxx!$D$188,[10]Tablexxxxx!$D$189,[10]Tablexxxxx!$D$190,[10]Tablexxxxx!$D$191,[10]Tablexxxxx!$D$192</definedName>
    <definedName name="__APW_RESTORE_DATA625__" hidden="1">[10]Tablexxxxx!$D$193,[10]Tablexxxxx!$D$194,[10]Tablexxxxx!$D$195,[10]Tablexxxxx!$D$196,[10]Tablexxxxx!$D$197,[10]Tablexxxxx!$D$198,[10]Tablexxxxx!$D$199,[10]Tablexxxxx!$D$200,[10]Tablexxxxx!$D$201,[10]Tablexxxxx!$D$202,[10]Tablexxxxx!$D$203,[10]Tablexxxxx!$D$204,[10]Tablexxxxx!$D$205,[10]Tablexxxxx!$D$206,[10]Tablexxxxx!$D$207</definedName>
    <definedName name="__APW_RESTORE_DATA626__" hidden="1">[10]Tablexxxxx!$D$208,[10]Tablexxxxx!$D$209,[10]Tablexxxxx!$D$210,[10]Tablexxxxx!$D$211,[10]Tablexxxxx!$D$212,[10]Tablexxxxx!$D$213,[10]Tablexxxxx!$D$214,[10]Tablexxxxx!$D$215,[10]Tablexxxxx!$D$216,[10]Tablexxxxx!$D$217,[10]Tablexxxxx!$D$218,[10]Tablexxxxx!$D$219,[10]Tablexxxxx!$D$220,[10]Tablexxxxx!$D$221,[10]Tablexxxxx!$D$222</definedName>
    <definedName name="__APW_RESTORE_DATA627__" hidden="1">[10]Tablexxxxx!$D$223,[10]Tablexxxxx!$D$224,[10]Tablexxxxx!$D$225,[10]Tablexxxxx!$D$226,[10]Tablexxxxx!$D$227,[10]Tablexxxxx!$D$228,[10]Tablexxxxx!$D$229,[10]Tablexxxxx!$D$230,[10]Tablexxxxx!$D$231,[10]Tablexxxxx!$D$232,[10]Tablexxxxx!$D$233,[10]Tablexxxxx!$D$234,[10]Tablexxxxx!$D$235,[10]Tablexxxxx!$D$236,[10]Tablexxxxx!$D$237</definedName>
    <definedName name="__APW_RESTORE_DATA628__" hidden="1">[10]Tablexxxxx!$D$238,[10]Tablexxxxx!$D$239,[10]Tablexxxxx!$D$240,[10]Tablexxxxx!$D$241,[10]Tablexxxxx!$D$242,[10]Tablexxxxx!$D$243,[10]Tablexxxxx!$D$244,[10]Tablexxxxx!$D$245,[10]Tablexxxxx!$D$246,[10]Tablexxxxx!$D$247,[10]Tablexxxxx!$D$248,[10]Tablexxxxx!$D$249,[10]Tablexxxxx!$D$250,[10]Tablexxxxx!$D$251,[10]Tablexxxxx!$D$252</definedName>
    <definedName name="__APW_RESTORE_DATA629__" hidden="1">[10]Tablexxxxx!$D$253,[10]Tablexxxxx!$D$254,[10]Tablexxxxx!$D$255,[10]Tablexxxxx!$D$256,[10]Tablexxxxx!$D$257</definedName>
    <definedName name="__APW_RESTORE_DATA63__" hidden="1">#REF!,#REF!,#REF!,#REF!,#REF!,#REF!,#REF!,#REF!,#REF!,#REF!,#REF!,#REF!,#REF!,#REF!,#REF!,#REF!</definedName>
    <definedName name="__APW_RESTORE_DATA630__" hidden="1">[10]Tablexxxxx!$E$6,[10]Tablexxxxx!$E$7,[10]Tablexxxxx!$E$8,[10]Tablexxxxx!$E$9,[10]Tablexxxxx!$E$10,[10]Tablexxxxx!$E$11,[10]Tablexxxxx!$E$12,[10]Tablexxxxx!$E$13,[10]Tablexxxxx!$E$14,[10]Tablexxxxx!$E$15,[10]Tablexxxxx!$E$16,[10]Tablexxxxx!$E$17,[10]Tablexxxxx!$E$18,[10]Tablexxxxx!$E$19,[10]Tablexxxxx!$E$20,[10]Tablexxxxx!$E$21,[10]Tablexxxxx!$E$22</definedName>
    <definedName name="__APW_RESTORE_DATA631__" hidden="1">[10]Tablexxxxx!$E$23,[10]Tablexxxxx!$E$24,[10]Tablexxxxx!$E$25,[10]Tablexxxxx!$E$26,[10]Tablexxxxx!$E$27,[10]Tablexxxxx!$E$28,[10]Tablexxxxx!$E$29,[10]Tablexxxxx!$E$30,[10]Tablexxxxx!$E$31,[10]Tablexxxxx!$E$32,[10]Tablexxxxx!$E$33,[10]Tablexxxxx!$E$34,[10]Tablexxxxx!$E$35,[10]Tablexxxxx!$E$36,[10]Tablexxxxx!$E$37,[10]Tablexxxxx!$E$38</definedName>
    <definedName name="__APW_RESTORE_DATA632__" hidden="1">[10]Tablexxxxx!$E$39,[10]Tablexxxxx!$E$40,[10]Tablexxxxx!$E$41,[10]Tablexxxxx!$E$42,[10]Tablexxxxx!$E$43,[10]Tablexxxxx!$E$44,[10]Tablexxxxx!$E$45,[10]Tablexxxxx!$E$46,[10]Tablexxxxx!$E$47,[10]Tablexxxxx!$E$48,[10]Tablexxxxx!$E$49,[10]Tablexxxxx!$E$50,[10]Tablexxxxx!$E$51,[10]Tablexxxxx!$E$52,[10]Tablexxxxx!$E$53,[10]Tablexxxxx!$E$54</definedName>
    <definedName name="__APW_RESTORE_DATA633__" hidden="1">[10]Tablexxxxx!$E$55,[10]Tablexxxxx!$E$56,[10]Tablexxxxx!$E$57,[10]Tablexxxxx!$E$58,[10]Tablexxxxx!$E$59,[10]Tablexxxxx!$E$60,[10]Tablexxxxx!$E$61,[10]Tablexxxxx!$E$62,[10]Tablexxxxx!$E$63,[10]Tablexxxxx!$E$64,[10]Tablexxxxx!$E$65,[10]Tablexxxxx!$E$66,[10]Tablexxxxx!$E$67,[10]Tablexxxxx!$E$68,[10]Tablexxxxx!$E$69,[10]Tablexxxxx!$E$70</definedName>
    <definedName name="__APW_RESTORE_DATA634__" hidden="1">[10]Tablexxxxx!$E$71,[10]Tablexxxxx!$E$72,[10]Tablexxxxx!$E$73,[10]Tablexxxxx!$E$74,[10]Tablexxxxx!$E$75,[10]Tablexxxxx!$E$76,[10]Tablexxxxx!$E$77,[10]Tablexxxxx!$E$78,[10]Tablexxxxx!$E$79,[10]Tablexxxxx!$E$80,[10]Tablexxxxx!$E$81,[10]Tablexxxxx!$E$82,[10]Tablexxxxx!$E$83,[10]Tablexxxxx!$E$84,[10]Tablexxxxx!$E$85,[10]Tablexxxxx!$E$86</definedName>
    <definedName name="__APW_RESTORE_DATA635__" hidden="1">[10]Tablexxxxx!$E$87,[10]Tablexxxxx!$E$88,[10]Tablexxxxx!$E$89,[10]Tablexxxxx!$E$90,[10]Tablexxxxx!$E$91,[10]Tablexxxxx!$E$92,[10]Tablexxxxx!$E$93,[10]Tablexxxxx!$E$94,[10]Tablexxxxx!$E$95,[10]Tablexxxxx!$E$96,[10]Tablexxxxx!$E$97,[10]Tablexxxxx!$E$98,[10]Tablexxxxx!$E$99,[10]Tablexxxxx!$E$100,[10]Tablexxxxx!$E$101,[10]Tablexxxxx!$E$102</definedName>
    <definedName name="__APW_RESTORE_DATA636__" hidden="1">[10]Tablexxxxx!$E$103,[10]Tablexxxxx!$E$104,[10]Tablexxxxx!$E$105,[10]Tablexxxxx!$E$106,[10]Tablexxxxx!$E$107,[10]Tablexxxxx!$E$108,[10]Tablexxxxx!$E$109,[10]Tablexxxxx!$E$110,[10]Tablexxxxx!$E$111,[10]Tablexxxxx!$E$112,[10]Tablexxxxx!$E$113,[10]Tablexxxxx!$E$114,[10]Tablexxxxx!$E$115,[10]Tablexxxxx!$E$116,[10]Tablexxxxx!$E$117</definedName>
    <definedName name="__APW_RESTORE_DATA637__" hidden="1">[10]Tablexxxxx!$E$118,[10]Tablexxxxx!$E$119,[10]Tablexxxxx!$E$120,[10]Tablexxxxx!$E$121,[10]Tablexxxxx!$E$122,[10]Tablexxxxx!$E$123,[10]Tablexxxxx!$E$124,[10]Tablexxxxx!$E$125,[10]Tablexxxxx!$E$126,[10]Tablexxxxx!$E$127,[10]Tablexxxxx!$E$128,[10]Tablexxxxx!$E$129,[10]Tablexxxxx!$E$130,[10]Tablexxxxx!$E$131,[10]Tablexxxxx!$E$132</definedName>
    <definedName name="__APW_RESTORE_DATA638__" hidden="1">[10]Tablexxxxx!$E$133,[10]Tablexxxxx!$E$134,[10]Tablexxxxx!$E$135,[10]Tablexxxxx!$E$136,[10]Tablexxxxx!$E$137,[10]Tablexxxxx!$E$138,[10]Tablexxxxx!$E$139,[10]Tablexxxxx!$E$140,[10]Tablexxxxx!$E$141,[10]Tablexxxxx!$E$142,[10]Tablexxxxx!$E$143,[10]Tablexxxxx!$E$144,[10]Tablexxxxx!$E$145,[10]Tablexxxxx!$E$146,[10]Tablexxxxx!$E$147</definedName>
    <definedName name="__APW_RESTORE_DATA639__" hidden="1">[10]Tablexxxxx!$E$148,[10]Tablexxxxx!$E$149,[10]Tablexxxxx!$E$150,[10]Tablexxxxx!$E$151,[10]Tablexxxxx!$E$152,[10]Tablexxxxx!$E$153,[10]Tablexxxxx!$E$154,[10]Tablexxxxx!$E$155,[10]Tablexxxxx!$E$156,[10]Tablexxxxx!$E$157,[10]Tablexxxxx!$E$158,[10]Tablexxxxx!$E$159,[10]Tablexxxxx!$E$160,[10]Tablexxxxx!$E$161,[10]Tablexxxxx!$E$162</definedName>
    <definedName name="__APW_RESTORE_DATA64__" hidden="1">#REF!,#REF!,#REF!,#REF!,#REF!,#REF!,#REF!,#REF!,#REF!,#REF!,#REF!,#REF!,#REF!,#REF!,#REF!,#REF!</definedName>
    <definedName name="__APW_RESTORE_DATA640__" hidden="1">[10]Tablexxxxx!$E$163,[10]Tablexxxxx!$E$164,[10]Tablexxxxx!$E$165,[10]Tablexxxxx!$E$166,[10]Tablexxxxx!$E$167,[10]Tablexxxxx!$E$168,[10]Tablexxxxx!$E$169,[10]Tablexxxxx!$E$170,[10]Tablexxxxx!$E$171,[10]Tablexxxxx!$E$172,[10]Tablexxxxx!$E$173,[10]Tablexxxxx!$E$174,[10]Tablexxxxx!$E$175,[10]Tablexxxxx!$E$176,[10]Tablexxxxx!$E$177</definedName>
    <definedName name="__APW_RESTORE_DATA641__" hidden="1">[10]Tablexxxxx!$E$178,[10]Tablexxxxx!$E$179,[10]Tablexxxxx!$E$180,[10]Tablexxxxx!$E$181,[10]Tablexxxxx!$E$182,[10]Tablexxxxx!$E$183,[10]Tablexxxxx!$E$184,[10]Tablexxxxx!$E$185,[10]Tablexxxxx!$E$186,[10]Tablexxxxx!$E$187,[10]Tablexxxxx!$E$188,[10]Tablexxxxx!$E$189,[10]Tablexxxxx!$E$190,[10]Tablexxxxx!$E$191,[10]Tablexxxxx!$E$192</definedName>
    <definedName name="__APW_RESTORE_DATA642__" hidden="1">[10]Tablexxxxx!$E$193,[10]Tablexxxxx!$E$194,[10]Tablexxxxx!$E$195,[10]Tablexxxxx!$E$196,[10]Tablexxxxx!$E$197,[10]Tablexxxxx!$E$198,[10]Tablexxxxx!$E$199,[10]Tablexxxxx!$E$200,[10]Tablexxxxx!$E$201,[10]Tablexxxxx!$E$202,[10]Tablexxxxx!$E$203,[10]Tablexxxxx!$E$204,[10]Tablexxxxx!$E$205,[10]Tablexxxxx!$E$206,[10]Tablexxxxx!$E$207</definedName>
    <definedName name="__APW_RESTORE_DATA643__" hidden="1">[10]Tablexxxxx!$E$208,[10]Tablexxxxx!$E$209,[10]Tablexxxxx!$E$210,[10]Tablexxxxx!$E$211,[10]Tablexxxxx!$E$212,[10]Tablexxxxx!$E$213,[10]Tablexxxxx!$E$214,[10]Tablexxxxx!$E$215,[10]Tablexxxxx!$E$216,[10]Tablexxxxx!$E$217,[10]Tablexxxxx!$E$218,[10]Tablexxxxx!$E$219,[10]Tablexxxxx!$E$220,[10]Tablexxxxx!$E$221,[10]Tablexxxxx!$E$222</definedName>
    <definedName name="__APW_RESTORE_DATA644__" hidden="1">[10]Tablexxxxx!$E$223,[10]Tablexxxxx!$E$224,[10]Tablexxxxx!$E$225,[10]Tablexxxxx!$E$226,[10]Tablexxxxx!$E$227,[10]Tablexxxxx!$E$228,[10]Tablexxxxx!$E$229,[10]Tablexxxxx!$E$230,[10]Tablexxxxx!$E$231,[10]Tablexxxxx!$E$232,[10]Tablexxxxx!$E$233,[10]Tablexxxxx!$E$234,[10]Tablexxxxx!$E$235,[10]Tablexxxxx!$E$236,[10]Tablexxxxx!$E$237</definedName>
    <definedName name="__APW_RESTORE_DATA645__" hidden="1">[10]Tablexxxxx!$E$238,[10]Tablexxxxx!$E$239,[10]Tablexxxxx!$E$240,[10]Tablexxxxx!$E$241,[10]Tablexxxxx!$E$242,[10]Tablexxxxx!$E$243,[10]Tablexxxxx!$E$244,[10]Tablexxxxx!$E$245,[10]Tablexxxxx!$E$246,[10]Tablexxxxx!$E$247,[10]Tablexxxxx!$E$248,[10]Tablexxxxx!$E$249,[10]Tablexxxxx!$E$250,[10]Tablexxxxx!$E$251,[10]Tablexxxxx!$E$252</definedName>
    <definedName name="__APW_RESTORE_DATA646__" hidden="1">[10]Tablexxxxx!$E$253,[10]Tablexxxxx!$E$254,[10]Tablexxxxx!$E$255,[10]Tablexxxxx!$E$256,[10]Tablexxxxx!$E$257</definedName>
    <definedName name="__APW_RESTORE_DATA647__" hidden="1">[10]Tablexxxxx!$F$6,[10]Tablexxxxx!$F$7,[10]Tablexxxxx!$F$8,[10]Tablexxxxx!$F$9,[10]Tablexxxxx!$F$10,[10]Tablexxxxx!$F$11,[10]Tablexxxxx!$F$12,[10]Tablexxxxx!$F$13,[10]Tablexxxxx!$F$14,[10]Tablexxxxx!$F$15,[10]Tablexxxxx!$F$16,[10]Tablexxxxx!$F$17,[10]Tablexxxxx!$F$18,[10]Tablexxxxx!$F$19,[10]Tablexxxxx!$F$20,[10]Tablexxxxx!$F$21,[10]Tablexxxxx!$F$22</definedName>
    <definedName name="__APW_RESTORE_DATA648__" hidden="1">[10]Tablexxxxx!$F$23,[10]Tablexxxxx!$F$24,[10]Tablexxxxx!$F$25,[10]Tablexxxxx!$F$26,[10]Tablexxxxx!$F$27,[10]Tablexxxxx!$F$28,[10]Tablexxxxx!$F$29,[10]Tablexxxxx!$F$30,[10]Tablexxxxx!$F$31,[10]Tablexxxxx!$F$32,[10]Tablexxxxx!$F$33,[10]Tablexxxxx!$F$34,[10]Tablexxxxx!$F$35,[10]Tablexxxxx!$F$36,[10]Tablexxxxx!$F$37,[10]Tablexxxxx!$F$38</definedName>
    <definedName name="__APW_RESTORE_DATA649__" hidden="1">[10]Tablexxxxx!$F$39,[10]Tablexxxxx!$F$40,[10]Tablexxxxx!$F$41,[10]Tablexxxxx!$F$42,[10]Tablexxxxx!$F$43,[10]Tablexxxxx!$F$44,[10]Tablexxxxx!$F$45,[10]Tablexxxxx!$F$46,[10]Tablexxxxx!$F$47,[10]Tablexxxxx!$F$48,[10]Tablexxxxx!$F$49,[10]Tablexxxxx!$F$50,[10]Tablexxxxx!$F$51,[10]Tablexxxxx!$F$52,[10]Tablexxxxx!$F$53,[10]Tablexxxxx!$F$54</definedName>
    <definedName name="__APW_RESTORE_DATA65__" hidden="1">#REF!,#REF!,#REF!,#REF!,#REF!,#REF!,#REF!,#REF!,#REF!,#REF!,#REF!,#REF!,#REF!,#REF!,#REF!,#REF!</definedName>
    <definedName name="__APW_RESTORE_DATA650__" hidden="1">[10]Tablexxxxx!$F$55,[10]Tablexxxxx!$F$56,[10]Tablexxxxx!$F$57,[10]Tablexxxxx!$F$58,[10]Tablexxxxx!$F$59,[10]Tablexxxxx!$F$60,[10]Tablexxxxx!$F$61,[10]Tablexxxxx!$F$62,[10]Tablexxxxx!$F$63,[10]Tablexxxxx!$F$64,[10]Tablexxxxx!$F$65,[10]Tablexxxxx!$F$66,[10]Tablexxxxx!$F$67,[10]Tablexxxxx!$F$68,[10]Tablexxxxx!$F$69,[10]Tablexxxxx!$F$70</definedName>
    <definedName name="__APW_RESTORE_DATA651__" hidden="1">[10]Tablexxxxx!$F$71,[10]Tablexxxxx!$F$72,[10]Tablexxxxx!$F$73,[10]Tablexxxxx!$F$74,[10]Tablexxxxx!$F$75,[10]Tablexxxxx!$F$76,[10]Tablexxxxx!$F$77,[10]Tablexxxxx!$F$78,[10]Tablexxxxx!$F$79,[10]Tablexxxxx!$F$80,[10]Tablexxxxx!$F$81,[10]Tablexxxxx!$F$82,[10]Tablexxxxx!$F$83,[10]Tablexxxxx!$F$84,[10]Tablexxxxx!$F$85,[10]Tablexxxxx!$F$86</definedName>
    <definedName name="__APW_RESTORE_DATA652__" hidden="1">[10]Tablexxxxx!$F$87,[10]Tablexxxxx!$F$88,[10]Tablexxxxx!$F$89,[10]Tablexxxxx!$F$90,[10]Tablexxxxx!$F$91,[10]Tablexxxxx!$F$92,[10]Tablexxxxx!$F$93,[10]Tablexxxxx!$F$94,[10]Tablexxxxx!$F$95,[10]Tablexxxxx!$F$96,[10]Tablexxxxx!$F$97,[10]Tablexxxxx!$F$98,[10]Tablexxxxx!$F$99,[10]Tablexxxxx!$F$100,[10]Tablexxxxx!$F$101,[10]Tablexxxxx!$F$102</definedName>
    <definedName name="__APW_RESTORE_DATA653__" hidden="1">[10]Tablexxxxx!$F$103,[10]Tablexxxxx!$F$104,[10]Tablexxxxx!$F$105,[10]Tablexxxxx!$F$106,[10]Tablexxxxx!$F$107,[10]Tablexxxxx!$F$108,[10]Tablexxxxx!$F$109,[10]Tablexxxxx!$F$110,[10]Tablexxxxx!$F$111,[10]Tablexxxxx!$F$112,[10]Tablexxxxx!$F$113,[10]Tablexxxxx!$F$114,[10]Tablexxxxx!$F$115,[10]Tablexxxxx!$F$116,[10]Tablexxxxx!$F$117</definedName>
    <definedName name="__APW_RESTORE_DATA654__" hidden="1">[10]Tablexxxxx!$F$118,[10]Tablexxxxx!$F$119,[10]Tablexxxxx!$F$120,[10]Tablexxxxx!$F$121,[10]Tablexxxxx!$F$122,[10]Tablexxxxx!$F$123,[10]Tablexxxxx!$F$124,[10]Tablexxxxx!$F$125,[10]Tablexxxxx!$F$126,[10]Tablexxxxx!$F$127,[10]Tablexxxxx!$F$128,[10]Tablexxxxx!$F$129,[10]Tablexxxxx!$F$130,[10]Tablexxxxx!$F$131,[10]Tablexxxxx!$F$132</definedName>
    <definedName name="__APW_RESTORE_DATA655__" hidden="1">[10]Tablexxxxx!$F$133,[10]Tablexxxxx!$F$134,[10]Tablexxxxx!$F$135,[10]Tablexxxxx!$F$136,[10]Tablexxxxx!$F$137,[10]Tablexxxxx!$F$138,[10]Tablexxxxx!$F$139,[10]Tablexxxxx!$F$140,[10]Tablexxxxx!$F$141,[10]Tablexxxxx!$F$142,[10]Tablexxxxx!$F$143,[10]Tablexxxxx!$F$144,[10]Tablexxxxx!$F$145,[10]Tablexxxxx!$F$146,[10]Tablexxxxx!$F$147</definedName>
    <definedName name="__APW_RESTORE_DATA656__" hidden="1">[10]Tablexxxxx!$F$148,[10]Tablexxxxx!$F$149,[10]Tablexxxxx!$F$150,[10]Tablexxxxx!$F$151,[10]Tablexxxxx!$F$152,[10]Tablexxxxx!$F$153,[10]Tablexxxxx!$F$154,[10]Tablexxxxx!$F$155,[10]Tablexxxxx!$F$156,[10]Tablexxxxx!$F$157,[10]Tablexxxxx!$F$158,[10]Tablexxxxx!$F$159,[10]Tablexxxxx!$F$160,[10]Tablexxxxx!$F$161,[10]Tablexxxxx!$F$162</definedName>
    <definedName name="__APW_RESTORE_DATA657__" hidden="1">[10]Tablexxxxx!$F$163,[10]Tablexxxxx!$F$164,[10]Tablexxxxx!$F$165,[10]Tablexxxxx!$F$166,[10]Tablexxxxx!$F$167,[10]Tablexxxxx!$F$168,[10]Tablexxxxx!$F$169,[10]Tablexxxxx!$F$170,[10]Tablexxxxx!$F$171,[10]Tablexxxxx!$F$172,[10]Tablexxxxx!$F$173,[10]Tablexxxxx!$F$174,[10]Tablexxxxx!$F$175,[10]Tablexxxxx!$F$176,[10]Tablexxxxx!$F$177</definedName>
    <definedName name="__APW_RESTORE_DATA658__" hidden="1">[10]Tablexxxxx!$F$178,[10]Tablexxxxx!$F$179,[10]Tablexxxxx!$F$180,[10]Tablexxxxx!$F$181,[10]Tablexxxxx!$F$182,[10]Tablexxxxx!$F$183,[10]Tablexxxxx!$F$184,[10]Tablexxxxx!$F$185,[10]Tablexxxxx!$F$186,[10]Tablexxxxx!$F$187,[10]Tablexxxxx!$F$188,[10]Tablexxxxx!$F$189,[10]Tablexxxxx!$F$190,[10]Tablexxxxx!$F$191,[10]Tablexxxxx!$F$192</definedName>
    <definedName name="__APW_RESTORE_DATA659__" hidden="1">[10]Tablexxxxx!$F$193,[10]Tablexxxxx!$F$194,[10]Tablexxxxx!$F$195,[10]Tablexxxxx!$F$196,[10]Tablexxxxx!$F$197,[10]Tablexxxxx!$F$198,[10]Tablexxxxx!$F$199,[10]Tablexxxxx!$F$200,[10]Tablexxxxx!$F$201,[10]Tablexxxxx!$F$202,[10]Tablexxxxx!$F$203,[10]Tablexxxxx!$F$204,[10]Tablexxxxx!$F$205,[10]Tablexxxxx!$F$206,[10]Tablexxxxx!$F$207</definedName>
    <definedName name="__APW_RESTORE_DATA66__" hidden="1">#REF!,#REF!,#REF!,#REF!,#REF!,#REF!,#REF!,#REF!,#REF!,#REF!,#REF!,#REF!,#REF!,#REF!,#REF!</definedName>
    <definedName name="__APW_RESTORE_DATA660__" hidden="1">[10]Tablexxxxx!$F$208,[10]Tablexxxxx!$F$209,[10]Tablexxxxx!$F$210,[10]Tablexxxxx!$F$211,[10]Tablexxxxx!$F$212,[10]Tablexxxxx!$F$213,[10]Tablexxxxx!$F$214,[10]Tablexxxxx!$F$215,[10]Tablexxxxx!$F$216,[10]Tablexxxxx!$F$217,[10]Tablexxxxx!$F$218,[10]Tablexxxxx!$F$219,[10]Tablexxxxx!$F$220,[10]Tablexxxxx!$F$221,[10]Tablexxxxx!$F$222</definedName>
    <definedName name="__APW_RESTORE_DATA661__" hidden="1">[10]Tablexxxxx!$F$223,[10]Tablexxxxx!$F$224,[10]Tablexxxxx!$F$225,[10]Tablexxxxx!$F$226,[10]Tablexxxxx!$F$227,[10]Tablexxxxx!$F$228,[10]Tablexxxxx!$F$229,[10]Tablexxxxx!$F$230,[10]Tablexxxxx!$F$231,[10]Tablexxxxx!$F$232,[10]Tablexxxxx!$F$233,[10]Tablexxxxx!$F$234,[10]Tablexxxxx!$F$235,[10]Tablexxxxx!$F$236,[10]Tablexxxxx!$F$237</definedName>
    <definedName name="__APW_RESTORE_DATA662__" hidden="1">[10]Tablexxxxx!$F$238,[10]Tablexxxxx!$F$239,[10]Tablexxxxx!$F$240,[10]Tablexxxxx!$F$241,[10]Tablexxxxx!$F$242,[10]Tablexxxxx!$F$243,[10]Tablexxxxx!$F$244,[10]Tablexxxxx!$F$245,[10]Tablexxxxx!$F$246,[10]Tablexxxxx!$F$247,[10]Tablexxxxx!$F$248,[10]Tablexxxxx!$F$249,[10]Tablexxxxx!$F$250,[10]Tablexxxxx!$F$251,[10]Tablexxxxx!$F$252</definedName>
    <definedName name="__APW_RESTORE_DATA663__" hidden="1">[10]Tablexxxxx!$F$253,[10]Tablexxxxx!$F$254,[10]Tablexxxxx!$F$255,[10]Tablexxxxx!$F$256,[10]Tablexxxxx!$F$257</definedName>
    <definedName name="__APW_RESTORE_DATA664__" hidden="1">[10]Tablexxxxx!$G$6,[10]Tablexxxxx!$G$7,[10]Tablexxxxx!$G$8,[10]Tablexxxxx!$G$9,[10]Tablexxxxx!$G$10,[10]Tablexxxxx!$G$11,[10]Tablexxxxx!$G$12,[10]Tablexxxxx!$G$13,[10]Tablexxxxx!$G$14,[10]Tablexxxxx!$G$15,[10]Tablexxxxx!$G$16,[10]Tablexxxxx!$G$17,[10]Tablexxxxx!$G$18,[10]Tablexxxxx!$G$19,[10]Tablexxxxx!$G$20,[10]Tablexxxxx!$G$21,[10]Tablexxxxx!$G$22</definedName>
    <definedName name="__APW_RESTORE_DATA665__" hidden="1">[10]Tablexxxxx!$G$23,[10]Tablexxxxx!$G$24,[10]Tablexxxxx!$G$25,[10]Tablexxxxx!$G$26,[10]Tablexxxxx!$G$27,[10]Tablexxxxx!$G$28,[10]Tablexxxxx!$G$29,[10]Tablexxxxx!$G$30,[10]Tablexxxxx!$G$31,[10]Tablexxxxx!$G$32,[10]Tablexxxxx!$G$33,[10]Tablexxxxx!$G$34,[10]Tablexxxxx!$G$35,[10]Tablexxxxx!$G$36,[10]Tablexxxxx!$G$37,[10]Tablexxxxx!$G$38</definedName>
    <definedName name="__APW_RESTORE_DATA666__" hidden="1">[10]Tablexxxxx!$G$39,[10]Tablexxxxx!$G$40,[10]Tablexxxxx!$G$41,[10]Tablexxxxx!$G$42,[10]Tablexxxxx!$G$43,[10]Tablexxxxx!$G$44,[10]Tablexxxxx!$G$45,[10]Tablexxxxx!$G$46,[10]Tablexxxxx!$G$47,[10]Tablexxxxx!$G$48,[10]Tablexxxxx!$G$49,[10]Tablexxxxx!$G$50,[10]Tablexxxxx!$G$51,[10]Tablexxxxx!$G$52,[10]Tablexxxxx!$G$53,[10]Tablexxxxx!$G$54</definedName>
    <definedName name="__APW_RESTORE_DATA667__" hidden="1">[10]Tablexxxxx!$G$55,[10]Tablexxxxx!$G$56,[10]Tablexxxxx!$G$57,[10]Tablexxxxx!$G$58,[10]Tablexxxxx!$G$59,[10]Tablexxxxx!$G$60,[10]Tablexxxxx!$G$61,[10]Tablexxxxx!$G$62,[10]Tablexxxxx!$G$63,[10]Tablexxxxx!$G$64,[10]Tablexxxxx!$G$65,[10]Tablexxxxx!$G$66,[10]Tablexxxxx!$G$67,[10]Tablexxxxx!$G$68,[10]Tablexxxxx!$G$69,[10]Tablexxxxx!$G$70</definedName>
    <definedName name="__APW_RESTORE_DATA668__" hidden="1">[10]Tablexxxxx!$G$71,[10]Tablexxxxx!$G$72,[10]Tablexxxxx!$G$73,[10]Tablexxxxx!$G$74,[10]Tablexxxxx!$G$75,[10]Tablexxxxx!$G$76,[10]Tablexxxxx!$G$77,[10]Tablexxxxx!$G$78,[10]Tablexxxxx!$G$79,[10]Tablexxxxx!$G$80,[10]Tablexxxxx!$G$81,[10]Tablexxxxx!$G$82,[10]Tablexxxxx!$G$83,[10]Tablexxxxx!$G$84,[10]Tablexxxxx!$G$85,[10]Tablexxxxx!$G$86</definedName>
    <definedName name="__APW_RESTORE_DATA669__" hidden="1">[10]Tablexxxxx!$G$87,[10]Tablexxxxx!$G$88,[10]Tablexxxxx!$G$89,[10]Tablexxxxx!$G$90,[10]Tablexxxxx!$G$91,[10]Tablexxxxx!$G$92,[10]Tablexxxxx!$G$93,[10]Tablexxxxx!$G$94,[10]Tablexxxxx!$G$95,[10]Tablexxxxx!$G$96,[10]Tablexxxxx!$G$97,[10]Tablexxxxx!$G$98,[10]Tablexxxxx!$G$99,[10]Tablexxxxx!$G$100,[10]Tablexxxxx!$G$101,[10]Tablexxxxx!$G$102</definedName>
    <definedName name="__APW_RESTORE_DATA67__" hidden="1">#REF!,#REF!,#REF!,#REF!,#REF!,#REF!,#REF!,#REF!,#REF!,#REF!,#REF!,#REF!,#REF!,#REF!,#REF!</definedName>
    <definedName name="__APW_RESTORE_DATA670__" hidden="1">[10]Tablexxxxx!$G$103,[10]Tablexxxxx!$G$104,[10]Tablexxxxx!$G$105,[10]Tablexxxxx!$G$106,[10]Tablexxxxx!$G$107,[10]Tablexxxxx!$G$108,[10]Tablexxxxx!$G$109,[10]Tablexxxxx!$G$110,[10]Tablexxxxx!$G$111,[10]Tablexxxxx!$G$112,[10]Tablexxxxx!$G$113,[10]Tablexxxxx!$G$114,[10]Tablexxxxx!$G$115,[10]Tablexxxxx!$G$116,[10]Tablexxxxx!$G$117</definedName>
    <definedName name="__APW_RESTORE_DATA671__" hidden="1">[10]Tablexxxxx!$G$118,[10]Tablexxxxx!$G$119,[10]Tablexxxxx!$G$120,[10]Tablexxxxx!$G$121,[10]Tablexxxxx!$G$122,[10]Tablexxxxx!$G$123,[10]Tablexxxxx!$G$124,[10]Tablexxxxx!$G$125,[10]Tablexxxxx!$G$126,[10]Tablexxxxx!$G$127,[10]Tablexxxxx!$G$128,[10]Tablexxxxx!$G$129,[10]Tablexxxxx!$G$130,[10]Tablexxxxx!$G$131,[10]Tablexxxxx!$G$132</definedName>
    <definedName name="__APW_RESTORE_DATA672__" hidden="1">[10]Tablexxxxx!$G$133,[10]Tablexxxxx!$G$134,[10]Tablexxxxx!$G$135,[10]Tablexxxxx!$G$136,[10]Tablexxxxx!$G$137,[10]Tablexxxxx!$G$138,[10]Tablexxxxx!$G$139,[10]Tablexxxxx!$G$140,[10]Tablexxxxx!$G$141,[10]Tablexxxxx!$G$142,[10]Tablexxxxx!$G$143,[10]Tablexxxxx!$G$144,[10]Tablexxxxx!$G$145,[10]Tablexxxxx!$G$146,[10]Tablexxxxx!$G$147</definedName>
    <definedName name="__APW_RESTORE_DATA673__" hidden="1">[10]Tablexxxxx!$G$148,[10]Tablexxxxx!$G$149,[10]Tablexxxxx!$G$150,[10]Tablexxxxx!$G$151,[10]Tablexxxxx!$G$152,[10]Tablexxxxx!$G$153,[10]Tablexxxxx!$G$154,[10]Tablexxxxx!$G$155,[10]Tablexxxxx!$G$156,[10]Tablexxxxx!$G$157,[10]Tablexxxxx!$G$158,[10]Tablexxxxx!$G$159,[10]Tablexxxxx!$G$160,[10]Tablexxxxx!$G$161,[10]Tablexxxxx!$G$162</definedName>
    <definedName name="__APW_RESTORE_DATA674__" hidden="1">[10]Tablexxxxx!$G$163,[10]Tablexxxxx!$G$164,[10]Tablexxxxx!$G$165,[10]Tablexxxxx!$G$166,[10]Tablexxxxx!$G$167,[10]Tablexxxxx!$G$168,[10]Tablexxxxx!$G$169,[10]Tablexxxxx!$G$170,[10]Tablexxxxx!$G$171,[10]Tablexxxxx!$G$172,[10]Tablexxxxx!$G$173,[10]Tablexxxxx!$G$174,[10]Tablexxxxx!$G$175,[10]Tablexxxxx!$G$176,[10]Tablexxxxx!$G$177</definedName>
    <definedName name="__APW_RESTORE_DATA675__" hidden="1">[10]Tablexxxxx!$G$178,[10]Tablexxxxx!$G$179,[10]Tablexxxxx!$G$180,[10]Tablexxxxx!$G$181,[10]Tablexxxxx!$G$182,[10]Tablexxxxx!$G$183,[10]Tablexxxxx!$G$184,[10]Tablexxxxx!$G$185,[10]Tablexxxxx!$G$186,[10]Tablexxxxx!$G$187,[10]Tablexxxxx!$G$188,[10]Tablexxxxx!$G$189,[10]Tablexxxxx!$G$190,[10]Tablexxxxx!$G$191,[10]Tablexxxxx!$G$192</definedName>
    <definedName name="__APW_RESTORE_DATA676__" hidden="1">[10]Tablexxxxx!$G$193,[10]Tablexxxxx!$G$194,[10]Tablexxxxx!$G$195,[10]Tablexxxxx!$G$196,[10]Tablexxxxx!$G$197,[10]Tablexxxxx!$G$198,[10]Tablexxxxx!$G$199,[10]Tablexxxxx!$G$200,[10]Tablexxxxx!$G$201,[10]Tablexxxxx!$G$202,[10]Tablexxxxx!$G$203,[10]Tablexxxxx!$G$204,[10]Tablexxxxx!$G$205,[10]Tablexxxxx!$G$206,[10]Tablexxxxx!$G$207</definedName>
    <definedName name="__APW_RESTORE_DATA677__" hidden="1">[10]Tablexxxxx!$G$208,[10]Tablexxxxx!$G$209,[10]Tablexxxxx!$G$210,[10]Tablexxxxx!$G$211,[10]Tablexxxxx!$G$212,[10]Tablexxxxx!$G$213,[10]Tablexxxxx!$G$214,[10]Tablexxxxx!$G$215,[10]Tablexxxxx!$G$216,[10]Tablexxxxx!$G$217,[10]Tablexxxxx!$G$218,[10]Tablexxxxx!$G$219,[10]Tablexxxxx!$G$220,[10]Tablexxxxx!$G$221,[10]Tablexxxxx!$G$222</definedName>
    <definedName name="__APW_RESTORE_DATA678__" hidden="1">[10]Tablexxxxx!$G$223,[10]Tablexxxxx!$G$224,[10]Tablexxxxx!$G$225,[10]Tablexxxxx!$G$226,[10]Tablexxxxx!$G$227,[10]Tablexxxxx!$G$228,[10]Tablexxxxx!$G$229,[10]Tablexxxxx!$G$230,[10]Tablexxxxx!$G$231,[10]Tablexxxxx!$G$232,[10]Tablexxxxx!$G$233,[10]Tablexxxxx!$G$234,[10]Tablexxxxx!$G$235,[10]Tablexxxxx!$G$236,[10]Tablexxxxx!$G$237</definedName>
    <definedName name="__APW_RESTORE_DATA679__" hidden="1">[10]Tablexxxxx!$G$238,[10]Tablexxxxx!$G$239,[10]Tablexxxxx!$G$240,[10]Tablexxxxx!$G$241,[10]Tablexxxxx!$G$242,[10]Tablexxxxx!$G$243,[10]Tablexxxxx!$G$244,[10]Tablexxxxx!$G$245,[10]Tablexxxxx!$G$246,[10]Tablexxxxx!$G$247,[10]Tablexxxxx!$G$248,[10]Tablexxxxx!$G$249,[10]Tablexxxxx!$G$250,[10]Tablexxxxx!$G$251,[10]Tablexxxxx!$G$252</definedName>
    <definedName name="__APW_RESTORE_DATA68__" hidden="1">#REF!,#REF!,#REF!,#REF!,#REF!,#REF!,#REF!,#REF!,#REF!,#REF!,#REF!,#REF!,#REF!,#REF!,#REF!</definedName>
    <definedName name="__APW_RESTORE_DATA680__" hidden="1">[10]Tablexxxxx!$G$253,[10]Tablexxxxx!$G$254,[10]Tablexxxxx!$G$255,[10]Tablexxxxx!$G$256,[10]Tablexxxxx!$G$257</definedName>
    <definedName name="__APW_RESTORE_DATA681__" hidden="1">[10]Tablexxxxx!$H$6,[10]Tablexxxxx!$H$7,[10]Tablexxxxx!$H$8,[10]Tablexxxxx!$H$9,[10]Tablexxxxx!$H$10,[10]Tablexxxxx!$H$11,[10]Tablexxxxx!$H$12,[10]Tablexxxxx!$H$13,[10]Tablexxxxx!$H$14,[10]Tablexxxxx!$H$15,[10]Tablexxxxx!$H$16,[10]Tablexxxxx!$H$17,[10]Tablexxxxx!$H$18,[10]Tablexxxxx!$H$19,[10]Tablexxxxx!$H$20,[10]Tablexxxxx!$H$21,[10]Tablexxxxx!$H$22</definedName>
    <definedName name="__APW_RESTORE_DATA682__" hidden="1">[10]Tablexxxxx!$H$23,[10]Tablexxxxx!$H$24,[10]Tablexxxxx!$H$25,[10]Tablexxxxx!$H$26,[10]Tablexxxxx!$H$27,[10]Tablexxxxx!$H$28,[10]Tablexxxxx!$H$29,[10]Tablexxxxx!$H$30,[10]Tablexxxxx!$H$31,[10]Tablexxxxx!$H$32,[10]Tablexxxxx!$H$33,[10]Tablexxxxx!$H$34,[10]Tablexxxxx!$H$35,[10]Tablexxxxx!$H$36,[10]Tablexxxxx!$H$37,[10]Tablexxxxx!$H$38</definedName>
    <definedName name="__APW_RESTORE_DATA683__" hidden="1">[10]Tablexxxxx!$H$39,[10]Tablexxxxx!$H$40,[10]Tablexxxxx!$H$41,[10]Tablexxxxx!$H$42,[10]Tablexxxxx!$H$43,[10]Tablexxxxx!$H$44,[10]Tablexxxxx!$H$45,[10]Tablexxxxx!$H$46,[10]Tablexxxxx!$H$47,[10]Tablexxxxx!$H$48,[10]Tablexxxxx!$H$49,[10]Tablexxxxx!$H$50,[10]Tablexxxxx!$H$51,[10]Tablexxxxx!$H$52,[10]Tablexxxxx!$H$53,[10]Tablexxxxx!$H$54</definedName>
    <definedName name="__APW_RESTORE_DATA684__" hidden="1">[10]Tablexxxxx!$H$55,[10]Tablexxxxx!$H$56,[10]Tablexxxxx!$H$57,[10]Tablexxxxx!$H$58,[10]Tablexxxxx!$H$59,[10]Tablexxxxx!$H$60,[10]Tablexxxxx!$H$61,[10]Tablexxxxx!$H$62,[10]Tablexxxxx!$H$63,[10]Tablexxxxx!$H$64,[10]Tablexxxxx!$H$65,[10]Tablexxxxx!$H$66,[10]Tablexxxxx!$H$67,[10]Tablexxxxx!$H$68,[10]Tablexxxxx!$H$69,[10]Tablexxxxx!$H$70</definedName>
    <definedName name="__APW_RESTORE_DATA685__" hidden="1">[10]Tablexxxxx!$H$71,[10]Tablexxxxx!$H$72,[10]Tablexxxxx!$H$73,[10]Tablexxxxx!$H$74,[10]Tablexxxxx!$H$75,[10]Tablexxxxx!$H$76,[10]Tablexxxxx!$H$77,[10]Tablexxxxx!$H$78,[10]Tablexxxxx!$H$79,[10]Tablexxxxx!$H$80,[10]Tablexxxxx!$H$81,[10]Tablexxxxx!$H$82,[10]Tablexxxxx!$H$83,[10]Tablexxxxx!$H$84,[10]Tablexxxxx!$H$85,[10]Tablexxxxx!$H$86</definedName>
    <definedName name="__APW_RESTORE_DATA686__" hidden="1">[10]Tablexxxxx!$H$87,[10]Tablexxxxx!$H$88,[10]Tablexxxxx!$H$89,[10]Tablexxxxx!$H$90,[10]Tablexxxxx!$H$91,[10]Tablexxxxx!$H$92,[10]Tablexxxxx!$H$93,[10]Tablexxxxx!$H$94,[10]Tablexxxxx!$H$95,[10]Tablexxxxx!$H$96,[10]Tablexxxxx!$H$97,[10]Tablexxxxx!$H$98,[10]Tablexxxxx!$H$99,[10]Tablexxxxx!$H$100,[10]Tablexxxxx!$H$101,[10]Tablexxxxx!$H$102</definedName>
    <definedName name="__APW_RESTORE_DATA687__" hidden="1">[10]Tablexxxxx!$H$103,[10]Tablexxxxx!$H$104,[10]Tablexxxxx!$H$105,[10]Tablexxxxx!$H$106,[10]Tablexxxxx!$H$107,[10]Tablexxxxx!$H$108,[10]Tablexxxxx!$H$109,[10]Tablexxxxx!$H$110,[10]Tablexxxxx!$H$111,[10]Tablexxxxx!$H$112,[10]Tablexxxxx!$H$113,[10]Tablexxxxx!$H$114,[10]Tablexxxxx!$H$115,[10]Tablexxxxx!$H$116,[10]Tablexxxxx!$H$117</definedName>
    <definedName name="__APW_RESTORE_DATA688__" hidden="1">[10]Tablexxxxx!$H$118,[10]Tablexxxxx!$H$119,[10]Tablexxxxx!$H$120,[10]Tablexxxxx!$H$121,[10]Tablexxxxx!$H$122,[10]Tablexxxxx!$H$123,[10]Tablexxxxx!$H$124,[10]Tablexxxxx!$H$125,[10]Tablexxxxx!$H$126,[10]Tablexxxxx!$H$127,[10]Tablexxxxx!$H$128,[10]Tablexxxxx!$H$129,[10]Tablexxxxx!$H$130,[10]Tablexxxxx!$H$131,[10]Tablexxxxx!$H$132</definedName>
    <definedName name="__APW_RESTORE_DATA689__" hidden="1">[10]Tablexxxxx!$H$133,[10]Tablexxxxx!$H$134,[10]Tablexxxxx!$H$135,[10]Tablexxxxx!$H$136,[10]Tablexxxxx!$H$137,[10]Tablexxxxx!$H$138,[10]Tablexxxxx!$H$139,[10]Tablexxxxx!$H$140,[10]Tablexxxxx!$H$141,[10]Tablexxxxx!$H$142,[10]Tablexxxxx!$H$143,[10]Tablexxxxx!$H$144,[10]Tablexxxxx!$H$145,[10]Tablexxxxx!$H$146,[10]Tablexxxxx!$H$147</definedName>
    <definedName name="__APW_RESTORE_DATA69__" hidden="1">#REF!,#REF!,#REF!,#REF!,#REF!,#REF!,#REF!,#REF!,#REF!,#REF!,#REF!,#REF!,#REF!,#REF!,#REF!</definedName>
    <definedName name="__APW_RESTORE_DATA690__" hidden="1">[10]Tablexxxxx!$H$148,[10]Tablexxxxx!$H$149,[10]Tablexxxxx!$H$150,[10]Tablexxxxx!$H$151,[10]Tablexxxxx!$H$152,[10]Tablexxxxx!$H$153,[10]Tablexxxxx!$H$154,[10]Tablexxxxx!$H$155,[10]Tablexxxxx!$H$156,[10]Tablexxxxx!$H$157,[10]Tablexxxxx!$H$158,[10]Tablexxxxx!$H$159,[10]Tablexxxxx!$H$160,[10]Tablexxxxx!$H$161,[10]Tablexxxxx!$H$162</definedName>
    <definedName name="__APW_RESTORE_DATA691__" hidden="1">[10]Tablexxxxx!$H$163,[10]Tablexxxxx!$H$164,[10]Tablexxxxx!$H$165,[10]Tablexxxxx!$H$166,[10]Tablexxxxx!$H$167,[10]Tablexxxxx!$H$168,[10]Tablexxxxx!$H$169,[10]Tablexxxxx!$H$170,[10]Tablexxxxx!$H$171,[10]Tablexxxxx!$H$172,[10]Tablexxxxx!$H$173,[10]Tablexxxxx!$H$174,[10]Tablexxxxx!$H$175,[10]Tablexxxxx!$H$176,[10]Tablexxxxx!$H$177</definedName>
    <definedName name="__APW_RESTORE_DATA692__" hidden="1">[10]Tablexxxxx!$H$178,[10]Tablexxxxx!$H$179,[10]Tablexxxxx!$H$180,[10]Tablexxxxx!$H$181,[10]Tablexxxxx!$H$182,[10]Tablexxxxx!$H$183,[10]Tablexxxxx!$H$184,[10]Tablexxxxx!$H$185,[10]Tablexxxxx!$H$186,[10]Tablexxxxx!$H$187,[10]Tablexxxxx!$H$188,[10]Tablexxxxx!$H$189,[10]Tablexxxxx!$H$190,[10]Tablexxxxx!$H$191,[10]Tablexxxxx!$H$192</definedName>
    <definedName name="__APW_RESTORE_DATA693__" hidden="1">[10]Tablexxxxx!$H$193,[10]Tablexxxxx!$H$194,[10]Tablexxxxx!$H$195,[10]Tablexxxxx!$H$196,[10]Tablexxxxx!$H$197,[10]Tablexxxxx!$H$198,[10]Tablexxxxx!$H$199,[10]Tablexxxxx!$H$200,[10]Tablexxxxx!$H$201,[10]Tablexxxxx!$H$202,[10]Tablexxxxx!$H$203,[10]Tablexxxxx!$H$204,[10]Tablexxxxx!$H$205,[10]Tablexxxxx!$H$206,[10]Tablexxxxx!$H$207</definedName>
    <definedName name="__APW_RESTORE_DATA694__" hidden="1">[10]Tablexxxxx!$H$208,[10]Tablexxxxx!$H$209,[10]Tablexxxxx!$H$210,[10]Tablexxxxx!$H$211,[10]Tablexxxxx!$H$212,[10]Tablexxxxx!$H$213,[10]Tablexxxxx!$H$214,[10]Tablexxxxx!$H$215,[10]Tablexxxxx!$H$216,[10]Tablexxxxx!$H$217,[10]Tablexxxxx!$H$218,[10]Tablexxxxx!$H$219,[10]Tablexxxxx!$H$220,[10]Tablexxxxx!$H$221,[10]Tablexxxxx!$H$222</definedName>
    <definedName name="__APW_RESTORE_DATA695__" hidden="1">[10]Tablexxxxx!$H$223,[10]Tablexxxxx!$H$224,[10]Tablexxxxx!$H$225,[10]Tablexxxxx!$H$226,[10]Tablexxxxx!$H$227,[10]Tablexxxxx!$H$228,[10]Tablexxxxx!$H$229,[10]Tablexxxxx!$H$230,[10]Tablexxxxx!$H$231,[10]Tablexxxxx!$H$232,[10]Tablexxxxx!$H$233,[10]Tablexxxxx!$H$234,[10]Tablexxxxx!$H$235,[10]Tablexxxxx!$H$236,[10]Tablexxxxx!$H$237</definedName>
    <definedName name="__APW_RESTORE_DATA696__" hidden="1">[10]Tablexxxxx!$H$238,[10]Tablexxxxx!$H$239,[10]Tablexxxxx!$H$240,[10]Tablexxxxx!$H$241,[10]Tablexxxxx!$H$242,[10]Tablexxxxx!$H$243,[10]Tablexxxxx!$H$244,[10]Tablexxxxx!$H$245,[10]Tablexxxxx!$H$246,[10]Tablexxxxx!$H$247,[10]Tablexxxxx!$H$248,[10]Tablexxxxx!$H$249,[10]Tablexxxxx!$H$250,[10]Tablexxxxx!$H$251,[10]Tablexxxxx!$H$252</definedName>
    <definedName name="__APW_RESTORE_DATA697__" hidden="1">[10]Tablexxxxx!$H$253,[10]Tablexxxxx!$H$254,[10]Tablexxxxx!$H$255,[10]Tablexxxxx!$H$256,[10]Tablexxxxx!$H$257</definedName>
    <definedName name="__APW_RESTORE_DATA698__" hidden="1">[10]Tablexxxxx!$I$6,[10]Tablexxxxx!$I$7,[10]Tablexxxxx!$I$8,[10]Tablexxxxx!$I$9,[10]Tablexxxxx!$I$10,[10]Tablexxxxx!$I$11,[10]Tablexxxxx!$I$12,[10]Tablexxxxx!$I$13,[10]Tablexxxxx!$I$14,[10]Tablexxxxx!$I$15,[10]Tablexxxxx!$I$16,[10]Tablexxxxx!$I$17,[10]Tablexxxxx!$I$18,[10]Tablexxxxx!$I$19,[10]Tablexxxxx!$I$20,[10]Tablexxxxx!$I$21,[10]Tablexxxxx!$I$22</definedName>
    <definedName name="__APW_RESTORE_DATA699__" hidden="1">[10]Tablexxxxx!$I$23,[10]Tablexxxxx!$I$24,[10]Tablexxxxx!$I$25,[10]Tablexxxxx!$I$26,[10]Tablexxxxx!$I$27,[10]Tablexxxxx!$I$28,[10]Tablexxxxx!$I$29,[10]Tablexxxxx!$I$30,[10]Tablexxxxx!$I$31,[10]Tablexxxxx!$I$32,[10]Tablexxxxx!$I$33,[10]Tablexxxxx!$I$34,[10]Tablexxxxx!$I$35,[10]Tablexxxxx!$I$36,[10]Tablexxxxx!$I$37,[10]Tablexxxxx!$I$38</definedName>
    <definedName name="__APW_RESTORE_DATA7__" hidden="1">#REF!,#REF!,#REF!,#REF!,#REF!,#REF!,#REF!,#REF!,#REF!,#REF!,#REF!,#REF!,#REF!,#REF!,#REF!</definedName>
    <definedName name="__APW_RESTORE_DATA70__" hidden="1">#REF!,#REF!,#REF!,#REF!,#REF!,#REF!,#REF!,#REF!,#REF!,#REF!,#REF!,#REF!,#REF!,#REF!,#REF!</definedName>
    <definedName name="__APW_RESTORE_DATA700__" hidden="1">[10]Tablexxxxx!$I$39,[10]Tablexxxxx!$I$40,[10]Tablexxxxx!$I$41,[10]Tablexxxxx!$I$42,[10]Tablexxxxx!$I$43,[10]Tablexxxxx!$I$44,[10]Tablexxxxx!$I$45,[10]Tablexxxxx!$I$46,[10]Tablexxxxx!$I$47,[10]Tablexxxxx!$I$48,[10]Tablexxxxx!$I$49,[10]Tablexxxxx!$I$50,[10]Tablexxxxx!$I$51,[10]Tablexxxxx!$I$52,[10]Tablexxxxx!$I$53,[10]Tablexxxxx!$I$54</definedName>
    <definedName name="__APW_RESTORE_DATA701__" hidden="1">[10]Tablexxxxx!$I$55,[10]Tablexxxxx!$I$56,[10]Tablexxxxx!$I$57,[10]Tablexxxxx!$I$58,[10]Tablexxxxx!$I$59,[10]Tablexxxxx!$I$60,[10]Tablexxxxx!$I$61,[10]Tablexxxxx!$I$62,[10]Tablexxxxx!$I$63,[10]Tablexxxxx!$I$64,[10]Tablexxxxx!$I$65,[10]Tablexxxxx!$I$66,[10]Tablexxxxx!$I$67,[10]Tablexxxxx!$I$68,[10]Tablexxxxx!$I$69,[10]Tablexxxxx!$I$70</definedName>
    <definedName name="__APW_RESTORE_DATA702__" hidden="1">[10]Tablexxxxx!$I$71,[10]Tablexxxxx!$I$72,[10]Tablexxxxx!$I$73,[10]Tablexxxxx!$I$74,[10]Tablexxxxx!$I$75,[10]Tablexxxxx!$I$76,[10]Tablexxxxx!$I$77,[10]Tablexxxxx!$I$78,[10]Tablexxxxx!$I$79,[10]Tablexxxxx!$I$80,[10]Tablexxxxx!$I$81,[10]Tablexxxxx!$I$82,[10]Tablexxxxx!$I$83,[10]Tablexxxxx!$I$84,[10]Tablexxxxx!$I$85,[10]Tablexxxxx!$I$86</definedName>
    <definedName name="__APW_RESTORE_DATA703__" hidden="1">[10]Tablexxxxx!$I$87,[10]Tablexxxxx!$I$88,[10]Tablexxxxx!$I$89,[10]Tablexxxxx!$I$90,[10]Tablexxxxx!$I$91,[10]Tablexxxxx!$I$92,[10]Tablexxxxx!$I$93,[10]Tablexxxxx!$I$94,[10]Tablexxxxx!$I$95,[10]Tablexxxxx!$I$96,[10]Tablexxxxx!$I$97,[10]Tablexxxxx!$I$98,[10]Tablexxxxx!$I$99,[10]Tablexxxxx!$I$100,[10]Tablexxxxx!$I$101,[10]Tablexxxxx!$I$102</definedName>
    <definedName name="__APW_RESTORE_DATA704__" hidden="1">[10]Tablexxxxx!$I$103,[10]Tablexxxxx!$I$104,[10]Tablexxxxx!$I$105,[10]Tablexxxxx!$I$106,[10]Tablexxxxx!$I$107,[10]Tablexxxxx!$I$108,[10]Tablexxxxx!$I$109,[10]Tablexxxxx!$I$110,[10]Tablexxxxx!$I$111,[10]Tablexxxxx!$I$112,[10]Tablexxxxx!$I$113,[10]Tablexxxxx!$I$114,[10]Tablexxxxx!$I$115,[10]Tablexxxxx!$I$116,[10]Tablexxxxx!$I$117</definedName>
    <definedName name="__APW_RESTORE_DATA705__" hidden="1">#REF!,#REF!,#REF!,#REF!,#REF!,#REF!,#REF!,#REF!,#REF!,#REF!,#REF!,#REF!,#REF!,#REF!,#REF!,#REF!,#REF!</definedName>
    <definedName name="__APW_RESTORE_DATA706__" hidden="1">#REF!,#REF!,#REF!,#REF!,#REF!,#REF!,#REF!,#REF!,#REF!,#REF!,#REF!,#REF!,#REF!,#REF!,#REF!,#REF!</definedName>
    <definedName name="__APW_RESTORE_DATA707__" hidden="1">#REF!,#REF!,#REF!,#REF!,#REF!,#REF!,#REF!,#REF!,#REF!,#REF!,#REF!,#REF!,#REF!,#REF!,#REF!,#REF!</definedName>
    <definedName name="__APW_RESTORE_DATA708__" hidden="1">#REF!,#REF!,#REF!,#REF!,#REF!,#REF!,#REF!,#REF!,#REF!,#REF!,#REF!,#REF!,#REF!,#REF!,#REF!,#REF!</definedName>
    <definedName name="__APW_RESTORE_DATA709__" hidden="1">#REF!,#REF!,#REF!,#REF!,#REF!,#REF!,#REF!,#REF!,#REF!,#REF!,#REF!,#REF!,#REF!,#REF!,#REF!,#REF!</definedName>
    <definedName name="__APW_RESTORE_DATA71__" hidden="1">#REF!,#REF!,#REF!,#REF!,#REF!,#REF!</definedName>
    <definedName name="__APW_RESTORE_DATA710__" hidden="1">#REF!,#REF!,#REF!,#REF!,#REF!,#REF!,#REF!,#REF!,#REF!,#REF!,#REF!,#REF!,#REF!,#REF!,#REF!,#REF!</definedName>
    <definedName name="__APW_RESTORE_DATA711__" hidden="1">#REF!,#REF!,#REF!,#REF!,#REF!,#REF!,#REF!,#REF!,#REF!,#REF!,#REF!,#REF!,#REF!,#REF!,#REF!</definedName>
    <definedName name="__APW_RESTORE_DATA712__" hidden="1">#REF!,#REF!,#REF!,#REF!,#REF!,#REF!,#REF!,#REF!,#REF!,#REF!,#REF!,#REF!,#REF!,#REF!,#REF!</definedName>
    <definedName name="__APW_RESTORE_DATA713__" hidden="1">#REF!,#REF!,#REF!,#REF!,#REF!,#REF!,#REF!,#REF!,#REF!,#REF!,#REF!,#REF!,#REF!,#REF!,#REF!</definedName>
    <definedName name="__APW_RESTORE_DATA714__" hidden="1">#REF!,#REF!,#REF!,#REF!,#REF!,#REF!,#REF!,#REF!,#REF!,#REF!,#REF!,#REF!,#REF!,#REF!,#REF!</definedName>
    <definedName name="__APW_RESTORE_DATA715__" hidden="1">#REF!,#REF!,#REF!,#REF!,#REF!,#REF!,#REF!,#REF!,#REF!,#REF!,#REF!,#REF!,#REF!,#REF!,#REF!</definedName>
    <definedName name="__APW_RESTORE_DATA716__" hidden="1">#REF!,#REF!,#REF!,#REF!,#REF!,#REF!,#REF!,#REF!,#REF!,#REF!,#REF!,#REF!,#REF!,#REF!,#REF!</definedName>
    <definedName name="__APW_RESTORE_DATA717__" hidden="1">#REF!,#REF!,#REF!,#REF!,#REF!,#REF!,#REF!,#REF!,#REF!,#REF!,#REF!,#REF!,#REF!,#REF!,#REF!</definedName>
    <definedName name="__APW_RESTORE_DATA718__" hidden="1">#REF!,#REF!,#REF!,#REF!,#REF!,#REF!,#REF!,#REF!,#REF!,#REF!,#REF!,#REF!,#REF!,#REF!,#REF!</definedName>
    <definedName name="__APW_RESTORE_DATA719__" hidden="1">#REF!,#REF!,#REF!,#REF!,#REF!,#REF!,#REF!,#REF!,#REF!</definedName>
    <definedName name="__APW_RESTORE_DATA72__" hidden="1">#REF!,#REF!,#REF!,#REF!,#REF!,#REF!,#REF!,#REF!,#REF!,#REF!,#REF!,#REF!,#REF!,#REF!,#REF!,#REF!,#REF!</definedName>
    <definedName name="__APW_RESTORE_DATA720__" hidden="1">#REF!,#REF!,#REF!,#REF!,#REF!,#REF!,#REF!,#REF!,#REF!,#REF!,#REF!,#REF!,#REF!,#REF!,#REF!,#REF!,#REF!</definedName>
    <definedName name="__APW_RESTORE_DATA721__" hidden="1">#REF!,#REF!,#REF!,#REF!,#REF!,#REF!,#REF!,#REF!,#REF!,#REF!,#REF!,#REF!,#REF!,#REF!,#REF!,#REF!</definedName>
    <definedName name="__APW_RESTORE_DATA722__" hidden="1">#REF!,#REF!,#REF!,#REF!,#REF!,#REF!,#REF!,#REF!,#REF!,#REF!,#REF!,#REF!,#REF!,#REF!,#REF!,#REF!</definedName>
    <definedName name="__APW_RESTORE_DATA723__" hidden="1">#REF!,#REF!,#REF!,#REF!,#REF!,#REF!,#REF!,#REF!,#REF!,#REF!,#REF!,#REF!,#REF!,#REF!,#REF!,#REF!</definedName>
    <definedName name="__APW_RESTORE_DATA724__" hidden="1">#REF!,#REF!,#REF!,#REF!,#REF!,#REF!,#REF!,#REF!,#REF!,#REF!,#REF!,#REF!,#REF!,#REF!,#REF!,#REF!</definedName>
    <definedName name="__APW_RESTORE_DATA725__" hidden="1">#REF!,#REF!,#REF!,#REF!,#REF!,#REF!,#REF!,#REF!,#REF!,#REF!,#REF!,#REF!,#REF!,#REF!,#REF!,#REF!</definedName>
    <definedName name="__APW_RESTORE_DATA726__" hidden="1">#REF!,#REF!,#REF!,#REF!,#REF!,#REF!,#REF!,#REF!,#REF!,#REF!,#REF!,#REF!,#REF!,#REF!,#REF!</definedName>
    <definedName name="__APW_RESTORE_DATA727__" hidden="1">#REF!,#REF!,#REF!,#REF!,#REF!,#REF!,#REF!,#REF!,#REF!,#REF!,#REF!,#REF!,#REF!,#REF!,#REF!</definedName>
    <definedName name="__APW_RESTORE_DATA728__" hidden="1">#REF!,#REF!,#REF!,#REF!,#REF!,#REF!,#REF!,#REF!,#REF!,#REF!,#REF!,#REF!,#REF!,#REF!,#REF!</definedName>
    <definedName name="__APW_RESTORE_DATA729__" hidden="1">#REF!,#REF!,#REF!,#REF!,#REF!,#REF!,#REF!,#REF!,#REF!,#REF!,#REF!,#REF!,#REF!,#REF!,#REF!</definedName>
    <definedName name="__APW_RESTORE_DATA73__" hidden="1">#REF!,#REF!,#REF!,#REF!,#REF!,#REF!,#REF!,#REF!,#REF!,#REF!,#REF!,#REF!,#REF!,#REF!,#REF!,#REF!</definedName>
    <definedName name="__APW_RESTORE_DATA730__" hidden="1">#REF!,#REF!,#REF!,#REF!,#REF!,#REF!,#REF!,#REF!,#REF!,#REF!,#REF!,#REF!,#REF!,#REF!,#REF!</definedName>
    <definedName name="__APW_RESTORE_DATA731__" hidden="1">#REF!,#REF!,#REF!,#REF!,#REF!,#REF!,#REF!,#REF!,#REF!,#REF!,#REF!,#REF!,#REF!,#REF!,#REF!</definedName>
    <definedName name="__APW_RESTORE_DATA732__" hidden="1">#REF!,#REF!,#REF!,#REF!,#REF!,#REF!,#REF!,#REF!,#REF!,#REF!,#REF!,#REF!,#REF!,#REF!,#REF!</definedName>
    <definedName name="__APW_RESTORE_DATA733__" hidden="1">#REF!,#REF!,#REF!,#REF!,#REF!,#REF!,#REF!,#REF!,#REF!,#REF!,#REF!,#REF!,#REF!,#REF!,#REF!</definedName>
    <definedName name="__APW_RESTORE_DATA734__" hidden="1">#REF!,#REF!,#REF!,#REF!,#REF!,#REF!,#REF!,#REF!,#REF!</definedName>
    <definedName name="__APW_RESTORE_DATA735__" hidden="1">#REF!,#REF!,#REF!,#REF!,#REF!,#REF!,#REF!,#REF!,#REF!,#REF!,#REF!,#REF!,#REF!,#REF!,#REF!,#REF!,#REF!</definedName>
    <definedName name="__APW_RESTORE_DATA736__" hidden="1">#REF!,#REF!,#REF!,#REF!,#REF!,#REF!,#REF!,#REF!,#REF!,#REF!,#REF!,#REF!,#REF!,#REF!,#REF!,#REF!</definedName>
    <definedName name="__APW_RESTORE_DATA737__" hidden="1">#REF!,#REF!,#REF!,#REF!,#REF!,#REF!,#REF!,#REF!,#REF!,#REF!,#REF!,#REF!,#REF!,#REF!,#REF!,#REF!</definedName>
    <definedName name="__APW_RESTORE_DATA738__" hidden="1">#REF!,#REF!,#REF!,#REF!,#REF!,#REF!,#REF!,#REF!,#REF!,#REF!,#REF!,#REF!,#REF!,#REF!,#REF!,#REF!</definedName>
    <definedName name="__APW_RESTORE_DATA739__" hidden="1">#REF!,#REF!,#REF!,#REF!,#REF!,#REF!,#REF!,#REF!,#REF!,#REF!,#REF!,#REF!,#REF!,#REF!,#REF!,#REF!</definedName>
    <definedName name="__APW_RESTORE_DATA74__" hidden="1">#REF!,#REF!,#REF!,#REF!,#REF!,#REF!,#REF!,#REF!,#REF!,#REF!,#REF!,#REF!,#REF!,#REF!,#REF!,#REF!</definedName>
    <definedName name="__APW_RESTORE_DATA740__" hidden="1">#REF!,#REF!,#REF!,#REF!,#REF!,#REF!,#REF!,#REF!,#REF!,#REF!,#REF!,#REF!,#REF!,#REF!,#REF!,#REF!</definedName>
    <definedName name="__APW_RESTORE_DATA741__" hidden="1">#REF!,#REF!,#REF!,#REF!,#REF!,#REF!,#REF!,#REF!,#REF!,#REF!,#REF!,#REF!,#REF!,#REF!,#REF!</definedName>
    <definedName name="__APW_RESTORE_DATA742__" hidden="1">#REF!,#REF!,#REF!,#REF!,#REF!,#REF!,#REF!,#REF!,#REF!,#REF!,#REF!,#REF!,#REF!,#REF!,#REF!</definedName>
    <definedName name="__APW_RESTORE_DATA743__" hidden="1">#REF!,#REF!,#REF!,#REF!,#REF!,#REF!,#REF!,#REF!,#REF!,#REF!,#REF!,#REF!,#REF!,#REF!,#REF!</definedName>
    <definedName name="__APW_RESTORE_DATA744__" hidden="1">#REF!,#REF!,#REF!,#REF!,#REF!,#REF!,#REF!,#REF!,#REF!,#REF!,#REF!,#REF!,#REF!,#REF!,#REF!</definedName>
    <definedName name="__APW_RESTORE_DATA745__" hidden="1">#REF!,#REF!,#REF!,#REF!,#REF!,#REF!,#REF!,#REF!,#REF!,#REF!,#REF!,#REF!,#REF!,#REF!,#REF!</definedName>
    <definedName name="__APW_RESTORE_DATA746__" hidden="1">#REF!,#REF!,#REF!,#REF!,#REF!,#REF!,#REF!,#REF!,#REF!,#REF!,#REF!,#REF!,#REF!,#REF!,#REF!</definedName>
    <definedName name="__APW_RESTORE_DATA747__" hidden="1">#REF!,#REF!,#REF!,#REF!,#REF!,#REF!,#REF!,#REF!,#REF!,#REF!,#REF!,#REF!,#REF!,#REF!,#REF!</definedName>
    <definedName name="__APW_RESTORE_DATA748__" hidden="1">#REF!,#REF!,#REF!,#REF!,#REF!,#REF!,#REF!,#REF!,#REF!,#REF!,#REF!,#REF!,#REF!,#REF!,#REF!</definedName>
    <definedName name="__APW_RESTORE_DATA749__" hidden="1">#REF!,#REF!,#REF!,#REF!,#REF!,#REF!,#REF!,#REF!,#REF!</definedName>
    <definedName name="__APW_RESTORE_DATA75__" hidden="1">#REF!,#REF!,#REF!,#REF!,#REF!,#REF!,#REF!,#REF!,#REF!,#REF!,#REF!,#REF!,#REF!,#REF!,#REF!,#REF!</definedName>
    <definedName name="__APW_RESTORE_DATA750__" hidden="1">#REF!,#REF!,#REF!,#REF!,#REF!,#REF!,#REF!,#REF!,#REF!,#REF!,#REF!,#REF!,#REF!,#REF!,#REF!,#REF!,#REF!</definedName>
    <definedName name="__APW_RESTORE_DATA751__" hidden="1">#REF!,#REF!,#REF!,#REF!,#REF!,#REF!,#REF!,#REF!,#REF!,#REF!,#REF!,#REF!,#REF!,#REF!,#REF!,#REF!</definedName>
    <definedName name="__APW_RESTORE_DATA752__" hidden="1">#REF!,#REF!,#REF!,#REF!,#REF!,#REF!,#REF!,#REF!,#REF!,#REF!,#REF!,#REF!,#REF!,#REF!,#REF!,#REF!</definedName>
    <definedName name="__APW_RESTORE_DATA753__" hidden="1">#REF!,#REF!,#REF!,#REF!,#REF!,#REF!,#REF!,#REF!,#REF!,#REF!,#REF!,#REF!,#REF!,#REF!,#REF!,#REF!</definedName>
    <definedName name="__APW_RESTORE_DATA754__" hidden="1">#REF!,#REF!,#REF!,#REF!,#REF!,#REF!,#REF!,#REF!,#REF!,#REF!,#REF!,#REF!,#REF!,#REF!,#REF!,#REF!</definedName>
    <definedName name="__APW_RESTORE_DATA755__" hidden="1">#REF!,#REF!,#REF!,#REF!,#REF!,#REF!,#REF!,#REF!,#REF!,#REF!,#REF!,#REF!,#REF!,#REF!,#REF!,#REF!</definedName>
    <definedName name="__APW_RESTORE_DATA756__" hidden="1">#REF!,#REF!,#REF!,#REF!,#REF!,#REF!,#REF!,#REF!,#REF!,#REF!,#REF!,#REF!,#REF!,#REF!,#REF!</definedName>
    <definedName name="__APW_RESTORE_DATA757__" hidden="1">#REF!,#REF!,#REF!,#REF!,#REF!,#REF!,#REF!,#REF!,#REF!,#REF!,#REF!,#REF!,#REF!,#REF!,#REF!</definedName>
    <definedName name="__APW_RESTORE_DATA758__" hidden="1">#REF!,#REF!,#REF!,#REF!,#REF!,#REF!,#REF!,#REF!,#REF!,#REF!,#REF!,#REF!,#REF!,#REF!,#REF!</definedName>
    <definedName name="__APW_RESTORE_DATA759__" hidden="1">#REF!,#REF!,#REF!,#REF!,#REF!,#REF!,#REF!,#REF!,#REF!,#REF!,#REF!,#REF!,#REF!,#REF!,#REF!</definedName>
    <definedName name="__APW_RESTORE_DATA76__" hidden="1">#REF!,#REF!,#REF!,#REF!,#REF!,#REF!,#REF!,#REF!,#REF!,#REF!,#REF!,#REF!,#REF!,#REF!,#REF!,#REF!</definedName>
    <definedName name="__APW_RESTORE_DATA760__" hidden="1">#REF!,#REF!,#REF!,#REF!,#REF!,#REF!,#REF!,#REF!,#REF!,#REF!,#REF!,#REF!,#REF!,#REF!,#REF!</definedName>
    <definedName name="__APW_RESTORE_DATA761__" hidden="1">#REF!,#REF!,#REF!,#REF!,#REF!,#REF!,#REF!,#REF!,#REF!,#REF!,#REF!,#REF!,#REF!,#REF!,#REF!</definedName>
    <definedName name="__APW_RESTORE_DATA762__" hidden="1">#REF!,#REF!,#REF!,#REF!,#REF!,#REF!,#REF!,#REF!,#REF!,#REF!,#REF!,#REF!,#REF!,#REF!,#REF!</definedName>
    <definedName name="__APW_RESTORE_DATA763__" hidden="1">#REF!,#REF!,#REF!,#REF!,#REF!,#REF!,#REF!,#REF!,#REF!,#REF!,#REF!,#REF!,#REF!,#REF!,#REF!</definedName>
    <definedName name="__APW_RESTORE_DATA764__" hidden="1">#REF!,#REF!,#REF!,#REF!,#REF!,#REF!,#REF!,#REF!,#REF!</definedName>
    <definedName name="__APW_RESTORE_DATA765__" hidden="1">#REF!,#REF!,#REF!,#REF!,#REF!,#REF!,#REF!,#REF!,#REF!,#REF!,#REF!,#REF!,#REF!,#REF!,#REF!,#REF!,#REF!</definedName>
    <definedName name="__APW_RESTORE_DATA766__" hidden="1">#REF!,#REF!,#REF!,#REF!,#REF!,#REF!,#REF!,#REF!,#REF!,#REF!,#REF!,#REF!,#REF!,#REF!,#REF!,#REF!</definedName>
    <definedName name="__APW_RESTORE_DATA767__" hidden="1">#REF!,#REF!,#REF!,#REF!,#REF!,#REF!,#REF!,#REF!,#REF!,#REF!,#REF!,#REF!,#REF!,#REF!,#REF!,#REF!</definedName>
    <definedName name="__APW_RESTORE_DATA768__" hidden="1">#REF!,#REF!,#REF!,#REF!,#REF!,#REF!,#REF!,#REF!,#REF!,#REF!,#REF!,#REF!,#REF!,#REF!,#REF!,#REF!</definedName>
    <definedName name="__APW_RESTORE_DATA769__" hidden="1">#REF!,#REF!,#REF!,#REF!,#REF!,#REF!,#REF!,#REF!,#REF!,#REF!,#REF!,#REF!,#REF!,#REF!,#REF!,#REF!</definedName>
    <definedName name="__APW_RESTORE_DATA77__" hidden="1">#REF!,#REF!,#REF!,#REF!,#REF!,#REF!,#REF!,#REF!,#REF!,#REF!,#REF!,#REF!,#REF!,#REF!,#REF!,#REF!</definedName>
    <definedName name="__APW_RESTORE_DATA770__" hidden="1">#REF!,#REF!,#REF!,#REF!,#REF!,#REF!,#REF!,#REF!,#REF!,#REF!,#REF!,#REF!,#REF!,#REF!,#REF!,#REF!</definedName>
    <definedName name="__APW_RESTORE_DATA771__" hidden="1">#REF!,#REF!,#REF!,#REF!,#REF!,#REF!,#REF!,#REF!,#REF!,#REF!,#REF!,#REF!,#REF!,#REF!,#REF!</definedName>
    <definedName name="__APW_RESTORE_DATA772__" hidden="1">#REF!,#REF!,#REF!,#REF!,#REF!,#REF!,#REF!,#REF!,#REF!,#REF!,#REF!,#REF!,#REF!,#REF!,#REF!</definedName>
    <definedName name="__APW_RESTORE_DATA773__" hidden="1">#REF!,#REF!,#REF!,#REF!,#REF!,#REF!,#REF!,#REF!,#REF!,#REF!,#REF!,#REF!,#REF!,#REF!,#REF!</definedName>
    <definedName name="__APW_RESTORE_DATA774__" hidden="1">#REF!,#REF!,#REF!,#REF!,#REF!,#REF!,#REF!,#REF!,#REF!,#REF!,#REF!,#REF!,#REF!,#REF!,#REF!</definedName>
    <definedName name="__APW_RESTORE_DATA775__" hidden="1">#REF!,#REF!,#REF!,#REF!,#REF!,#REF!,#REF!,#REF!,#REF!,#REF!,#REF!,#REF!,#REF!,#REF!,#REF!</definedName>
    <definedName name="__APW_RESTORE_DATA776__" hidden="1">#REF!,#REF!,#REF!,#REF!,#REF!,#REF!,#REF!,#REF!,#REF!,#REF!,#REF!,#REF!,#REF!,#REF!,#REF!</definedName>
    <definedName name="__APW_RESTORE_DATA777__" hidden="1">#REF!,#REF!,#REF!,#REF!,#REF!,#REF!,#REF!,#REF!,#REF!,#REF!,#REF!,#REF!,#REF!,#REF!,#REF!</definedName>
    <definedName name="__APW_RESTORE_DATA778__" hidden="1">#REF!,#REF!,#REF!,#REF!,#REF!,#REF!,#REF!,#REF!,#REF!,#REF!,#REF!,#REF!,#REF!,#REF!,#REF!</definedName>
    <definedName name="__APW_RESTORE_DATA779__" hidden="1">#REF!,#REF!,#REF!,#REF!,#REF!,#REF!,#REF!,#REF!,#REF!</definedName>
    <definedName name="__APW_RESTORE_DATA78__" hidden="1">#REF!,#REF!,#REF!,#REF!,#REF!,#REF!,#REF!,#REF!,#REF!,#REF!,#REF!,#REF!,#REF!,#REF!,#REF!</definedName>
    <definedName name="__APW_RESTORE_DATA780__" hidden="1">#REF!,#REF!,#REF!,#REF!,#REF!,#REF!,#REF!,#REF!,#REF!,#REF!,#REF!,#REF!,#REF!,#REF!,#REF!,#REF!,#REF!</definedName>
    <definedName name="__APW_RESTORE_DATA781__" hidden="1">#REF!,#REF!,#REF!,#REF!,#REF!,#REF!,#REF!,#REF!,#REF!,#REF!,#REF!,#REF!,#REF!,#REF!,#REF!,#REF!</definedName>
    <definedName name="__APW_RESTORE_DATA782__" hidden="1">#REF!,#REF!,#REF!,#REF!,#REF!,#REF!,#REF!,#REF!,#REF!,#REF!,#REF!,#REF!,#REF!,#REF!,#REF!,#REF!</definedName>
    <definedName name="__APW_RESTORE_DATA783__" hidden="1">#REF!,#REF!,#REF!,#REF!,#REF!,#REF!,#REF!,#REF!,#REF!,#REF!,#REF!,#REF!,#REF!,#REF!,#REF!,#REF!</definedName>
    <definedName name="__APW_RESTORE_DATA784__" hidden="1">#REF!,#REF!,#REF!,#REF!,#REF!,#REF!,#REF!,#REF!,#REF!,#REF!,#REF!,#REF!,#REF!,#REF!,#REF!,#REF!</definedName>
    <definedName name="__APW_RESTORE_DATA785__" hidden="1">#REF!,#REF!,#REF!,#REF!,#REF!,#REF!,#REF!,#REF!,#REF!,#REF!,#REF!,#REF!,#REF!,#REF!,#REF!,#REF!</definedName>
    <definedName name="__APW_RESTORE_DATA786__" hidden="1">#REF!,#REF!,#REF!,#REF!,#REF!,#REF!,#REF!,#REF!,#REF!,#REF!,#REF!,#REF!,#REF!,#REF!,#REF!</definedName>
    <definedName name="__APW_RESTORE_DATA787__" hidden="1">#REF!,#REF!,#REF!,#REF!,#REF!,#REF!,#REF!,#REF!,#REF!,#REF!,#REF!,#REF!,#REF!,#REF!,#REF!</definedName>
    <definedName name="__APW_RESTORE_DATA788__" hidden="1">#REF!,#REF!,#REF!,#REF!,#REF!,#REF!,#REF!,#REF!,#REF!,#REF!,#REF!,#REF!,#REF!,#REF!,#REF!</definedName>
    <definedName name="__APW_RESTORE_DATA789__" hidden="1">#REF!,#REF!,#REF!,#REF!,#REF!,#REF!,#REF!,#REF!,#REF!,#REF!,#REF!,#REF!,#REF!,#REF!,#REF!</definedName>
    <definedName name="__APW_RESTORE_DATA79__" hidden="1">#REF!,#REF!,#REF!,#REF!,#REF!,#REF!,#REF!,#REF!,#REF!,#REF!,#REF!,#REF!,#REF!,#REF!,#REF!</definedName>
    <definedName name="__APW_RESTORE_DATA790__" hidden="1">#REF!,#REF!,#REF!,#REF!,#REF!,#REF!,#REF!,#REF!,#REF!,#REF!,#REF!,#REF!,#REF!,#REF!,#REF!</definedName>
    <definedName name="__APW_RESTORE_DATA791__" hidden="1">#REF!,#REF!,#REF!,#REF!,#REF!,#REF!,#REF!,#REF!,#REF!,#REF!,#REF!,#REF!,#REF!,#REF!,#REF!</definedName>
    <definedName name="__APW_RESTORE_DATA792__" hidden="1">#REF!,#REF!,#REF!,#REF!,#REF!,#REF!,#REF!,#REF!,#REF!,#REF!,#REF!,#REF!,#REF!,#REF!,#REF!</definedName>
    <definedName name="__APW_RESTORE_DATA793__" hidden="1">#REF!,#REF!,#REF!,#REF!,#REF!,#REF!,#REF!,#REF!,#REF!,#REF!,#REF!,#REF!,#REF!,#REF!,#REF!</definedName>
    <definedName name="__APW_RESTORE_DATA794__" hidden="1">#REF!,#REF!,#REF!,#REF!,#REF!,#REF!,#REF!,#REF!,#REF!</definedName>
    <definedName name="__APW_RESTORE_DATA795__" hidden="1">#REF!,#REF!,#REF!,#REF!,#REF!,#REF!,#REF!,#REF!,#REF!,#REF!,#REF!,#REF!,#REF!,#REF!,#REF!,#REF!,#REF!</definedName>
    <definedName name="__APW_RESTORE_DATA796__" hidden="1">#REF!,#REF!,#REF!,#REF!,#REF!,#REF!,#REF!,#REF!,#REF!,#REF!,#REF!,#REF!,#REF!,#REF!,#REF!,#REF!</definedName>
    <definedName name="__APW_RESTORE_DATA797__" hidden="1">#REF!,#REF!,#REF!,#REF!,#REF!,#REF!,#REF!,#REF!,#REF!,#REF!,#REF!,#REF!,#REF!,#REF!,#REF!,#REF!</definedName>
    <definedName name="__APW_RESTORE_DATA798__" hidden="1">#REF!,#REF!,#REF!,#REF!,#REF!,#REF!,#REF!,#REF!,#REF!,#REF!,#REF!,#REF!,#REF!,#REF!,#REF!,#REF!</definedName>
    <definedName name="__APW_RESTORE_DATA799__" hidden="1">#REF!,#REF!,#REF!,#REF!,#REF!,#REF!,#REF!,#REF!,#REF!,#REF!,#REF!,#REF!,#REF!,#REF!,#REF!,#REF!</definedName>
    <definedName name="__APW_RESTORE_DATA8__" hidden="1">#REF!,#REF!,#REF!,#REF!,#REF!,#REF!,#REF!,#REF!,#REF!,#REF!,#REF!,#REF!,#REF!,#REF!,#REF!</definedName>
    <definedName name="__APW_RESTORE_DATA80__" hidden="1">#REF!,#REF!,#REF!,#REF!,#REF!,#REF!,#REF!,#REF!,#REF!,#REF!,#REF!,#REF!,#REF!,#REF!,#REF!</definedName>
    <definedName name="__APW_RESTORE_DATA800__" hidden="1">#REF!,#REF!,#REF!,#REF!,#REF!,#REF!,#REF!,#REF!,#REF!,#REF!,#REF!,#REF!,#REF!,#REF!,#REF!,#REF!</definedName>
    <definedName name="__APW_RESTORE_DATA801__" hidden="1">#REF!,#REF!,#REF!,#REF!,#REF!,#REF!,#REF!,#REF!,#REF!,#REF!,#REF!,#REF!,#REF!,#REF!,#REF!</definedName>
    <definedName name="__APW_RESTORE_DATA802__" hidden="1">#REF!,#REF!,#REF!,#REF!,#REF!,#REF!,#REF!,#REF!,#REF!,#REF!,#REF!,#REF!,#REF!,#REF!,#REF!</definedName>
    <definedName name="__APW_RESTORE_DATA803__" hidden="1">#REF!,#REF!,#REF!,#REF!,#REF!,#REF!,#REF!,#REF!,#REF!,#REF!,#REF!,#REF!,#REF!,#REF!,#REF!</definedName>
    <definedName name="__APW_RESTORE_DATA804__" hidden="1">#REF!,#REF!,#REF!,#REF!,#REF!,#REF!,#REF!,#REF!,#REF!,#REF!,#REF!,#REF!,#REF!,#REF!,#REF!</definedName>
    <definedName name="__APW_RESTORE_DATA805__" hidden="1">#REF!,#REF!,#REF!,#REF!,#REF!,#REF!,#REF!,#REF!,#REF!,#REF!,#REF!,#REF!,#REF!,#REF!,#REF!</definedName>
    <definedName name="__APW_RESTORE_DATA806__" hidden="1">#REF!,#REF!,#REF!,#REF!,#REF!,#REF!,#REF!,#REF!,#REF!,#REF!,#REF!,#REF!,#REF!,#REF!,#REF!</definedName>
    <definedName name="__APW_RESTORE_DATA807__" hidden="1">#REF!,#REF!,#REF!,#REF!,#REF!,#REF!,#REF!,#REF!,#REF!,#REF!,#REF!,#REF!,#REF!,#REF!,#REF!</definedName>
    <definedName name="__APW_RESTORE_DATA808__" hidden="1">#REF!,#REF!,#REF!,#REF!,#REF!,#REF!,#REF!,#REF!,#REF!,#REF!,#REF!,#REF!,#REF!,#REF!,#REF!</definedName>
    <definedName name="__APW_RESTORE_DATA809__" hidden="1">#REF!,#REF!,#REF!,#REF!,#REF!,#REF!,#REF!,#REF!,#REF!</definedName>
    <definedName name="__APW_RESTORE_DATA81__" hidden="1">#REF!,#REF!,#REF!,#REF!,#REF!,#REF!,#REF!,#REF!,#REF!,#REF!,#REF!,#REF!,#REF!,#REF!,#REF!</definedName>
    <definedName name="__APW_RESTORE_DATA810__" hidden="1">#REF!,#REF!,#REF!,#REF!,#REF!,#REF!,#REF!,#REF!,#REF!,#REF!,#REF!,#REF!,#REF!,#REF!,#REF!,#REF!,#REF!</definedName>
    <definedName name="__APW_RESTORE_DATA811__" hidden="1">#REF!,#REF!,#REF!,#REF!,#REF!,#REF!,#REF!,#REF!,#REF!,#REF!,#REF!,#REF!,#REF!,#REF!,#REF!,#REF!</definedName>
    <definedName name="__APW_RESTORE_DATA812__" hidden="1">#REF!,#REF!,#REF!,#REF!,#REF!,#REF!,#REF!,#REF!,#REF!,#REF!,#REF!,#REF!,#REF!,#REF!,#REF!,#REF!</definedName>
    <definedName name="__APW_RESTORE_DATA813__" hidden="1">#REF!,#REF!,#REF!,#REF!,#REF!,#REF!,#REF!,#REF!,#REF!,#REF!,#REF!,#REF!,#REF!,#REF!,#REF!,#REF!</definedName>
    <definedName name="__APW_RESTORE_DATA814__" hidden="1">#REF!,#REF!,#REF!,#REF!,#REF!,#REF!,#REF!,#REF!,#REF!,#REF!,#REF!,#REF!,#REF!,#REF!,#REF!,#REF!</definedName>
    <definedName name="__APW_RESTORE_DATA815__" hidden="1">#REF!,#REF!,#REF!,#REF!,#REF!,#REF!,#REF!,#REF!,#REF!,#REF!,#REF!,#REF!,#REF!,#REF!,#REF!,#REF!</definedName>
    <definedName name="__APW_RESTORE_DATA816__" hidden="1">#REF!,#REF!,#REF!,#REF!,#REF!,#REF!,#REF!,#REF!,#REF!,#REF!,#REF!,#REF!,#REF!,#REF!,#REF!</definedName>
    <definedName name="__APW_RESTORE_DATA817__" hidden="1">#REF!,#REF!,#REF!,#REF!,#REF!,#REF!,#REF!,#REF!,#REF!,#REF!,#REF!,#REF!,#REF!,#REF!,#REF!</definedName>
    <definedName name="__APW_RESTORE_DATA818__" hidden="1">#REF!,#REF!,#REF!,#REF!,#REF!,#REF!,#REF!,#REF!,#REF!,#REF!,#REF!,#REF!,#REF!,#REF!,#REF!</definedName>
    <definedName name="__APW_RESTORE_DATA819__" hidden="1">#REF!,#REF!,#REF!,#REF!,#REF!,#REF!,#REF!,#REF!,#REF!,#REF!,#REF!,#REF!,#REF!,#REF!,#REF!</definedName>
    <definedName name="__APW_RESTORE_DATA82__" hidden="1">#REF!,#REF!,#REF!,#REF!,#REF!,#REF!,#REF!,#REF!,#REF!,#REF!,#REF!,#REF!,#REF!,#REF!,#REF!</definedName>
    <definedName name="__APW_RESTORE_DATA820__" hidden="1">#REF!,#REF!,#REF!,#REF!,#REF!,#REF!,#REF!,#REF!,#REF!,#REF!,#REF!,#REF!,#REF!,#REF!,#REF!</definedName>
    <definedName name="__APW_RESTORE_DATA821__" hidden="1">#REF!,#REF!,#REF!,#REF!,#REF!,#REF!,#REF!,#REF!,#REF!,#REF!,#REF!,#REF!,#REF!,#REF!,#REF!</definedName>
    <definedName name="__APW_RESTORE_DATA822__" hidden="1">#REF!,#REF!,#REF!,#REF!,#REF!,#REF!,#REF!,#REF!,#REF!,#REF!,#REF!,#REF!,#REF!,#REF!,#REF!</definedName>
    <definedName name="__APW_RESTORE_DATA823__" hidden="1">#REF!,#REF!,#REF!,#REF!,#REF!,#REF!,#REF!,#REF!,#REF!,#REF!,#REF!,#REF!,#REF!,#REF!,#REF!</definedName>
    <definedName name="__APW_RESTORE_DATA824__" hidden="1">#REF!,#REF!,#REF!,#REF!,#REF!,#REF!,#REF!,#REF!,#REF!</definedName>
    <definedName name="__APW_RESTORE_DATA825__" hidden="1">#REF!,#REF!,#REF!,#REF!,#REF!,#REF!,#REF!,#REF!,#REF!,#REF!,#REF!,#REF!,#REF!,#REF!,#REF!,#REF!,#REF!</definedName>
    <definedName name="__APW_RESTORE_DATA826__" hidden="1">#REF!,#REF!,#REF!,#REF!,#REF!,#REF!,#REF!,#REF!,#REF!,#REF!,#REF!,#REF!,#REF!,#REF!,#REF!,#REF!</definedName>
    <definedName name="__APW_RESTORE_DATA827__" hidden="1">#REF!,#REF!,#REF!,#REF!,#REF!,#REF!,#REF!,#REF!,#REF!,#REF!,#REF!,#REF!,#REF!,#REF!,#REF!,#REF!</definedName>
    <definedName name="__APW_RESTORE_DATA828__" hidden="1">#REF!,#REF!,#REF!,#REF!,#REF!,#REF!,#REF!,#REF!,#REF!,#REF!,#REF!,#REF!,#REF!,#REF!,#REF!,#REF!</definedName>
    <definedName name="__APW_RESTORE_DATA829__" hidden="1">#REF!,#REF!,#REF!,#REF!,#REF!,#REF!,#REF!,#REF!,#REF!,#REF!,#REF!,#REF!,#REF!,#REF!,#REF!,#REF!</definedName>
    <definedName name="__APW_RESTORE_DATA83__" hidden="1">#REF!,#REF!,#REF!,#REF!,#REF!,#REF!</definedName>
    <definedName name="__APW_RESTORE_DATA830__" hidden="1">#REF!,#REF!,#REF!,#REF!,#REF!,#REF!,#REF!,#REF!,#REF!,#REF!,#REF!,#REF!,#REF!,#REF!,#REF!,#REF!</definedName>
    <definedName name="__APW_RESTORE_DATA831__" hidden="1">#REF!,#REF!,#REF!,#REF!,#REF!,#REF!,#REF!,#REF!,#REF!,#REF!,#REF!,#REF!,#REF!,#REF!,#REF!</definedName>
    <definedName name="__APW_RESTORE_DATA832__" hidden="1">#REF!,#REF!,#REF!,#REF!,#REF!,#REF!,#REF!,#REF!,#REF!,#REF!,#REF!,#REF!,#REF!,#REF!,#REF!</definedName>
    <definedName name="__APW_RESTORE_DATA833__" hidden="1">#REF!,#REF!,#REF!,#REF!,#REF!,#REF!,#REF!,#REF!,#REF!,#REF!,#REF!,#REF!,#REF!,#REF!,#REF!</definedName>
    <definedName name="__APW_RESTORE_DATA834__" hidden="1">#REF!,#REF!,#REF!,#REF!,#REF!,#REF!,#REF!,#REF!,#REF!,#REF!,#REF!,#REF!,#REF!,#REF!,#REF!</definedName>
    <definedName name="__APW_RESTORE_DATA835__" hidden="1">#REF!,#REF!,#REF!,#REF!,#REF!,#REF!,#REF!,#REF!,#REF!,#REF!,#REF!,#REF!,#REF!,#REF!,#REF!</definedName>
    <definedName name="__APW_RESTORE_DATA836__" hidden="1">#REF!,#REF!,#REF!,#REF!,#REF!,#REF!,#REF!,#REF!,#REF!,#REF!,#REF!,#REF!,#REF!,#REF!,#REF!</definedName>
    <definedName name="__APW_RESTORE_DATA837__" hidden="1">#REF!,#REF!,#REF!,#REF!,#REF!,#REF!,#REF!,#REF!,#REF!,#REF!,#REF!,#REF!,#REF!,#REF!,#REF!</definedName>
    <definedName name="__APW_RESTORE_DATA838__" hidden="1">#REF!,#REF!,#REF!,#REF!,#REF!,#REF!,#REF!,#REF!,#REF!,#REF!,#REF!,#REF!,#REF!,#REF!,#REF!</definedName>
    <definedName name="__APW_RESTORE_DATA839__" hidden="1">#REF!,#REF!,#REF!,#REF!,#REF!,#REF!,#REF!,#REF!,#REF!</definedName>
    <definedName name="__APW_RESTORE_DATA84__" hidden="1">#REF!,#REF!,#REF!,#REF!,#REF!,#REF!,#REF!,#REF!,#REF!,#REF!,#REF!,#REF!,#REF!,#REF!,#REF!,#REF!,#REF!</definedName>
    <definedName name="__APW_RESTORE_DATA840__" hidden="1">#REF!,#REF!,#REF!,#REF!,#REF!,#REF!,#REF!,#REF!,#REF!,#REF!,#REF!,#REF!,#REF!,#REF!,#REF!,#REF!,#REF!</definedName>
    <definedName name="__APW_RESTORE_DATA841__" hidden="1">#REF!,#REF!,#REF!,#REF!,#REF!,#REF!,#REF!,#REF!,#REF!,#REF!,#REF!,#REF!,#REF!,#REF!,#REF!,#REF!</definedName>
    <definedName name="__APW_RESTORE_DATA842__" hidden="1">#REF!,#REF!,#REF!,#REF!,#REF!,#REF!,#REF!,#REF!,#REF!,#REF!,#REF!,#REF!,#REF!,#REF!,#REF!,#REF!</definedName>
    <definedName name="__APW_RESTORE_DATA843__" hidden="1">#REF!,#REF!,#REF!,#REF!,#REF!,#REF!,#REF!,#REF!,#REF!,#REF!,#REF!,#REF!,#REF!,#REF!,#REF!,#REF!</definedName>
    <definedName name="__APW_RESTORE_DATA844__" hidden="1">#REF!,#REF!,#REF!,#REF!,#REF!,#REF!,#REF!,#REF!,#REF!,#REF!,#REF!,#REF!,#REF!,#REF!,#REF!,#REF!</definedName>
    <definedName name="__APW_RESTORE_DATA845__" hidden="1">#REF!,#REF!,#REF!,#REF!,#REF!,#REF!,#REF!,#REF!,#REF!,#REF!,#REF!,#REF!,#REF!,#REF!,#REF!,#REF!</definedName>
    <definedName name="__APW_RESTORE_DATA846__" hidden="1">#REF!,#REF!,#REF!,#REF!,#REF!,#REF!,#REF!,#REF!,#REF!,#REF!,#REF!,#REF!,#REF!,#REF!,#REF!</definedName>
    <definedName name="__APW_RESTORE_DATA847__" hidden="1">#REF!,#REF!,#REF!,#REF!,#REF!,#REF!,#REF!,#REF!,#REF!,#REF!,#REF!,#REF!,#REF!,#REF!,#REF!</definedName>
    <definedName name="__APW_RESTORE_DATA848__" hidden="1">#REF!,#REF!,#REF!,#REF!,#REF!,#REF!,#REF!,#REF!,#REF!,#REF!,#REF!,#REF!,#REF!,#REF!,#REF!</definedName>
    <definedName name="__APW_RESTORE_DATA849__" hidden="1">#REF!,#REF!,#REF!,#REF!,#REF!,#REF!,#REF!,#REF!,#REF!,#REF!,#REF!,#REF!,#REF!,#REF!,#REF!</definedName>
    <definedName name="__APW_RESTORE_DATA85__" hidden="1">#REF!,#REF!,#REF!,#REF!,#REF!,#REF!,#REF!,#REF!,#REF!,#REF!,#REF!,#REF!,#REF!,#REF!,#REF!,#REF!</definedName>
    <definedName name="__APW_RESTORE_DATA850__" hidden="1">#REF!,#REF!,#REF!,#REF!,#REF!,#REF!,#REF!,#REF!,#REF!,#REF!,#REF!,#REF!,#REF!,#REF!,#REF!</definedName>
    <definedName name="__APW_RESTORE_DATA851__" hidden="1">#REF!,#REF!,#REF!,#REF!,#REF!,#REF!,#REF!,#REF!,#REF!,#REF!,#REF!,#REF!,#REF!,#REF!,#REF!</definedName>
    <definedName name="__APW_RESTORE_DATA852__" hidden="1">#REF!,#REF!,#REF!,#REF!,#REF!,#REF!,#REF!,#REF!,#REF!,#REF!,#REF!,#REF!,#REF!,#REF!,#REF!</definedName>
    <definedName name="__APW_RESTORE_DATA853__" hidden="1">#REF!,#REF!,#REF!,#REF!,#REF!,#REF!,#REF!,#REF!,#REF!,#REF!,#REF!,#REF!,#REF!,#REF!,#REF!</definedName>
    <definedName name="__APW_RESTORE_DATA854__" hidden="1">#REF!,#REF!,#REF!,#REF!,#REF!,#REF!,#REF!,#REF!,#REF!</definedName>
    <definedName name="__APW_RESTORE_DATA855__" hidden="1">#REF!,#REF!,#REF!,#REF!,#REF!,#REF!,#REF!,#REF!,#REF!,#REF!,#REF!,#REF!,#REF!,#REF!,#REF!,#REF!,#REF!</definedName>
    <definedName name="__APW_RESTORE_DATA856__" hidden="1">#REF!,#REF!,#REF!,#REF!,#REF!,#REF!,#REF!,#REF!,#REF!,#REF!,#REF!,#REF!,#REF!,#REF!,#REF!,#REF!</definedName>
    <definedName name="__APW_RESTORE_DATA857__" hidden="1">#REF!,#REF!,#REF!,#REF!,#REF!,#REF!,#REF!,#REF!,#REF!,#REF!,#REF!,#REF!,#REF!,#REF!,#REF!,#REF!</definedName>
    <definedName name="__APW_RESTORE_DATA858__" hidden="1">#REF!,#REF!,#REF!,#REF!,#REF!,#REF!,#REF!,#REF!,#REF!,#REF!,#REF!,#REF!,#REF!,#REF!,#REF!,#REF!</definedName>
    <definedName name="__APW_RESTORE_DATA859__" hidden="1">#REF!,#REF!,#REF!,#REF!,#REF!,#REF!,#REF!,#REF!,#REF!,#REF!,#REF!,#REF!,#REF!,#REF!,#REF!,#REF!</definedName>
    <definedName name="__APW_RESTORE_DATA86__" hidden="1">#REF!,#REF!,#REF!,#REF!,#REF!,#REF!,#REF!,#REF!,#REF!,#REF!,#REF!,#REF!,#REF!,#REF!,#REF!,#REF!</definedName>
    <definedName name="__APW_RESTORE_DATA860__" hidden="1">#REF!,#REF!,#REF!,#REF!,#REF!,#REF!,#REF!,#REF!,#REF!,#REF!,#REF!,#REF!,#REF!,#REF!,#REF!,#REF!</definedName>
    <definedName name="__APW_RESTORE_DATA861__" hidden="1">#REF!,#REF!,#REF!,#REF!,#REF!,#REF!,#REF!,#REF!,#REF!,#REF!,#REF!,#REF!,#REF!,#REF!,#REF!</definedName>
    <definedName name="__APW_RESTORE_DATA862__" hidden="1">#REF!,#REF!,#REF!,#REF!,#REF!,#REF!,#REF!,#REF!,#REF!,#REF!,#REF!,#REF!,#REF!,#REF!,#REF!</definedName>
    <definedName name="__APW_RESTORE_DATA863__" hidden="1">#REF!,#REF!,#REF!,#REF!,#REF!,#REF!,#REF!,#REF!,#REF!,#REF!,#REF!,#REF!,#REF!,#REF!,#REF!</definedName>
    <definedName name="__APW_RESTORE_DATA864__" hidden="1">#REF!,#REF!,#REF!,#REF!,#REF!,#REF!,#REF!,#REF!,#REF!,#REF!,#REF!,#REF!,#REF!,#REF!,#REF!</definedName>
    <definedName name="__APW_RESTORE_DATA865__" hidden="1">#REF!,#REF!,#REF!,#REF!,#REF!,#REF!,#REF!,#REF!,#REF!,#REF!,#REF!,#REF!,#REF!,#REF!,#REF!</definedName>
    <definedName name="__APW_RESTORE_DATA866__" hidden="1">#REF!,#REF!,#REF!,#REF!,#REF!,#REF!,#REF!,#REF!,#REF!,#REF!,#REF!,#REF!,#REF!,#REF!,#REF!</definedName>
    <definedName name="__APW_RESTORE_DATA867__" hidden="1">#REF!,#REF!,#REF!,#REF!,#REF!,#REF!,#REF!,#REF!,#REF!,#REF!,#REF!,#REF!,#REF!,#REF!,#REF!</definedName>
    <definedName name="__APW_RESTORE_DATA868__" hidden="1">#REF!,#REF!,#REF!,#REF!,#REF!,#REF!,#REF!,#REF!,#REF!,#REF!,#REF!,#REF!,#REF!,#REF!,#REF!</definedName>
    <definedName name="__APW_RESTORE_DATA869__" hidden="1">#REF!,#REF!,#REF!,#REF!,#REF!,#REF!,#REF!,#REF!,#REF!</definedName>
    <definedName name="__APW_RESTORE_DATA87__" hidden="1">#REF!,#REF!,#REF!,#REF!,#REF!,#REF!,#REF!,#REF!,#REF!,#REF!,#REF!,#REF!,#REF!,#REF!,#REF!,#REF!</definedName>
    <definedName name="__APW_RESTORE_DATA870__" hidden="1">#REF!,#REF!,#REF!,#REF!,#REF!,#REF!,#REF!,#REF!,#REF!,#REF!,#REF!,#REF!,#REF!,#REF!,#REF!,#REF!,#REF!</definedName>
    <definedName name="__APW_RESTORE_DATA871__" hidden="1">#REF!,#REF!,#REF!,#REF!,#REF!,#REF!,#REF!,#REF!,#REF!,#REF!,#REF!,#REF!,#REF!,#REF!,#REF!,#REF!</definedName>
    <definedName name="__APW_RESTORE_DATA872__" hidden="1">#REF!,#REF!,#REF!,#REF!,#REF!,#REF!,#REF!,#REF!,#REF!,#REF!,#REF!,#REF!,#REF!,#REF!,#REF!,#REF!</definedName>
    <definedName name="__APW_RESTORE_DATA873__" hidden="1">#REF!,#REF!,#REF!,#REF!,#REF!,#REF!,#REF!,#REF!,#REF!,#REF!,#REF!,#REF!,#REF!,#REF!,#REF!,#REF!</definedName>
    <definedName name="__APW_RESTORE_DATA874__" hidden="1">#REF!,#REF!,#REF!,#REF!,#REF!,#REF!,#REF!,#REF!,#REF!,#REF!,#REF!,#REF!,#REF!,#REF!,#REF!,#REF!</definedName>
    <definedName name="__APW_RESTORE_DATA875__" hidden="1">#REF!,#REF!,#REF!,#REF!,#REF!,#REF!,#REF!,#REF!,#REF!,#REF!,#REF!,#REF!,#REF!,#REF!,#REF!,#REF!</definedName>
    <definedName name="__APW_RESTORE_DATA876__" hidden="1">#REF!,#REF!,#REF!,#REF!,#REF!,#REF!,#REF!,#REF!,#REF!,#REF!,#REF!,#REF!,#REF!,#REF!,#REF!</definedName>
    <definedName name="__APW_RESTORE_DATA877__" hidden="1">#REF!,#REF!,#REF!,#REF!,#REF!,#REF!,#REF!,#REF!,#REF!,#REF!,#REF!,#REF!,#REF!,#REF!,#REF!</definedName>
    <definedName name="__APW_RESTORE_DATA878__" hidden="1">#REF!,#REF!,#REF!,#REF!,#REF!,#REF!,#REF!,#REF!,#REF!,#REF!,#REF!,#REF!,#REF!,#REF!,#REF!</definedName>
    <definedName name="__APW_RESTORE_DATA879__" hidden="1">#REF!,#REF!,#REF!,#REF!,#REF!,#REF!,#REF!,#REF!,#REF!,#REF!,#REF!,#REF!,#REF!,#REF!,#REF!</definedName>
    <definedName name="__APW_RESTORE_DATA88__" hidden="1">#REF!,#REF!,#REF!,#REF!,#REF!,#REF!,#REF!,#REF!,#REF!,#REF!,#REF!,#REF!,#REF!,#REF!,#REF!,#REF!</definedName>
    <definedName name="__APW_RESTORE_DATA880__" hidden="1">#REF!,#REF!,#REF!,#REF!,#REF!,#REF!,#REF!,#REF!,#REF!,#REF!,#REF!,#REF!,#REF!,#REF!,#REF!</definedName>
    <definedName name="__APW_RESTORE_DATA881__" hidden="1">#REF!,#REF!,#REF!,#REF!,#REF!,#REF!,#REF!,#REF!,#REF!,#REF!,#REF!,#REF!,#REF!,#REF!,#REF!</definedName>
    <definedName name="__APW_RESTORE_DATA882__" hidden="1">#REF!,#REF!,#REF!,#REF!,#REF!,#REF!,#REF!,#REF!,#REF!,#REF!,#REF!,#REF!,#REF!,#REF!,#REF!</definedName>
    <definedName name="__APW_RESTORE_DATA883__" hidden="1">#REF!,#REF!,#REF!,#REF!,#REF!,#REF!,#REF!,#REF!,#REF!,#REF!,#REF!,#REF!,#REF!,#REF!,#REF!</definedName>
    <definedName name="__APW_RESTORE_DATA884__" hidden="1">#REF!,#REF!,#REF!,#REF!,#REF!,#REF!,#REF!,#REF!,#REF!</definedName>
    <definedName name="__APW_RESTORE_DATA885__" hidden="1">#REF!,#REF!,#REF!,#REF!,#REF!,#REF!,#REF!,#REF!,#REF!,#REF!,#REF!,#REF!,#REF!,#REF!,#REF!,#REF!,#REF!</definedName>
    <definedName name="__APW_RESTORE_DATA886__" hidden="1">#REF!,#REF!,#REF!,#REF!,#REF!,#REF!,#REF!,#REF!,#REF!,#REF!,#REF!,#REF!,#REF!,#REF!,#REF!,#REF!</definedName>
    <definedName name="__APW_RESTORE_DATA887__" hidden="1">#REF!,#REF!,#REF!,#REF!,#REF!,#REF!,#REF!,#REF!,#REF!,#REF!,#REF!,#REF!,#REF!,#REF!,#REF!,#REF!</definedName>
    <definedName name="__APW_RESTORE_DATA888__" hidden="1">#REF!,#REF!,#REF!,#REF!,#REF!,#REF!,#REF!,#REF!,#REF!,#REF!,#REF!,#REF!,#REF!,#REF!,#REF!,#REF!</definedName>
    <definedName name="__APW_RESTORE_DATA889__" hidden="1">#REF!,#REF!,#REF!,#REF!,#REF!,#REF!,#REF!,#REF!,#REF!,#REF!,#REF!,#REF!,#REF!,#REF!,#REF!,#REF!</definedName>
    <definedName name="__APW_RESTORE_DATA89__" hidden="1">#REF!,#REF!,#REF!,#REF!,#REF!,#REF!,#REF!,#REF!,#REF!,#REF!,#REF!,#REF!,#REF!,#REF!,#REF!,#REF!</definedName>
    <definedName name="__APW_RESTORE_DATA890__" hidden="1">#REF!,#REF!,#REF!,#REF!,#REF!,#REF!,#REF!,#REF!,#REF!,#REF!,#REF!,#REF!,#REF!,#REF!,#REF!,#REF!</definedName>
    <definedName name="__APW_RESTORE_DATA891__" hidden="1">#REF!,#REF!,#REF!,#REF!,#REF!,#REF!,#REF!,#REF!,#REF!,#REF!,#REF!,#REF!,#REF!,#REF!,#REF!</definedName>
    <definedName name="__APW_RESTORE_DATA892__" hidden="1">#REF!,#REF!,#REF!,#REF!,#REF!,#REF!,#REF!,#REF!,#REF!,#REF!,#REF!,#REF!,#REF!,#REF!,#REF!</definedName>
    <definedName name="__APW_RESTORE_DATA893__" hidden="1">#REF!,#REF!,#REF!,#REF!,#REF!,#REF!,#REF!,#REF!,#REF!,#REF!,#REF!,#REF!,#REF!,#REF!,#REF!</definedName>
    <definedName name="__APW_RESTORE_DATA894__" hidden="1">#REF!,#REF!,#REF!,#REF!,#REF!,#REF!,#REF!,#REF!,#REF!,#REF!,#REF!,#REF!,#REF!,#REF!,#REF!</definedName>
    <definedName name="__APW_RESTORE_DATA895__" hidden="1">#REF!,#REF!,#REF!,#REF!,#REF!,#REF!,#REF!,#REF!,#REF!,#REF!,#REF!,#REF!,#REF!,#REF!,#REF!</definedName>
    <definedName name="__APW_RESTORE_DATA896__" hidden="1">#REF!,#REF!,#REF!,#REF!,#REF!,#REF!,#REF!,#REF!,#REF!,#REF!,#REF!,#REF!,#REF!,#REF!,#REF!</definedName>
    <definedName name="__APW_RESTORE_DATA897__" hidden="1">#REF!,#REF!,#REF!,#REF!,#REF!,#REF!,#REF!,#REF!,#REF!,#REF!,#REF!,#REF!,#REF!,#REF!,#REF!</definedName>
    <definedName name="__APW_RESTORE_DATA898__" hidden="1">#REF!,#REF!,#REF!,#REF!,#REF!,#REF!,#REF!,#REF!,#REF!,#REF!,#REF!,#REF!,#REF!,#REF!,#REF!</definedName>
    <definedName name="__APW_RESTORE_DATA899__" hidden="1">#REF!,#REF!,#REF!,#REF!,#REF!,#REF!,#REF!,#REF!,#REF!</definedName>
    <definedName name="__APW_RESTORE_DATA9__" hidden="1">#REF!,#REF!,#REF!,#REF!,#REF!,#REF!,#REF!,#REF!,#REF!,#REF!,#REF!,#REF!,#REF!,#REF!,#REF!</definedName>
    <definedName name="__APW_RESTORE_DATA90__" hidden="1">#REF!,#REF!,#REF!,#REF!,#REF!,#REF!,#REF!,#REF!,#REF!,#REF!,#REF!,#REF!,#REF!,#REF!,#REF!</definedName>
    <definedName name="__APW_RESTORE_DATA900__" hidden="1">#REF!,#REF!,#REF!,#REF!,#REF!,#REF!,#REF!,#REF!,#REF!,#REF!,#REF!,#REF!,#REF!,#REF!,#REF!,#REF!,#REF!</definedName>
    <definedName name="__APW_RESTORE_DATA901__" hidden="1">#REF!,#REF!,#REF!,#REF!,#REF!,#REF!,#REF!,#REF!,#REF!,#REF!,#REF!,#REF!,#REF!,#REF!,#REF!,#REF!</definedName>
    <definedName name="__APW_RESTORE_DATA902__" hidden="1">#REF!,#REF!,#REF!,#REF!,#REF!,#REF!,#REF!,#REF!,#REF!,#REF!,#REF!,#REF!,#REF!,#REF!,#REF!,#REF!</definedName>
    <definedName name="__APW_RESTORE_DATA903__" hidden="1">#REF!,#REF!,#REF!,#REF!,#REF!,#REF!,#REF!,#REF!,#REF!,#REF!,#REF!,#REF!,#REF!,#REF!,#REF!,#REF!</definedName>
    <definedName name="__APW_RESTORE_DATA904__" hidden="1">#REF!,#REF!,#REF!,#REF!,#REF!,#REF!,#REF!,#REF!,#REF!,#REF!,#REF!,#REF!,#REF!,#REF!,#REF!,#REF!</definedName>
    <definedName name="__APW_RESTORE_DATA905__" hidden="1">#REF!,#REF!,#REF!,#REF!,#REF!,#REF!,#REF!,#REF!,#REF!,#REF!,#REF!,#REF!,#REF!,#REF!,#REF!,#REF!</definedName>
    <definedName name="__APW_RESTORE_DATA906__" hidden="1">#REF!,#REF!,#REF!,#REF!,#REF!,#REF!,#REF!,#REF!,#REF!,#REF!,#REF!,#REF!,#REF!,#REF!,#REF!</definedName>
    <definedName name="__APW_RESTORE_DATA907__" hidden="1">#REF!,#REF!,#REF!,#REF!,#REF!,#REF!,#REF!,#REF!,#REF!,#REF!,#REF!,#REF!,#REF!,#REF!,#REF!</definedName>
    <definedName name="__APW_RESTORE_DATA908__" hidden="1">#REF!,#REF!,#REF!,#REF!,#REF!,#REF!,#REF!,#REF!,#REF!,#REF!,#REF!,#REF!,#REF!,#REF!,#REF!</definedName>
    <definedName name="__APW_RESTORE_DATA909__" hidden="1">#REF!,#REF!,#REF!,#REF!,#REF!,#REF!,#REF!,#REF!,#REF!,#REF!,#REF!,#REF!,#REF!,#REF!,#REF!</definedName>
    <definedName name="__APW_RESTORE_DATA91__" hidden="1">#REF!,#REF!,#REF!,#REF!,#REF!,#REF!,#REF!,#REF!,#REF!,#REF!,#REF!,#REF!,#REF!,#REF!,#REF!</definedName>
    <definedName name="__APW_RESTORE_DATA910__" hidden="1">#REF!,#REF!,#REF!,#REF!,#REF!,#REF!,#REF!,#REF!,#REF!,#REF!,#REF!,#REF!,#REF!,#REF!,#REF!</definedName>
    <definedName name="__APW_RESTORE_DATA911__" hidden="1">#REF!,#REF!,#REF!,#REF!,#REF!,#REF!,#REF!,#REF!,#REF!,#REF!,#REF!,#REF!,#REF!,#REF!,#REF!</definedName>
    <definedName name="__APW_RESTORE_DATA912__" hidden="1">#REF!,#REF!,#REF!,#REF!,#REF!,#REF!,#REF!,#REF!,#REF!,#REF!,#REF!,#REF!,#REF!,#REF!,#REF!</definedName>
    <definedName name="__APW_RESTORE_DATA913__" hidden="1">#REF!,#REF!,#REF!,#REF!,#REF!,#REF!,#REF!,#REF!,#REF!,#REF!,#REF!,#REF!,#REF!,#REF!,#REF!</definedName>
    <definedName name="__APW_RESTORE_DATA914__" hidden="1">#REF!,#REF!,#REF!,#REF!,#REF!,#REF!,#REF!,#REF!,#REF!</definedName>
    <definedName name="__APW_RESTORE_DATA915__" hidden="1">#REF!,#REF!,#REF!,#REF!,#REF!,#REF!,#REF!,#REF!,#REF!,#REF!,#REF!,#REF!,#REF!,#REF!,#REF!,#REF!,#REF!</definedName>
    <definedName name="__APW_RESTORE_DATA916__" hidden="1">#REF!,#REF!,#REF!,#REF!,#REF!,#REF!,#REF!,#REF!,#REF!,#REF!,#REF!,#REF!,#REF!,#REF!,#REF!,#REF!</definedName>
    <definedName name="__APW_RESTORE_DATA917__" hidden="1">#REF!,#REF!,#REF!,#REF!,#REF!,#REF!,#REF!,#REF!,#REF!,#REF!,#REF!,#REF!,#REF!,#REF!,#REF!,#REF!</definedName>
    <definedName name="__APW_RESTORE_DATA918__" hidden="1">#REF!,#REF!,#REF!,#REF!,#REF!,#REF!,#REF!,#REF!,#REF!,#REF!,#REF!,#REF!,#REF!,#REF!,#REF!,#REF!</definedName>
    <definedName name="__APW_RESTORE_DATA919__" hidden="1">#REF!,#REF!,#REF!,#REF!,#REF!,#REF!,#REF!,#REF!,#REF!,#REF!,#REF!,#REF!,#REF!,#REF!,#REF!,#REF!</definedName>
    <definedName name="__APW_RESTORE_DATA92__" hidden="1">#REF!,#REF!,#REF!,#REF!,#REF!,#REF!,#REF!,#REF!,#REF!,#REF!,#REF!,#REF!,#REF!,#REF!,#REF!</definedName>
    <definedName name="__APW_RESTORE_DATA920__" hidden="1">#REF!,#REF!,#REF!,#REF!,#REF!,#REF!,#REF!,#REF!,#REF!,#REF!,#REF!,#REF!,#REF!,#REF!,#REF!,#REF!</definedName>
    <definedName name="__APW_RESTORE_DATA921__" hidden="1">#REF!,#REF!,#REF!,#REF!,#REF!,#REF!,#REF!,#REF!,#REF!,#REF!,#REF!,#REF!,#REF!,#REF!,#REF!</definedName>
    <definedName name="__APW_RESTORE_DATA922__" hidden="1">#REF!,#REF!,#REF!,#REF!,#REF!,#REF!,#REF!,#REF!,#REF!,#REF!,#REF!,#REF!,#REF!,#REF!,#REF!</definedName>
    <definedName name="__APW_RESTORE_DATA923__" hidden="1">#REF!,#REF!,#REF!,#REF!,#REF!,#REF!,#REF!,#REF!,#REF!,#REF!,#REF!,#REF!,#REF!,#REF!,#REF!</definedName>
    <definedName name="__APW_RESTORE_DATA924__" hidden="1">#REF!,#REF!,#REF!,#REF!,#REF!,#REF!,#REF!,#REF!,#REF!,#REF!,#REF!,#REF!,#REF!,#REF!,#REF!</definedName>
    <definedName name="__APW_RESTORE_DATA925__" hidden="1">#REF!,#REF!,#REF!,#REF!,#REF!,#REF!,#REF!,#REF!,#REF!,#REF!,#REF!,#REF!,#REF!,#REF!,#REF!</definedName>
    <definedName name="__APW_RESTORE_DATA926__" hidden="1">#REF!,#REF!,#REF!,#REF!,#REF!,#REF!,#REF!,#REF!,#REF!,#REF!,#REF!,#REF!,#REF!,#REF!,#REF!</definedName>
    <definedName name="__APW_RESTORE_DATA927__" hidden="1">#REF!,#REF!,#REF!,#REF!,#REF!,#REF!,#REF!,#REF!,#REF!,#REF!,#REF!,#REF!,#REF!,#REF!,#REF!</definedName>
    <definedName name="__APW_RESTORE_DATA928__" hidden="1">#REF!,#REF!,#REF!,#REF!,#REF!,#REF!,#REF!,#REF!,#REF!,#REF!,#REF!,#REF!,#REF!,#REF!,#REF!</definedName>
    <definedName name="__APW_RESTORE_DATA929__" hidden="1">#REF!,#REF!,#REF!,#REF!,#REF!,#REF!,#REF!,#REF!,#REF!</definedName>
    <definedName name="__APW_RESTORE_DATA93__" hidden="1">#REF!,#REF!,#REF!,#REF!,#REF!,#REF!,#REF!,#REF!,#REF!,#REF!,#REF!,#REF!,#REF!,#REF!,#REF!</definedName>
    <definedName name="__APW_RESTORE_DATA930__" hidden="1">#REF!,#REF!,#REF!,#REF!,#REF!,#REF!,#REF!,#REF!,#REF!,#REF!,#REF!,#REF!,#REF!,#REF!,#REF!,#REF!,#REF!</definedName>
    <definedName name="__APW_RESTORE_DATA931__" hidden="1">#REF!,#REF!,#REF!,#REF!,#REF!,#REF!,#REF!,#REF!,#REF!,#REF!,#REF!,#REF!,#REF!,#REF!,#REF!,#REF!</definedName>
    <definedName name="__APW_RESTORE_DATA932__" hidden="1">#REF!,#REF!,#REF!,#REF!,#REF!,#REF!,#REF!,#REF!,#REF!,#REF!,#REF!,#REF!,#REF!,#REF!,#REF!,#REF!</definedName>
    <definedName name="__APW_RESTORE_DATA933__" hidden="1">#REF!,#REF!,#REF!,#REF!,#REF!,#REF!,#REF!,#REF!,#REF!,#REF!,#REF!,#REF!,#REF!,#REF!,#REF!,#REF!</definedName>
    <definedName name="__APW_RESTORE_DATA934__" hidden="1">#REF!,#REF!,#REF!,#REF!,#REF!,#REF!,#REF!,#REF!,#REF!,#REF!,#REF!,#REF!,#REF!,#REF!,#REF!,#REF!</definedName>
    <definedName name="__APW_RESTORE_DATA935__" hidden="1">#REF!,#REF!,#REF!,#REF!,#REF!,#REF!,#REF!,#REF!,#REF!,#REF!,#REF!,#REF!,#REF!,#REF!,#REF!,#REF!</definedName>
    <definedName name="__APW_RESTORE_DATA936__" hidden="1">#REF!,#REF!,#REF!,#REF!,#REF!,#REF!,#REF!,#REF!,#REF!,#REF!,#REF!,#REF!,#REF!,#REF!,#REF!</definedName>
    <definedName name="__APW_RESTORE_DATA937__" hidden="1">#REF!,#REF!,#REF!,#REF!,#REF!,#REF!,#REF!,#REF!,#REF!,#REF!,#REF!,#REF!,#REF!,#REF!,#REF!</definedName>
    <definedName name="__APW_RESTORE_DATA938__" hidden="1">#REF!,#REF!,#REF!,#REF!,#REF!,#REF!,#REF!,#REF!,#REF!,#REF!,#REF!,#REF!,#REF!,#REF!,#REF!</definedName>
    <definedName name="__APW_RESTORE_DATA939__" hidden="1">#REF!,#REF!,#REF!,#REF!,#REF!,#REF!,#REF!,#REF!,#REF!,#REF!,#REF!,#REF!,#REF!,#REF!,#REF!</definedName>
    <definedName name="__APW_RESTORE_DATA94__" hidden="1">#REF!,#REF!,#REF!,#REF!,#REF!,#REF!,#REF!,#REF!,#REF!,#REF!,#REF!,#REF!,#REF!,#REF!,#REF!</definedName>
    <definedName name="__APW_RESTORE_DATA940__" hidden="1">#REF!,#REF!,#REF!,#REF!,#REF!,#REF!,#REF!,#REF!,#REF!,#REF!,#REF!,#REF!,#REF!,#REF!,#REF!</definedName>
    <definedName name="__APW_RESTORE_DATA941__" hidden="1">#REF!,#REF!,#REF!,#REF!,#REF!,#REF!,#REF!,#REF!,#REF!,#REF!,#REF!,#REF!,#REF!,#REF!,#REF!</definedName>
    <definedName name="__APW_RESTORE_DATA942__" hidden="1">#REF!,#REF!,#REF!,#REF!,#REF!,#REF!,#REF!,#REF!,#REF!,#REF!,#REF!,#REF!,#REF!,#REF!,#REF!</definedName>
    <definedName name="__APW_RESTORE_DATA943__" hidden="1">#REF!,#REF!,#REF!,#REF!,#REF!,#REF!,#REF!,#REF!,#REF!,#REF!,#REF!,#REF!,#REF!,#REF!,#REF!</definedName>
    <definedName name="__APW_RESTORE_DATA944__" hidden="1">#REF!,#REF!,#REF!,#REF!,#REF!,#REF!,#REF!,#REF!,#REF!</definedName>
    <definedName name="__APW_RESTORE_DATA945__" hidden="1">#REF!,#REF!,#REF!,#REF!,#REF!,#REF!,#REF!,#REF!,#REF!,#REF!,#REF!,#REF!,#REF!,#REF!,#REF!,#REF!,#REF!</definedName>
    <definedName name="__APW_RESTORE_DATA946__" hidden="1">#REF!,#REF!,#REF!,#REF!,#REF!,#REF!,#REF!,#REF!,#REF!,#REF!,#REF!,#REF!,#REF!,#REF!,#REF!,#REF!</definedName>
    <definedName name="__APW_RESTORE_DATA947__" hidden="1">#REF!,#REF!,#REF!,#REF!,#REF!,#REF!,#REF!,#REF!,#REF!,#REF!,#REF!,#REF!,#REF!,#REF!,#REF!,#REF!</definedName>
    <definedName name="__APW_RESTORE_DATA948__" hidden="1">#REF!,#REF!,#REF!,#REF!,#REF!,#REF!,#REF!,#REF!,#REF!,#REF!,#REF!,#REF!,#REF!,#REF!,#REF!,#REF!</definedName>
    <definedName name="__APW_RESTORE_DATA949__" hidden="1">#REF!,#REF!,#REF!,#REF!,#REF!,#REF!,#REF!,#REF!,#REF!,#REF!,#REF!,#REF!,#REF!,#REF!,#REF!,#REF!</definedName>
    <definedName name="__APW_RESTORE_DATA95__" hidden="1">#REF!,#REF!,#REF!,#REF!,#REF!,#REF!</definedName>
    <definedName name="__APW_RESTORE_DATA950__" hidden="1">#REF!,#REF!,#REF!,#REF!,#REF!,#REF!,#REF!,#REF!,#REF!,#REF!,#REF!,#REF!,#REF!,#REF!,#REF!,#REF!</definedName>
    <definedName name="__APW_RESTORE_DATA951__" hidden="1">#REF!,#REF!,#REF!,#REF!,#REF!,#REF!,#REF!,#REF!,#REF!,#REF!,#REF!,#REF!,#REF!,#REF!,#REF!</definedName>
    <definedName name="__APW_RESTORE_DATA952__" hidden="1">#REF!,#REF!,#REF!,#REF!,#REF!,#REF!,#REF!,#REF!,#REF!,#REF!,#REF!,#REF!,#REF!,#REF!,#REF!</definedName>
    <definedName name="__APW_RESTORE_DATA953__" hidden="1">#REF!,#REF!,#REF!,#REF!,#REF!,#REF!,#REF!,#REF!,#REF!,#REF!,#REF!,#REF!,#REF!,#REF!,#REF!</definedName>
    <definedName name="__APW_RESTORE_DATA954__" hidden="1">#REF!,#REF!,#REF!,#REF!,#REF!,#REF!,#REF!,#REF!,#REF!,#REF!,#REF!,#REF!,#REF!,#REF!,#REF!</definedName>
    <definedName name="__APW_RESTORE_DATA955__" hidden="1">#REF!,#REF!,#REF!,#REF!,#REF!,#REF!,#REF!,#REF!,#REF!,#REF!,#REF!,#REF!,#REF!,#REF!,#REF!</definedName>
    <definedName name="__APW_RESTORE_DATA956__" hidden="1">#REF!,#REF!,#REF!,#REF!,#REF!,#REF!,#REF!,#REF!,#REF!,#REF!,#REF!,#REF!,#REF!,#REF!,#REF!</definedName>
    <definedName name="__APW_RESTORE_DATA957__" hidden="1">#REF!,#REF!,#REF!,#REF!,#REF!,#REF!,#REF!,#REF!,#REF!,#REF!,#REF!,#REF!,#REF!,#REF!,#REF!</definedName>
    <definedName name="__APW_RESTORE_DATA958__" hidden="1">#REF!,#REF!,#REF!,#REF!,#REF!,#REF!,#REF!,#REF!,#REF!,#REF!,#REF!,#REF!,#REF!,#REF!,#REF!</definedName>
    <definedName name="__APW_RESTORE_DATA959__" hidden="1">#REF!,#REF!,#REF!,#REF!,#REF!,#REF!,#REF!,#REF!,#REF!</definedName>
    <definedName name="__APW_RESTORE_DATA96__" hidden="1">#REF!,#REF!,#REF!,#REF!,#REF!,#REF!,#REF!,#REF!,#REF!,#REF!,#REF!,#REF!,#REF!,#REF!,#REF!,#REF!,#REF!</definedName>
    <definedName name="__APW_RESTORE_DATA960__" hidden="1">#REF!,#REF!,#REF!,#REF!,#REF!,#REF!,#REF!,#REF!,#REF!,#REF!,#REF!,#REF!,#REF!,#REF!,#REF!,#REF!</definedName>
    <definedName name="__APW_RESTORE_DATA961__" hidden="1">#REF!,#REF!,#REF!,#REF!,#REF!,#REF!,#REF!,#REF!,#REF!,#REF!,#REF!,#REF!,#REF!,#REF!,#REF!</definedName>
    <definedName name="__APW_RESTORE_DATA962__" hidden="1">#REF!,#REF!,#REF!,#REF!,#REF!,#REF!,#REF!,#REF!,#REF!,#REF!,#REF!,#REF!,#REF!,#REF!,#REF!</definedName>
    <definedName name="__APW_RESTORE_DATA963__" hidden="1">#REF!,#REF!,#REF!,#REF!,#REF!,#REF!,#REF!,#REF!,#REF!,#REF!,#REF!,#REF!,#REF!,#REF!,#REF!</definedName>
    <definedName name="__APW_RESTORE_DATA964__" hidden="1">#REF!,#REF!,#REF!,#REF!,#REF!,#REF!,#REF!,#REF!,#REF!,#REF!,#REF!,#REF!,#REF!,#REF!,#REF!</definedName>
    <definedName name="__APW_RESTORE_DATA965__" hidden="1">#REF!,#REF!,#REF!,#REF!,#REF!,#REF!,#REF!,#REF!,#REF!,#REF!,#REF!,#REF!,#REF!,#REF!,#REF!</definedName>
    <definedName name="__APW_RESTORE_DATA966__" hidden="1">#REF!,#REF!,#REF!,#REF!,#REF!,#REF!,#REF!,#REF!,#REF!,#REF!,#REF!,#REF!,#REF!,#REF!,#REF!</definedName>
    <definedName name="__APW_RESTORE_DATA967__" hidden="1">#REF!,#REF!,#REF!,#REF!,#REF!,#REF!,#REF!,#REF!,#REF!,#REF!,#REF!,#REF!,#REF!,#REF!</definedName>
    <definedName name="__APW_RESTORE_DATA968__" hidden="1">#REF!,#REF!,#REF!,#REF!,#REF!,#REF!,#REF!,#REF!,#REF!,#REF!,#REF!,#REF!,#REF!,#REF!</definedName>
    <definedName name="__APW_RESTORE_DATA969__" hidden="1">#REF!,#REF!,#REF!,#REF!,#REF!,#REF!,#REF!,#REF!,#REF!,#REF!,#REF!,#REF!,#REF!,#REF!</definedName>
    <definedName name="__APW_RESTORE_DATA97__" hidden="1">#REF!,#REF!,#REF!,#REF!,#REF!,#REF!,#REF!,#REF!,#REF!,#REF!,#REF!,#REF!,#REF!,#REF!,#REF!,#REF!</definedName>
    <definedName name="__APW_RESTORE_DATA970__" hidden="1">#REF!,#REF!,#REF!,#REF!,#REF!,#REF!,#REF!,#REF!,#REF!,#REF!,#REF!,#REF!,#REF!,#REF!</definedName>
    <definedName name="__APW_RESTORE_DATA971__" hidden="1">#REF!,#REF!,#REF!,#REF!,#REF!,#REF!,#REF!,#REF!,#REF!,#REF!,#REF!,#REF!,#REF!,#REF!</definedName>
    <definedName name="__APW_RESTORE_DATA972__" hidden="1">#REF!,#REF!,#REF!,#REF!,#REF!,#REF!,#REF!,#REF!,#REF!,#REF!,#REF!,#REF!,#REF!,#REF!</definedName>
    <definedName name="__APW_RESTORE_DATA973__" hidden="1">#REF!,#REF!,#REF!,#REF!,#REF!,#REF!,#REF!,#REF!,#REF!,#REF!,#REF!,#REF!,#REF!,#REF!</definedName>
    <definedName name="__APW_RESTORE_DATA974__" hidden="1">#REF!,#REF!,#REF!,#REF!,#REF!,#REF!,#REF!,#REF!,#REF!,#REF!,#REF!,#REF!,#REF!,#REF!</definedName>
    <definedName name="__APW_RESTORE_DATA975__" hidden="1">#REF!,#REF!,#REF!,#REF!,#REF!,#REF!,#REF!,#REF!</definedName>
    <definedName name="__APW_RESTORE_DATA98__" hidden="1">#REF!,#REF!,#REF!,#REF!,#REF!,#REF!,#REF!,#REF!,#REF!,#REF!,#REF!,#REF!,#REF!,#REF!,#REF!,#REF!</definedName>
    <definedName name="__APW_RESTORE_DATA99__" hidden="1">#REF!,#REF!,#REF!,#REF!,#REF!,#REF!,#REF!,#REF!,#REF!,#REF!,#REF!,#REF!,#REF!,#REF!,#REF!,#REF!</definedName>
    <definedName name="__BAL1">#REF!</definedName>
    <definedName name="__BSH1">[11]fresults!#REF!</definedName>
    <definedName name="__BSH2">[11]fresults!#REF!</definedName>
    <definedName name="__BSH3">[11]fresults!#REF!</definedName>
    <definedName name="__C" localSheetId="10">#REF!</definedName>
    <definedName name="__C">'[12]B S-31-3-2006'!#REF!</definedName>
    <definedName name="__col1">#REF!</definedName>
    <definedName name="__col10">#REF!</definedName>
    <definedName name="__col11">#REF!</definedName>
    <definedName name="__col12">#REF!</definedName>
    <definedName name="__col13">#REF!</definedName>
    <definedName name="__col2">#REF!</definedName>
    <definedName name="__col3">#REF!</definedName>
    <definedName name="__col4">#REF!</definedName>
    <definedName name="__col5">#REF!</definedName>
    <definedName name="__col6">#REF!</definedName>
    <definedName name="__col7">#REF!</definedName>
    <definedName name="__col8">#REF!</definedName>
    <definedName name="__col9">#REF!</definedName>
    <definedName name="__DAT1" localSheetId="10">#REF!</definedName>
    <definedName name="__DAT1">#REF!</definedName>
    <definedName name="__DAT10" localSheetId="10">#REF!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58">#REF!</definedName>
    <definedName name="__DAT59">#REF!</definedName>
    <definedName name="__DAT6">#REF!</definedName>
    <definedName name="__DAT60">#REF!</definedName>
    <definedName name="__DAT61">#REF!</definedName>
    <definedName name="__DAT62">#REF!</definedName>
    <definedName name="__DAT7">#REF!</definedName>
    <definedName name="__DAT8">#REF!</definedName>
    <definedName name="__DAT9">#REF!</definedName>
    <definedName name="__DOWN_10__GOTO">#REF!</definedName>
    <definedName name="__drs8" localSheetId="10" hidden="1">{"'August 2000'!$A$1:$J$101"}</definedName>
    <definedName name="__drs8" hidden="1">{"'August 2000'!$A$1:$J$101"}</definedName>
    <definedName name="__ES84__EW84_0.">#REF!</definedName>
    <definedName name="__ESC1">#REF!</definedName>
    <definedName name="__fa1" localSheetId="10" hidden="1">{"plansummary",#N/A,FALSE,"PlanSummary";"sales",#N/A,FALSE,"Sales Rec";"productivity",#N/A,FALSE,"Productivity Rec";"capitalspending",#N/A,FALSE,"Capital Spending"}</definedName>
    <definedName name="__fa1" hidden="1">{"plansummary",#N/A,FALSE,"PlanSummary";"sales",#N/A,FALSE,"Sales Rec";"productivity",#N/A,FALSE,"Productivity Rec";"capitalspending",#N/A,FALSE,"Capital Spending"}</definedName>
    <definedName name="__fa2" localSheetId="10" hidden="1">{"plansummary",#N/A,FALSE,"PlanSummary";"sales",#N/A,FALSE,"Sales Rec";"productivity",#N/A,FALSE,"Productivity Rec";"capitalspending",#N/A,FALSE,"Capital Spending"}</definedName>
    <definedName name="__fa2" hidden="1">{"plansummary",#N/A,FALSE,"PlanSummary";"sales",#N/A,FALSE,"Sales Rec";"productivity",#N/A,FALSE,"Productivity Rec";"capitalspending",#N/A,FALSE,"Capital Spending"}</definedName>
    <definedName name="__fa3" localSheetId="10" hidden="1">{"plansummary",#N/A,FALSE,"PlanSummary";"sales",#N/A,FALSE,"Sales Rec";"productivity",#N/A,FALSE,"Productivity Rec";"capitalspending",#N/A,FALSE,"Capital Spending"}</definedName>
    <definedName name="__fa3" hidden="1">{"plansummary",#N/A,FALSE,"PlanSummary";"sales",#N/A,FALSE,"Sales Rec";"productivity",#N/A,FALSE,"Productivity Rec";"capitalspending",#N/A,FALSE,"Capital Spending"}</definedName>
    <definedName name="__FDS_HYPERLINK_TOGGLE_STATE__" hidden="1">"ON"</definedName>
    <definedName name="__GOTO_EP84__AV">#REF!</definedName>
    <definedName name="__IntlFixup" hidden="1">TRUE</definedName>
    <definedName name="__jUL2005" localSheetId="10" hidden="1">{#N/A,#N/A,FALSE,"Aging Summary";#N/A,#N/A,FALSE,"Ratio Analysis";#N/A,#N/A,FALSE,"Test 120 Day Accts";#N/A,#N/A,FALSE,"Tickmarks"}</definedName>
    <definedName name="__jUL2005" hidden="1">{#N/A,#N/A,FALSE,"Aging Summary";#N/A,#N/A,FALSE,"Ratio Analysis";#N/A,#N/A,FALSE,"Test 120 Day Accts";#N/A,#N/A,FALSE,"Tickmarks"}</definedName>
    <definedName name="__k8" localSheetId="10" hidden="1">{#N/A,#N/A,FALSE,"COVER1.XLS ";#N/A,#N/A,FALSE,"RACT1.XLS";#N/A,#N/A,FALSE,"RACT2.XLS";#N/A,#N/A,FALSE,"ECCMP";#N/A,#N/A,FALSE,"WELDER.XLS"}</definedName>
    <definedName name="__k8" hidden="1">{#N/A,#N/A,FALSE,"COVER1.XLS ";#N/A,#N/A,FALSE,"RACT1.XLS";#N/A,#N/A,FALSE,"RACT2.XLS";#N/A,#N/A,FALSE,"ECCMP";#N/A,#N/A,FALSE,"WELDER.XLS"}</definedName>
    <definedName name="__key1" hidden="1">[5]sheet6!#REF!</definedName>
    <definedName name="__kv2" localSheetId="10" hidden="1">{#N/A,#N/A,FALSE,"COVER1.XLS ";#N/A,#N/A,FALSE,"RACT1.XLS";#N/A,#N/A,FALSE,"RACT2.XLS";#N/A,#N/A,FALSE,"ECCMP";#N/A,#N/A,FALSE,"WELDER.XLS"}</definedName>
    <definedName name="__kv2" hidden="1">{#N/A,#N/A,FALSE,"COVER1.XLS ";#N/A,#N/A,FALSE,"RACT1.XLS";#N/A,#N/A,FALSE,"RACT2.XLS";#N/A,#N/A,FALSE,"ECCMP";#N/A,#N/A,FALSE,"WELDER.XLS"}</definedName>
    <definedName name="__kvs1" localSheetId="10" hidden="1">{#N/A,#N/A,FALSE,"COVER1.XLS ";#N/A,#N/A,FALSE,"RACT1.XLS";#N/A,#N/A,FALSE,"RACT2.XLS";#N/A,#N/A,FALSE,"ECCMP";#N/A,#N/A,FALSE,"WELDER.XLS"}</definedName>
    <definedName name="__kvs1" hidden="1">{#N/A,#N/A,FALSE,"COVER1.XLS ";#N/A,#N/A,FALSE,"RACT1.XLS";#N/A,#N/A,FALSE,"RACT2.XLS";#N/A,#N/A,FALSE,"ECCMP";#N/A,#N/A,FALSE,"WELDER.XLS"}</definedName>
    <definedName name="__kvs2" localSheetId="10" hidden="1">{#N/A,#N/A,FALSE,"COVER1.XLS ";#N/A,#N/A,FALSE,"RACT1.XLS";#N/A,#N/A,FALSE,"RACT2.XLS";#N/A,#N/A,FALSE,"ECCMP";#N/A,#N/A,FALSE,"WELDER.XLS"}</definedName>
    <definedName name="__kvs2" hidden="1">{#N/A,#N/A,FALSE,"COVER1.XLS ";#N/A,#N/A,FALSE,"RACT1.XLS";#N/A,#N/A,FALSE,"RACT2.XLS";#N/A,#N/A,FALSE,"ECCMP";#N/A,#N/A,FALSE,"WELDER.XLS"}</definedName>
    <definedName name="__kvs5" localSheetId="10" hidden="1">{#N/A,#N/A,FALSE,"COVER.XLS";#N/A,#N/A,FALSE,"RACT1.XLS";#N/A,#N/A,FALSE,"RACT2.XLS";#N/A,#N/A,FALSE,"ECCMP";#N/A,#N/A,FALSE,"WELDER.XLS"}</definedName>
    <definedName name="__kvs5" hidden="1">{#N/A,#N/A,FALSE,"COVER.XLS";#N/A,#N/A,FALSE,"RACT1.XLS";#N/A,#N/A,FALSE,"RACT2.XLS";#N/A,#N/A,FALSE,"ECCMP";#N/A,#N/A,FALSE,"WELDER.XLS"}</definedName>
    <definedName name="__kvs7" localSheetId="10" hidden="1">{#N/A,#N/A,FALSE,"COVER1.XLS ";#N/A,#N/A,FALSE,"RACT1.XLS";#N/A,#N/A,FALSE,"RACT2.XLS";#N/A,#N/A,FALSE,"ECCMP";#N/A,#N/A,FALSE,"WELDER.XLS"}</definedName>
    <definedName name="__kvs7" hidden="1">{#N/A,#N/A,FALSE,"COVER1.XLS ";#N/A,#N/A,FALSE,"RACT1.XLS";#N/A,#N/A,FALSE,"RACT2.XLS";#N/A,#N/A,FALSE,"ECCMP";#N/A,#N/A,FALSE,"WELDER.XLS"}</definedName>
    <definedName name="__kvs8" localSheetId="10" hidden="1">{#N/A,#N/A,FALSE,"COVER1.XLS ";#N/A,#N/A,FALSE,"RACT1.XLS";#N/A,#N/A,FALSE,"RACT2.XLS";#N/A,#N/A,FALSE,"ECCMP";#N/A,#N/A,FALSE,"WELDER.XLS"}</definedName>
    <definedName name="__kvs8" hidden="1">{#N/A,#N/A,FALSE,"COVER1.XLS ";#N/A,#N/A,FALSE,"RACT1.XLS";#N/A,#N/A,FALSE,"RACT2.XLS";#N/A,#N/A,FALSE,"ECCMP";#N/A,#N/A,FALSE,"WELDER.XLS"}</definedName>
    <definedName name="__KVS9" localSheetId="10" hidden="1">{#N/A,#N/A,FALSE,"COVER1.XLS ";#N/A,#N/A,FALSE,"RACT1.XLS";#N/A,#N/A,FALSE,"RACT2.XLS";#N/A,#N/A,FALSE,"ECCMP";#N/A,#N/A,FALSE,"WELDER.XLS"}</definedName>
    <definedName name="__KVS9" hidden="1">{#N/A,#N/A,FALSE,"COVER1.XLS ";#N/A,#N/A,FALSE,"RACT1.XLS";#N/A,#N/A,FALSE,"RACT2.XLS";#N/A,#N/A,FALSE,"ECCMP";#N/A,#N/A,FALSE,"WELDER.XLS"}</definedName>
    <definedName name="__l2"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B1">#REF!</definedName>
    <definedName name="__LB2">#REF!</definedName>
    <definedName name="__lk1"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MAR9091">'[13]TRIAL BALANCE'!#REF!</definedName>
    <definedName name="__mar98">'[14]dhs-XTL'!#REF!</definedName>
    <definedName name="__mar99">'[14]dhs-XTL'!#REF!</definedName>
    <definedName name="__msy1">#REF!</definedName>
    <definedName name="__msy2">#REF!</definedName>
    <definedName name="__msy3">#REF!</definedName>
    <definedName name="__msy4">#REF!</definedName>
    <definedName name="__net99">#REF!</definedName>
    <definedName name="__Nov09" localSheetId="10" hidden="1">{"'August 2000'!$A$1:$J$101"}</definedName>
    <definedName name="__Nov09" hidden="1">{"'August 2000'!$A$1:$J$101"}</definedName>
    <definedName name="__oc1">[15]Sensitivities!$F$7</definedName>
    <definedName name="__pg1">#REF!</definedName>
    <definedName name="__PM1">#REF!</definedName>
    <definedName name="__PM2">#REF!</definedName>
    <definedName name="__PNB117">'[16]PNB-117'!$E$24</definedName>
    <definedName name="__q2" localSheetId="10" hidden="1">{#N/A,#N/A,FALSE,"COVER1.XLS ";#N/A,#N/A,FALSE,"RACT1.XLS";#N/A,#N/A,FALSE,"RACT2.XLS";#N/A,#N/A,FALSE,"ECCMP";#N/A,#N/A,FALSE,"WELDER.XLS"}</definedName>
    <definedName name="__q2" hidden="1">{#N/A,#N/A,FALSE,"COVER1.XLS ";#N/A,#N/A,FALSE,"RACT1.XLS";#N/A,#N/A,FALSE,"RACT2.XLS";#N/A,#N/A,FALSE,"ECCMP";#N/A,#N/A,FALSE,"WELDER.XLS"}</definedName>
    <definedName name="__rev3">#REF!</definedName>
    <definedName name="__rev4">#REF!</definedName>
    <definedName name="__RM1">#REF!</definedName>
    <definedName name="__RM2">#REF!</definedName>
    <definedName name="__RM3">#REF!</definedName>
    <definedName name="__ROI1">#REF!</definedName>
    <definedName name="__ROI2">'[17]#REF'!$A$46:$I$59</definedName>
    <definedName name="__RSE2">[18]CMA_Calculations!$H$125</definedName>
    <definedName name="__SCH1">#REF!</definedName>
    <definedName name="__SCH10">#REF!</definedName>
    <definedName name="__SCH11">#REF!</definedName>
    <definedName name="__SCH2">#REF!</definedName>
    <definedName name="__SCH3">#REF!</definedName>
    <definedName name="__SCH4">#REF!</definedName>
    <definedName name="__SCH5">#REF!</definedName>
    <definedName name="__SCH6">'[4]04REL'!#REF!</definedName>
    <definedName name="__SCH7">#REF!</definedName>
    <definedName name="__SCH8">#REF!</definedName>
    <definedName name="__SCH9">#REF!</definedName>
    <definedName name="__std1">'[19]132417'!$A$11:$Q$33</definedName>
    <definedName name="__SUM_CS57..CS6">#REF!</definedName>
    <definedName name="__SUM_CS65..CS7">#REF!</definedName>
    <definedName name="__SUM_FQ20..FQ2">#REF!</definedName>
    <definedName name="__SUM_FQ28..FQ3">#REF!</definedName>
    <definedName name="__SUM1">#REF!</definedName>
    <definedName name="__t1"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OT1">#REF!</definedName>
    <definedName name="__TOT2">#REF!</definedName>
    <definedName name="__tr1"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R1">[11]fresults!#REF!</definedName>
    <definedName name="__TRA2">[11]fresults!#REF!</definedName>
    <definedName name="__VEH1">#REF!</definedName>
    <definedName name="__VEH2">#REF!</definedName>
    <definedName name="__w2" localSheetId="10" hidden="1">{#N/A,#N/A,FALSE,"17MAY";#N/A,#N/A,FALSE,"24MAY"}</definedName>
    <definedName name="__w2" hidden="1">{#N/A,#N/A,FALSE,"17MAY";#N/A,#N/A,FALSE,"24MAY"}</definedName>
    <definedName name="__XL__ENTER_UNIT">#REF!</definedName>
    <definedName name="__xlnm.Print_Area_2" localSheetId="10">#REF!</definedName>
    <definedName name="__xlnm.Print_Area_3" localSheetId="10">#REF!</definedName>
    <definedName name="__xlnm.Print_Area_4" localSheetId="10">#REF!</definedName>
    <definedName name="__xlnm.Print_Titles_1">#REF!</definedName>
    <definedName name="_01_UNIT1">#REF!</definedName>
    <definedName name="_01_UNIT2">#REF!</definedName>
    <definedName name="_01A__GP___DP">#REF!</definedName>
    <definedName name="_01B__DEP_TX_BK">#REF!</definedName>
    <definedName name="_02A__INTEREST">#REF!</definedName>
    <definedName name="_03_115JA_2A_B">#REF!</definedName>
    <definedName name="_03_SUM_1AX">#REF!</definedName>
    <definedName name="_03_SUM_1BX">#REF!</definedName>
    <definedName name="_04_80HHC_1A">#REF!</definedName>
    <definedName name="_04_80HHC_IIA">#REF!</definedName>
    <definedName name="_0409融資2部">#REF!</definedName>
    <definedName name="_06__INTERUNIT">#REF!</definedName>
    <definedName name="_07__80IA">#REF!</definedName>
    <definedName name="_08__80I">#REF!</definedName>
    <definedName name="_09_TAX_SUMMARY">#REF!</definedName>
    <definedName name="_1" localSheetId="10" hidden="1">[20]SUMMARY!$E$64:$H$64</definedName>
    <definedName name="_1">[1]H.O!#REF!</definedName>
    <definedName name="_1__123Graph_ACHART_1" hidden="1">#REF!</definedName>
    <definedName name="_1_0脚注12_ACCOU">#REF!</definedName>
    <definedName name="_1_FULL">#REF!</definedName>
    <definedName name="_10__123Graph_FCHART_1" hidden="1">#REF!</definedName>
    <definedName name="_10_0_0CO">#REF!</definedName>
    <definedName name="_10_0脚注12_AMOU">#REF!</definedName>
    <definedName name="_11__123Graph_LBL_ACHART_1" hidden="1">#REF!</definedName>
    <definedName name="_11_1">#REF!</definedName>
    <definedName name="_12__123Graph_LBL_CCHART_1" hidden="1">#REF!</definedName>
    <definedName name="_12_0_0COS">#REF!</definedName>
    <definedName name="_12_35D">#REF!</definedName>
    <definedName name="_123" hidden="1">#REF!</definedName>
    <definedName name="_13__123Graph_LBL_DCHART_1" hidden="1">#REF!</definedName>
    <definedName name="_13_43B">#REF!</definedName>
    <definedName name="_14__123Graph_LBL_ECHART_1" hidden="1">#REF!</definedName>
    <definedName name="_14_0_0COST">#REF!</definedName>
    <definedName name="_14_80G">#REF!</definedName>
    <definedName name="_14A">[21]HONOTES!#REF!</definedName>
    <definedName name="_15__123Graph_XCHART_1" hidden="1">#REF!</definedName>
    <definedName name="_15RESI_PREM">#REF!</definedName>
    <definedName name="_16_0_0COST_BENEF">#REF!</definedName>
    <definedName name="_16検索データ">#REF!</definedName>
    <definedName name="_17検索データ">[22]営業収益!#REF!</definedName>
    <definedName name="_18_0_0ISTJBM">'[23]#REF'!#REF!</definedName>
    <definedName name="_18科目3_AMOU">#REF!</definedName>
    <definedName name="_19脚注12_AMOU">#REF!</definedName>
    <definedName name="_1ANNEX_C_1">#REF!</definedName>
    <definedName name="_1RANGE_1">#REF!</definedName>
    <definedName name="_2">[21]HONOTES!#REF!</definedName>
    <definedName name="_2__123Graph_ACHART_2" hidden="1">#REF!</definedName>
    <definedName name="_2_0_0BENEF">#REF!</definedName>
    <definedName name="_2_35D">#REF!</definedName>
    <definedName name="_20_0_0MIS_C">#REF!</definedName>
    <definedName name="_22_0_0PLANJBM">'[23]#REF'!#REF!</definedName>
    <definedName name="_24_0_0PROJECT_O">#REF!</definedName>
    <definedName name="_2脚注12_ACCOU">#REF!</definedName>
    <definedName name="_3__123Graph_ACHART_1" hidden="1">[24]SUMMARY!$E$36:$H$36</definedName>
    <definedName name="_3__123Graph_ACHART_3" hidden="1">#REF!</definedName>
    <definedName name="_3_0脚注12_OPTI">#REF!</definedName>
    <definedName name="_35D">#REF!</definedName>
    <definedName name="_4__123Graph_BCHART_1" hidden="1">#REF!</definedName>
    <definedName name="_4_0_0BENEFIT">#REF!</definedName>
    <definedName name="_4_43B">#REF!</definedName>
    <definedName name="_43B">#REF!</definedName>
    <definedName name="_4脚注12_OPTI">#REF!</definedName>
    <definedName name="_5">#REF!</definedName>
    <definedName name="_5__123Graph_BCHART_3" hidden="1">#REF!</definedName>
    <definedName name="_5_114債権残抜き出し">#REF!</definedName>
    <definedName name="_6">[21]HONOTES!#REF!</definedName>
    <definedName name="_6__123Graph_BCHART_1" hidden="1">[24]SUMMARY!$E$66:$H$66</definedName>
    <definedName name="_6__123Graph_CCHART_1" hidden="1">#REF!</definedName>
    <definedName name="_6_0_0BENEFITS">#REF!</definedName>
    <definedName name="_6_0_0検索データ">[22]営業収益!#REF!</definedName>
    <definedName name="_6_80G">#REF!</definedName>
    <definedName name="_66_CITIES">#REF!</definedName>
    <definedName name="_7__123Graph_CCHART_3" hidden="1">#REF!</definedName>
    <definedName name="_7_0409融資2部">#REF!</definedName>
    <definedName name="_8__123Graph_DCHART_1" hidden="1">#REF!</definedName>
    <definedName name="_8_0_0Chargeba">#REF!</definedName>
    <definedName name="_8_0検索データ">#REF!</definedName>
    <definedName name="_80G">#REF!</definedName>
    <definedName name="_8RESI_PREM">#REF!</definedName>
    <definedName name="_9__123Graph_CCHART_1" hidden="1">[24]SUMMARY!$E$64:$H$64</definedName>
    <definedName name="_9__123Graph_ECHART_1" hidden="1">#REF!</definedName>
    <definedName name="_9_0科目3_AMOU">#REF!</definedName>
    <definedName name="_a_">#REF!</definedName>
    <definedName name="_a65554">#REF!</definedName>
    <definedName name="_a65600">#REF!</definedName>
    <definedName name="_a65700">#REF!</definedName>
    <definedName name="_a65800">#REF!</definedName>
    <definedName name="_a66000">#REF!</definedName>
    <definedName name="_ACC1">#REF!</definedName>
    <definedName name="_ACK1">#REF!</definedName>
    <definedName name="_ADD1">#REF!</definedName>
    <definedName name="_ADD2">#REF!</definedName>
    <definedName name="_ADD3">#REF!</definedName>
    <definedName name="_adh10">#REF!</definedName>
    <definedName name="_adh26">#REF!</definedName>
    <definedName name="_ads10">#REF!</definedName>
    <definedName name="_ads26">#REF!</definedName>
    <definedName name="_ann2">#REF!</definedName>
    <definedName name="_as10" localSheetId="10" hidden="1">{"'August 2000'!$A$1:$J$101"}</definedName>
    <definedName name="_as10" hidden="1">{"'August 2000'!$A$1:$J$101"}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1</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1">'[25]Annexure G'!$HC$42</definedName>
    <definedName name="_BAL1">#REF!</definedName>
    <definedName name="_bdm.09C53A896115416DA6FCC29B5E05FAC7.edm" hidden="1">#REF!</definedName>
    <definedName name="_bdm.37A8781564CE406BBBA912C3F309BF50.edm" hidden="1">#REF!</definedName>
    <definedName name="_bdm.A6745B57B7754BAEBFCBA9DD822111E7.edm" hidden="1">#REF!</definedName>
    <definedName name="_bdm.B23C9AF127C3410E8E4BD71EC9CE5870.edm" hidden="1">#REF!</definedName>
    <definedName name="_bdm.F174F45DBD074731881C153A13334515.edm" hidden="1">#REF!</definedName>
    <definedName name="_bdm.F7E276E3A3FB4933A48DC4BA34350879.edm" hidden="1">#REF!</definedName>
    <definedName name="_BigT">#REF!</definedName>
    <definedName name="_bs1">[26]!_xlbgnm.bs1</definedName>
    <definedName name="_BSE500">[27]Sheet1!$B$1:$B$500</definedName>
    <definedName name="_C" localSheetId="10">'[28]Power&amp;Fuel'!#REF!</definedName>
    <definedName name="_C">'[12]B S-31-3-2006'!#REF!</definedName>
    <definedName name="_can430">40.73</definedName>
    <definedName name="_can435">43.3</definedName>
    <definedName name="_col1">#REF!</definedName>
    <definedName name="_col10">#REF!</definedName>
    <definedName name="_col11">#REF!</definedName>
    <definedName name="_col12">#REF!</definedName>
    <definedName name="_col13">#REF!</definedName>
    <definedName name="_col2">#REF!</definedName>
    <definedName name="_col3">#REF!</definedName>
    <definedName name="_col4">#REF!</definedName>
    <definedName name="_col5">#REF!</definedName>
    <definedName name="_col6">#REF!</definedName>
    <definedName name="_col7">#REF!</definedName>
    <definedName name="_col8">#REF!</definedName>
    <definedName name="_col9">#REF!</definedName>
    <definedName name="_cur01">'[29]Annexure IV'!#REF!</definedName>
    <definedName name="_cur59">'[30]Co 59'!$B$5</definedName>
    <definedName name="_cur60">'[31]Co 59'!$B$5</definedName>
    <definedName name="_D___GOTO_GK112">#REF!</definedName>
    <definedName name="_D___GOTO_GK56_">#REF!</definedName>
    <definedName name="_D__D___L___GOT">#REF!</definedName>
    <definedName name="_D__D__D___D__D">#REF!</definedName>
    <definedName name="_D_19__U_19_">#REF!</definedName>
    <definedName name="_DAT1" localSheetId="10">#REF!</definedName>
    <definedName name="_DAT1">#REF!</definedName>
    <definedName name="_DAT10" localSheetId="10">#REF!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56">#REF!</definedName>
    <definedName name="_DAT56">#REF!</definedName>
    <definedName name="_DAT57">#REF!</definedName>
    <definedName name="_DAT58">#REF!</definedName>
    <definedName name="_DAT59">#REF!</definedName>
    <definedName name="_DAT6">#REF!</definedName>
    <definedName name="_DAT60">#REF!</definedName>
    <definedName name="_DAT61">#REF!</definedName>
    <definedName name="_DAT62">#REF!</definedName>
    <definedName name="_DAT7">#REF!</definedName>
    <definedName name="_DAT8">#REF!</definedName>
    <definedName name="_DAT9">#REF!</definedName>
    <definedName name="_dev2">[32]BKCSTOCKVAL!#REF!</definedName>
    <definedName name="_Dist_Bin" hidden="1">#REF!</definedName>
    <definedName name="_Dist_Values" hidden="1">#REF!</definedName>
    <definedName name="_dk1" localSheetId="10" hidden="1">{#N/A,#N/A,FALSE,"COVER.XLS";#N/A,#N/A,FALSE,"RACT1.XLS";#N/A,#N/A,FALSE,"RACT2.XLS";#N/A,#N/A,FALSE,"ECCMP";#N/A,#N/A,FALSE,"WELDER.XLS"}</definedName>
    <definedName name="_dk1" hidden="1">{#N/A,#N/A,FALSE,"COVER.XLS";#N/A,#N/A,FALSE,"RACT1.XLS";#N/A,#N/A,FALSE,"RACT2.XLS";#N/A,#N/A,FALSE,"ECCMP";#N/A,#N/A,FALSE,"WELDER.XLS"}</definedName>
    <definedName name="_DOWN_9__RIGHT_">#REF!</definedName>
    <definedName name="_ESC1">#REF!</definedName>
    <definedName name="_eva97">#REF!</definedName>
    <definedName name="_fa1" localSheetId="10" hidden="1">{"plansummary",#N/A,FALSE,"PlanSummary";"sales",#N/A,FALSE,"Sales Rec";"productivity",#N/A,FALSE,"Productivity Rec";"capitalspending",#N/A,FALSE,"Capital Spending"}</definedName>
    <definedName name="_fa1" hidden="1">{"plansummary",#N/A,FALSE,"PlanSummary";"sales",#N/A,FALSE,"Sales Rec";"productivity",#N/A,FALSE,"Productivity Rec";"capitalspending",#N/A,FALSE,"Capital Spending"}</definedName>
    <definedName name="_fa2" localSheetId="10" hidden="1">{"plansummary",#N/A,FALSE,"PlanSummary";"sales",#N/A,FALSE,"Sales Rec";"productivity",#N/A,FALSE,"Productivity Rec";"capitalspending",#N/A,FALSE,"Capital Spending"}</definedName>
    <definedName name="_fa2" hidden="1">{"plansummary",#N/A,FALSE,"PlanSummary";"sales",#N/A,FALSE,"Sales Rec";"productivity",#N/A,FALSE,"Productivity Rec";"capitalspending",#N/A,FALSE,"Capital Spending"}</definedName>
    <definedName name="_fa3" localSheetId="10" hidden="1">{"plansummary",#N/A,FALSE,"PlanSummary";"sales",#N/A,FALSE,"Sales Rec";"productivity",#N/A,FALSE,"Productivity Rec";"capitalspending",#N/A,FALSE,"Capital Spending"}</definedName>
    <definedName name="_fa3" hidden="1">{"plansummary",#N/A,FALSE,"PlanSummary";"sales",#N/A,FALSE,"Sales Rec";"productivity",#N/A,FALSE,"Productivity Rec";"capitalspending",#N/A,FALSE,"Capital Spending"}</definedName>
    <definedName name="_fcf97">#REF!</definedName>
    <definedName name="_Fill" localSheetId="10" hidden="1">#REF!</definedName>
    <definedName name="_Fill" hidden="1">'[33]SCH 10'!#REF!</definedName>
    <definedName name="_xlnm._FilterDatabase" hidden="1">#REF!</definedName>
    <definedName name="_FROM__R__R__08">#REF!</definedName>
    <definedName name="_FROM__R__R__16">#REF!</definedName>
    <definedName name="_FSTEMP_">#REF!</definedName>
    <definedName name="_GENERATION__R_">#REF!</definedName>
    <definedName name="_GOTO_BT49__R__">#REF!</definedName>
    <definedName name="_GOTO_CF11__?__">#REF!</definedName>
    <definedName name="_GOTO_EO75__WEK">#REF!</definedName>
    <definedName name="_GOTO_EP82__PEA">#REF!</definedName>
    <definedName name="_GOTO_EP86__PER">#REF!</definedName>
    <definedName name="_GOTO_FO112__RV">#REF!</definedName>
    <definedName name="_GOTO_FO56__RV_">#REF!</definedName>
    <definedName name="_HOME__GOTO_M14">#REF!</definedName>
    <definedName name="_Inv1">#REF!</definedName>
    <definedName name="_Inv2">#REF!</definedName>
    <definedName name="_IRR1">#REF!</definedName>
    <definedName name="_IRR2">#REF!</definedName>
    <definedName name="_IRR3">#REF!</definedName>
    <definedName name="_IRR4">#REF!</definedName>
    <definedName name="_IRR5">#REF!</definedName>
    <definedName name="_IRR6">#REF!</definedName>
    <definedName name="_jUL2005" localSheetId="10" hidden="1">{#N/A,#N/A,FALSE,"Aging Summary";#N/A,#N/A,FALSE,"Ratio Analysis";#N/A,#N/A,FALSE,"Test 120 Day Accts";#N/A,#N/A,FALSE,"Tickmarks"}</definedName>
    <definedName name="_jUL2005" hidden="1">{#N/A,#N/A,FALSE,"Aging Summary";#N/A,#N/A,FALSE,"Ratio Analysis";#N/A,#N/A,FALSE,"Test 120 Day Accts";#N/A,#N/A,FALSE,"Tickmarks"}</definedName>
    <definedName name="_k8" localSheetId="10" hidden="1">{#N/A,#N/A,FALSE,"COVER1.XLS ";#N/A,#N/A,FALSE,"RACT1.XLS";#N/A,#N/A,FALSE,"RACT2.XLS";#N/A,#N/A,FALSE,"ECCMP";#N/A,#N/A,FALSE,"WELDER.XLS"}</definedName>
    <definedName name="_k8" hidden="1">{#N/A,#N/A,FALSE,"COVER1.XLS ";#N/A,#N/A,FALSE,"RACT1.XLS";#N/A,#N/A,FALSE,"RACT2.XLS";#N/A,#N/A,FALSE,"ECCMP";#N/A,#N/A,FALSE,"WELDER.XLS"}</definedName>
    <definedName name="_Key1" localSheetId="10" hidden="1">#REF!</definedName>
    <definedName name="_Key1" hidden="1">#REF!</definedName>
    <definedName name="_Key2" localSheetId="10" hidden="1">#REF!</definedName>
    <definedName name="_Key2" hidden="1">'[34]Loans &amp; aDVANCES'!#REF!</definedName>
    <definedName name="_kv2" localSheetId="10" hidden="1">{#N/A,#N/A,FALSE,"COVER1.XLS ";#N/A,#N/A,FALSE,"RACT1.XLS";#N/A,#N/A,FALSE,"RACT2.XLS";#N/A,#N/A,FALSE,"ECCMP";#N/A,#N/A,FALSE,"WELDER.XLS"}</definedName>
    <definedName name="_kv2" hidden="1">{#N/A,#N/A,FALSE,"COVER1.XLS ";#N/A,#N/A,FALSE,"RACT1.XLS";#N/A,#N/A,FALSE,"RACT2.XLS";#N/A,#N/A,FALSE,"ECCMP";#N/A,#N/A,FALSE,"WELDER.XLS"}</definedName>
    <definedName name="_kvs1" localSheetId="10" hidden="1">{#N/A,#N/A,FALSE,"COVER1.XLS ";#N/A,#N/A,FALSE,"RACT1.XLS";#N/A,#N/A,FALSE,"RACT2.XLS";#N/A,#N/A,FALSE,"ECCMP";#N/A,#N/A,FALSE,"WELDER.XLS"}</definedName>
    <definedName name="_kvs1" hidden="1">{#N/A,#N/A,FALSE,"COVER1.XLS ";#N/A,#N/A,FALSE,"RACT1.XLS";#N/A,#N/A,FALSE,"RACT2.XLS";#N/A,#N/A,FALSE,"ECCMP";#N/A,#N/A,FALSE,"WELDER.XLS"}</definedName>
    <definedName name="_kvs2" localSheetId="10" hidden="1">{#N/A,#N/A,FALSE,"COVER1.XLS ";#N/A,#N/A,FALSE,"RACT1.XLS";#N/A,#N/A,FALSE,"RACT2.XLS";#N/A,#N/A,FALSE,"ECCMP";#N/A,#N/A,FALSE,"WELDER.XLS"}</definedName>
    <definedName name="_kvs2" hidden="1">{#N/A,#N/A,FALSE,"COVER1.XLS ";#N/A,#N/A,FALSE,"RACT1.XLS";#N/A,#N/A,FALSE,"RACT2.XLS";#N/A,#N/A,FALSE,"ECCMP";#N/A,#N/A,FALSE,"WELDER.XLS"}</definedName>
    <definedName name="_kvs5" localSheetId="10" hidden="1">{#N/A,#N/A,FALSE,"COVER.XLS";#N/A,#N/A,FALSE,"RACT1.XLS";#N/A,#N/A,FALSE,"RACT2.XLS";#N/A,#N/A,FALSE,"ECCMP";#N/A,#N/A,FALSE,"WELDER.XLS"}</definedName>
    <definedName name="_kvs5" hidden="1">{#N/A,#N/A,FALSE,"COVER.XLS";#N/A,#N/A,FALSE,"RACT1.XLS";#N/A,#N/A,FALSE,"RACT2.XLS";#N/A,#N/A,FALSE,"ECCMP";#N/A,#N/A,FALSE,"WELDER.XLS"}</definedName>
    <definedName name="_kvs7" localSheetId="10" hidden="1">{#N/A,#N/A,FALSE,"COVER1.XLS ";#N/A,#N/A,FALSE,"RACT1.XLS";#N/A,#N/A,FALSE,"RACT2.XLS";#N/A,#N/A,FALSE,"ECCMP";#N/A,#N/A,FALSE,"WELDER.XLS"}</definedName>
    <definedName name="_kvs7" hidden="1">{#N/A,#N/A,FALSE,"COVER1.XLS ";#N/A,#N/A,FALSE,"RACT1.XLS";#N/A,#N/A,FALSE,"RACT2.XLS";#N/A,#N/A,FALSE,"ECCMP";#N/A,#N/A,FALSE,"WELDER.XLS"}</definedName>
    <definedName name="_kvs8" localSheetId="10" hidden="1">{#N/A,#N/A,FALSE,"COVER1.XLS ";#N/A,#N/A,FALSE,"RACT1.XLS";#N/A,#N/A,FALSE,"RACT2.XLS";#N/A,#N/A,FALSE,"ECCMP";#N/A,#N/A,FALSE,"WELDER.XLS"}</definedName>
    <definedName name="_kvs8" hidden="1">{#N/A,#N/A,FALSE,"COVER1.XLS ";#N/A,#N/A,FALSE,"RACT1.XLS";#N/A,#N/A,FALSE,"RACT2.XLS";#N/A,#N/A,FALSE,"ECCMP";#N/A,#N/A,FALSE,"WELDER.XLS"}</definedName>
    <definedName name="_KVS9" localSheetId="10" hidden="1">{#N/A,#N/A,FALSE,"COVER1.XLS ";#N/A,#N/A,FALSE,"RACT1.XLS";#N/A,#N/A,FALSE,"RACT2.XLS";#N/A,#N/A,FALSE,"ECCMP";#N/A,#N/A,FALSE,"WELDER.XLS"}</definedName>
    <definedName name="_KVS9" hidden="1">{#N/A,#N/A,FALSE,"COVER1.XLS ";#N/A,#N/A,FALSE,"RACT1.XLS";#N/A,#N/A,FALSE,"RACT2.XLS";#N/A,#N/A,FALSE,"ECCMP";#N/A,#N/A,FALSE,"WELDER.XLS"}</definedName>
    <definedName name="_l2"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B1">#REF!</definedName>
    <definedName name="_LB2">#REF!</definedName>
    <definedName name="_lk1"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MAR9091">'[35]TRIAL BALANCE'!#REF!</definedName>
    <definedName name="_Mar90911">'[13]TRIAL BALANCE'!#REF!</definedName>
    <definedName name="_Mei97">#REF!</definedName>
    <definedName name="_mix15">264/50</definedName>
    <definedName name="_mix20">330/50</definedName>
    <definedName name="_mix30">352/50</definedName>
    <definedName name="_mix40">396/50</definedName>
    <definedName name="_MKT1">#REF!</definedName>
    <definedName name="_MKT10">#REF!</definedName>
    <definedName name="_MKT11">#REF!</definedName>
    <definedName name="_MKT2">#REF!</definedName>
    <definedName name="_MKT3">#REF!</definedName>
    <definedName name="_MKT4">#REF!</definedName>
    <definedName name="_MKT5">#REF!</definedName>
    <definedName name="_MKT6">#REF!</definedName>
    <definedName name="_MKT7">#REF!</definedName>
    <definedName name="_MKT8">#REF!</definedName>
    <definedName name="_MKT9">#REF!</definedName>
    <definedName name="_mva97">#REF!</definedName>
    <definedName name="_nav2000">#REF!</definedName>
    <definedName name="_New1">#REF!</definedName>
    <definedName name="_NO1">#REF!</definedName>
    <definedName name="_NO2">#REF!</definedName>
    <definedName name="_NO3">#REF!</definedName>
    <definedName name="_NO4">#REF!</definedName>
    <definedName name="_NO5">#REF!</definedName>
    <definedName name="_NO6">#REF!</definedName>
    <definedName name="_NO7">#REF!</definedName>
    <definedName name="_Nov09" localSheetId="10" hidden="1">{"'August 2000'!$A$1:$J$101"}</definedName>
    <definedName name="_Nov09" hidden="1">{"'August 2000'!$A$1:$J$101"}</definedName>
    <definedName name="_nov99">#REF!</definedName>
    <definedName name="_oc1">[36]Sensitivities!$F$7</definedName>
    <definedName name="_Order1" hidden="1">255</definedName>
    <definedName name="_Order2" localSheetId="10" hidden="1">255</definedName>
    <definedName name="_Order2" hidden="1">0</definedName>
    <definedName name="_osl1">'[37]SCH -IV OSL-EXPENSES'!$G$15</definedName>
    <definedName name="_P1">#REF!</definedName>
    <definedName name="_Parse_In" hidden="1">#REF!</definedName>
    <definedName name="_Parse_Out" localSheetId="10" hidden="1">#REF!</definedName>
    <definedName name="_Parse_Out" hidden="1">#REF!</definedName>
    <definedName name="_PG1">#REF!</definedName>
    <definedName name="_pg10">#REF!</definedName>
    <definedName name="_pg11">#REF!</definedName>
    <definedName name="_pg12">#REF!</definedName>
    <definedName name="_pg13">#REF!</definedName>
    <definedName name="_pg14">#REF!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PL1">[38]INFO!$B$13</definedName>
    <definedName name="_PLF__R__R___ES">#REF!</definedName>
    <definedName name="_PM1">#REF!</definedName>
    <definedName name="_PM2">#REF!</definedName>
    <definedName name="_PNB117">'[16]PNB-117'!$E$24</definedName>
    <definedName name="_PNB493">'[16]PNB-493'!$E$36</definedName>
    <definedName name="_prn01">#REF!</definedName>
    <definedName name="_PRN1" localSheetId="10" hidden="1">{#N/A,#N/A,FALSE,"COVER.XLS";#N/A,#N/A,FALSE,"RACT1.XLS";#N/A,#N/A,FALSE,"RACT2.XLS";#N/A,#N/A,FALSE,"ECCMP";#N/A,#N/A,FALSE,"WELDER.XLS"}</definedName>
    <definedName name="_PRN1" hidden="1">{#N/A,#N/A,FALSE,"COVER.XLS";#N/A,#N/A,FALSE,"RACT1.XLS";#N/A,#N/A,FALSE,"RACT2.XLS";#N/A,#N/A,FALSE,"ECCMP";#N/A,#N/A,FALSE,"WELDER.XLS"}</definedName>
    <definedName name="_pu1">#REF!</definedName>
    <definedName name="_q2" localSheetId="10" hidden="1">{#N/A,#N/A,FALSE,"COVER1.XLS ";#N/A,#N/A,FALSE,"RACT1.XLS";#N/A,#N/A,FALSE,"RACT2.XLS";#N/A,#N/A,FALSE,"ECCMP";#N/A,#N/A,FALSE,"WELDER.XLS"}</definedName>
    <definedName name="_q2" hidden="1">{#N/A,#N/A,FALSE,"COVER1.XLS ";#N/A,#N/A,FALSE,"RACT1.XLS";#N/A,#N/A,FALSE,"RACT2.XLS";#N/A,#N/A,FALSE,"ECCMP";#N/A,#N/A,FALSE,"WELDER.XLS"}</definedName>
    <definedName name="_Qtr1">[39]IT_DDTP!$X$3</definedName>
    <definedName name="_Qtr2">[39]IT_DDTP!$Y$3</definedName>
    <definedName name="_Qtr3">[39]IT_DDTP!$Z$3</definedName>
    <definedName name="_Qtr4">[39]IT_DDTP!$AA$3</definedName>
    <definedName name="_Qtr5">[39]IT_DDTP!$AB$3</definedName>
    <definedName name="_ｑ部課つき作成">#REF!</definedName>
    <definedName name="_ra15">#REF!</definedName>
    <definedName name="_ra16">#REF!</definedName>
    <definedName name="_RAN1">#REF!</definedName>
    <definedName name="_RAN2">#REF!</definedName>
    <definedName name="_RAN3">#REF!</definedName>
    <definedName name="_Regression_Int" hidden="1">1</definedName>
    <definedName name="_Regression_X" hidden="1">#REF!</definedName>
    <definedName name="_rev1">#REF!</definedName>
    <definedName name="_rev10">#REF!</definedName>
    <definedName name="_rev11">#REF!</definedName>
    <definedName name="_rev12">#REF!</definedName>
    <definedName name="_rev13">#REF!</definedName>
    <definedName name="_rev14">#REF!</definedName>
    <definedName name="_rev15">#REF!</definedName>
    <definedName name="_rev16">#REF!</definedName>
    <definedName name="_rev17">#REF!</definedName>
    <definedName name="_rev18">#REF!</definedName>
    <definedName name="_rev19">#REF!</definedName>
    <definedName name="_rev2">#REF!</definedName>
    <definedName name="_rev20">#REF!</definedName>
    <definedName name="_rev5">#REF!</definedName>
    <definedName name="_rev6">#REF!</definedName>
    <definedName name="_rev7">#REF!</definedName>
    <definedName name="_rev8">#REF!</definedName>
    <definedName name="_rev9">#REF!</definedName>
    <definedName name="_RM1">#REF!</definedName>
    <definedName name="_RM2">#REF!</definedName>
    <definedName name="_RM3">#REF!</definedName>
    <definedName name="_roe97">#REF!</definedName>
    <definedName name="_ROI1">#REF!</definedName>
    <definedName name="_ROI2">'[17]#REF'!$A$46:$I$59</definedName>
    <definedName name="_RSE2">[18]CMA_Calculations!$H$125</definedName>
    <definedName name="_RV_DOWN_6__LEF">#REF!</definedName>
    <definedName name="_S">'[28]Power&amp;Fuel'!#REF!</definedName>
    <definedName name="_sale" hidden="1">#REF!</definedName>
    <definedName name="_SCH1">#REF!</definedName>
    <definedName name="_SCH10">#REF!</definedName>
    <definedName name="_SCH11">#REF!</definedName>
    <definedName name="_SCH12">[40]BSPL!$A$655:$D$692</definedName>
    <definedName name="_SCH13">#REF!</definedName>
    <definedName name="_SCH2">#REF!</definedName>
    <definedName name="_SCH3">#REF!</definedName>
    <definedName name="_sch4">[41]BS!#REF!</definedName>
    <definedName name="_SCH5">#REF!</definedName>
    <definedName name="_SCH6">#REF!</definedName>
    <definedName name="_SCH7">#REF!</definedName>
    <definedName name="_SCH8">#REF!</definedName>
    <definedName name="_SCH9">#REF!</definedName>
    <definedName name="_sen1">[42]Assumptions!#REF!</definedName>
    <definedName name="_sen2">[42]Assumptions!#REF!</definedName>
    <definedName name="_sh3">150</definedName>
    <definedName name="_sh4">180</definedName>
    <definedName name="_SI1">[39]SI!$O$12</definedName>
    <definedName name="_SI2">[39]SI!$O$13</definedName>
    <definedName name="_SI3">[39]SI!$O$14</definedName>
    <definedName name="_SI4">[39]SI!$O$15</definedName>
    <definedName name="_SI5">[39]SI!$O$16</definedName>
    <definedName name="_SI6">[39]SI!$O$17</definedName>
    <definedName name="_sl1">#REF!</definedName>
    <definedName name="_Sort" localSheetId="10" hidden="1">#REF!</definedName>
    <definedName name="_Sort" hidden="1">#REF!</definedName>
    <definedName name="_std1">'[19]132417'!$A$11:$Q$33</definedName>
    <definedName name="_SUM_DI14..DI21">#REF!</definedName>
    <definedName name="_SUM_DI22..DI29">#REF!</definedName>
    <definedName name="_sum1" localSheetId="10">#REF!</definedName>
    <definedName name="_SUM1">#REF!</definedName>
    <definedName name="_sum3">#REF!</definedName>
    <definedName name="_sw1">[39]Calculator!$N$3</definedName>
    <definedName name="_sw2">[39]Calculator!$N$4</definedName>
    <definedName name="_sw3">[39]Calculator!$M$4</definedName>
    <definedName name="_t1"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able1_In1" hidden="1">#REF!</definedName>
    <definedName name="_Table1_Out" hidden="1">#REF!</definedName>
    <definedName name="_Table2_In1" localSheetId="10" hidden="1">'[43]03-2000-2001'!$A$1</definedName>
    <definedName name="_Table2_In1" hidden="1">[44]CEP99!#REF!</definedName>
    <definedName name="_Table2_In2" localSheetId="10" hidden="1">'[43]03-2000-2001'!$A$1</definedName>
    <definedName name="_Table2_In2" hidden="1">[44]CEP99!#REF!</definedName>
    <definedName name="_Table2_Out" localSheetId="10" hidden="1">'[43]03-2000-2001'!$A$1</definedName>
    <definedName name="_Table2_Out" hidden="1">[44]CEP99!#REF!</definedName>
    <definedName name="_Table3_In2" hidden="1">#REF!</definedName>
    <definedName name="_TAX1">[45]FINAL!$A$10:$B$28</definedName>
    <definedName name="_tax2">#REF!</definedName>
    <definedName name="_tax3">#REF!</definedName>
    <definedName name="_TB0306">'[46]TB-03-06'!$A$7:$G$275</definedName>
    <definedName name="_tb2">#REF!</definedName>
    <definedName name="_tds1">#REF!</definedName>
    <definedName name="_TOT1">#REF!</definedName>
    <definedName name="_TOT2">#REF!</definedName>
    <definedName name="_tr1"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R3">#N/A</definedName>
    <definedName name="_U__END__U__D__">#REF!</definedName>
    <definedName name="_U__U__END__U__">#REF!</definedName>
    <definedName name="_U__U__U__U__U_">#REF!</definedName>
    <definedName name="_usl1">#REF!</definedName>
    <definedName name="_VEH1">#REF!</definedName>
    <definedName name="_VEH2">#REF!</definedName>
    <definedName name="_w2" localSheetId="10" hidden="1">{#N/A,#N/A,FALSE,"17MAY";#N/A,#N/A,FALSE,"24MAY"}</definedName>
    <definedName name="_w2" hidden="1">{#N/A,#N/A,FALSE,"17MAY";#N/A,#N/A,FALSE,"24MAY"}</definedName>
    <definedName name="_WA0005">'[47]TB WORLI'!#REF!</definedName>
    <definedName name="_WA0015">'[47]TB WORLI'!#REF!</definedName>
    <definedName name="_WA00212">'[47]TB WORLI'!#REF!</definedName>
    <definedName name="_WA00223">'[47]TB WORLI'!#REF!</definedName>
    <definedName name="_WA00231">'[47]TB WORLI'!#REF!</definedName>
    <definedName name="_WA00237">'[47]TB WORLI'!#REF!</definedName>
    <definedName name="_WA0026">'[47]TB WORLI'!#REF!</definedName>
    <definedName name="_WA00273">'[47]TB WORLI'!#REF!</definedName>
    <definedName name="_WA00288">'[47]TB WORLI'!#REF!</definedName>
    <definedName name="_WA00291">'[47]TB WORLI'!#REF!</definedName>
    <definedName name="_WA00294">'[47]TB WORLI'!#REF!</definedName>
    <definedName name="_WA00295">'[47]TB WORLI'!#REF!</definedName>
    <definedName name="_WA00298">'[47]TB WORLI'!#REF!</definedName>
    <definedName name="_WA00301">'[47]TB WORLI'!#REF!</definedName>
    <definedName name="_WA00302">'[47]TB WORLI'!#REF!</definedName>
    <definedName name="_WA00306">'[47]TB WORLI'!#REF!</definedName>
    <definedName name="_WA00307">'[47]TB WORLI'!#REF!</definedName>
    <definedName name="_WA00308">'[47]TB WORLI'!#REF!</definedName>
    <definedName name="_WA00310">'[47]TB WORLI'!#REF!</definedName>
    <definedName name="_WA00318">'[47]TB WORLI'!#REF!</definedName>
    <definedName name="_WA00321">'[47]TB WORLI'!#REF!</definedName>
    <definedName name="_WA00324">'[47]TB WORLI'!#REF!</definedName>
    <definedName name="_WA00325">'[47]TB WORLI'!#REF!</definedName>
    <definedName name="_WA00326">'[47]TB WORLI'!#REF!</definedName>
    <definedName name="_WA00327">'[47]TB WORLI'!#REF!</definedName>
    <definedName name="_WA00328">'[47]TB WORLI'!#REF!</definedName>
    <definedName name="_WA00329">'[47]TB WORLI'!#REF!</definedName>
    <definedName name="_WA00330">'[47]TB WORLI'!#REF!</definedName>
    <definedName name="_WA00332">'[47]TB WORLI'!#REF!</definedName>
    <definedName name="_WA00337">'[47]TB WORLI'!#REF!</definedName>
    <definedName name="_WA00338">'[47]TB WORLI'!#REF!</definedName>
    <definedName name="_WA00361">'[47]TB WORLI'!#REF!</definedName>
    <definedName name="_WA00362">'[47]TB WORLI'!#REF!</definedName>
    <definedName name="_WA00367">'[47]TB WORLI'!#REF!</definedName>
    <definedName name="_WA00368">'[47]TB WORLI'!#REF!</definedName>
    <definedName name="_WA00369">'[47]TB WORLI'!#REF!</definedName>
    <definedName name="_WA00370">'[47]TB WORLI'!#REF!</definedName>
    <definedName name="_WA00372">'[47]TB WORLI'!#REF!</definedName>
    <definedName name="_WA00373">'[47]TB WORLI'!#REF!</definedName>
    <definedName name="_WA00374">'[47]TB WORLI'!#REF!</definedName>
    <definedName name="_WA00375">'[47]TB WORLI'!#REF!</definedName>
    <definedName name="_WA00376">'[47]TB WORLI'!#REF!</definedName>
    <definedName name="_WA00377">'[47]TB WORLI'!#REF!</definedName>
    <definedName name="_WA00378">'[47]TB WORLI'!#REF!</definedName>
    <definedName name="_WA00379">'[47]TB WORLI'!#REF!</definedName>
    <definedName name="_WA0038">'[47]TB WORLI'!#REF!</definedName>
    <definedName name="_WA00380">'[47]TB WORLI'!#REF!</definedName>
    <definedName name="_WA00381">'[47]TB WORLI'!#REF!</definedName>
    <definedName name="_WA00382">'[47]TB WORLI'!#REF!</definedName>
    <definedName name="_WA00386">'[47]TB WORLI'!#REF!</definedName>
    <definedName name="_WA00387">'[47]TB WORLI'!#REF!</definedName>
    <definedName name="_WA00388">'[47]TB WORLI'!#REF!</definedName>
    <definedName name="_WA00389">'[47]TB WORLI'!#REF!</definedName>
    <definedName name="_WA00390">'[47]TB WORLI'!#REF!</definedName>
    <definedName name="_WA00392">'[47]TB WORLI'!#REF!</definedName>
    <definedName name="_WA00397">'[47]TB WORLI'!#REF!</definedName>
    <definedName name="_WA00400">'[47]TB WORLI'!#REF!</definedName>
    <definedName name="_WA00402">'[47]TB WORLI'!#REF!</definedName>
    <definedName name="_WA00420">'[47]TB WORLI'!#REF!</definedName>
    <definedName name="_WA00434">'[47]TB WORLI'!#REF!</definedName>
    <definedName name="_WA00435">'[47]TB WORLI'!#REF!</definedName>
    <definedName name="_WA00436">'[47]TB WORLI'!#REF!</definedName>
    <definedName name="_WA00437">'[47]TB WORLI'!#REF!</definedName>
    <definedName name="_WA00439">'[47]TB WORLI'!#REF!</definedName>
    <definedName name="_WA00440">'[47]TB WORLI'!#REF!</definedName>
    <definedName name="_WA00441">'[47]TB WORLI'!#REF!</definedName>
    <definedName name="_WA00442">'[47]TB WORLI'!#REF!</definedName>
    <definedName name="_WA00444">'[47]TB WORLI'!#REF!</definedName>
    <definedName name="_WA00445">'[47]TB WORLI'!#REF!</definedName>
    <definedName name="_WA00446">'[47]TB WORLI'!#REF!</definedName>
    <definedName name="_WA00447">'[47]TB WORLI'!#REF!</definedName>
    <definedName name="_WA00452">'[47]TB WORLI'!#REF!</definedName>
    <definedName name="_WA00454">'[47]TB WORLI'!#REF!</definedName>
    <definedName name="_WA0049">'[47]TB WORLI'!#REF!</definedName>
    <definedName name="_WA0065">'[47]TB WORLI'!#REF!</definedName>
    <definedName name="_WA0131">'[47]TB WORLI'!#REF!</definedName>
    <definedName name="_WA0142">'[47]TB WORLI'!#REF!</definedName>
    <definedName name="_WDR_">#REF!</definedName>
    <definedName name="_WE00250">'[47]TB WORLI'!#REF!</definedName>
    <definedName name="_WE00251">'[47]TB WORLI'!#REF!</definedName>
    <definedName name="_WE00281">'[47]TB WORLI'!#REF!</definedName>
    <definedName name="_WE00289">'[47]TB WORLI'!#REF!</definedName>
    <definedName name="_WE0159">'[47]TB WORLI'!#REF!</definedName>
    <definedName name="_WE0160">'[47]TB WORLI'!#REF!</definedName>
    <definedName name="_WE0211">'[47]TB WORLI'!#REF!</definedName>
    <definedName name="_WE0219">'[47]TB WORLI'!#REF!</definedName>
    <definedName name="_WE0225">'[47]TB WORLI'!#REF!</definedName>
    <definedName name="_WE0232">'[47]TB WORLI'!#REF!</definedName>
    <definedName name="_WE0243">'[47]TB WORLI'!#REF!</definedName>
    <definedName name="_WGPD_GOTO_CO10">#REF!</definedName>
    <definedName name="_WI00296">'[47]TB WORLI'!#REF!</definedName>
    <definedName name="_WI00298">'[47]TB WORLI'!#REF!</definedName>
    <definedName name="_WI00319">'[47]TB WORLI'!#REF!</definedName>
    <definedName name="_WI00320">'[47]TB WORLI'!#REF!</definedName>
    <definedName name="_WI00321">'[47]TB WORLI'!#REF!</definedName>
    <definedName name="_WI0256">'[47]TB WORLI'!#REF!</definedName>
    <definedName name="_WI0286">'[47]TB WORLI'!#REF!</definedName>
    <definedName name="_WL00382">'[47]TB WORLI'!#REF!</definedName>
    <definedName name="_WL00623">'[47]TB WORLI'!#REF!</definedName>
    <definedName name="_WL00655">'[47]TB WORLI'!#REF!</definedName>
    <definedName name="_WL00664">'[47]TB WORLI'!#REF!</definedName>
    <definedName name="_WL0333">'[47]TB WORLI'!#REF!</definedName>
    <definedName name="_WL0342">'[47]TB WORLI'!#REF!</definedName>
    <definedName name="_WL0355">'[47]TB WORLI'!#REF!</definedName>
    <definedName name="_WRN1" localSheetId="10" hidden="1">{#N/A,#N/A,FALSE,"COVER1.XLS ";#N/A,#N/A,FALSE,"RACT1.XLS";#N/A,#N/A,FALSE,"RACT2.XLS";#N/A,#N/A,FALSE,"ECCMP";#N/A,#N/A,FALSE,"WELDER.XLS"}</definedName>
    <definedName name="_WRN1" hidden="1">{#N/A,#N/A,FALSE,"COVER1.XLS ";#N/A,#N/A,FALSE,"RACT1.XLS";#N/A,#N/A,FALSE,"RACT2.XLS";#N/A,#N/A,FALSE,"ECCMP";#N/A,#N/A,FALSE,"WELDER.XLS"}</definedName>
    <definedName name="_WRN2" localSheetId="10" hidden="1">{#N/A,#N/A,FALSE,"COVER1.XLS ";#N/A,#N/A,FALSE,"RACT1.XLS";#N/A,#N/A,FALSE,"RACT2.XLS";#N/A,#N/A,FALSE,"ECCMP";#N/A,#N/A,FALSE,"WELDER.XLS"}</definedName>
    <definedName name="_WRN2" hidden="1">{#N/A,#N/A,FALSE,"COVER1.XLS ";#N/A,#N/A,FALSE,"RACT1.XLS";#N/A,#N/A,FALSE,"RACT2.XLS";#N/A,#N/A,FALSE,"ECCMP";#N/A,#N/A,FALSE,"WELDER.XLS"}</definedName>
    <definedName name="_WRN3" localSheetId="10" hidden="1">{#N/A,#N/A,FALSE,"consu_cover";#N/A,#N/A,FALSE,"consu_strategy";#N/A,#N/A,FALSE,"consu_flow";#N/A,#N/A,FALSE,"Summary_reqmt";#N/A,#N/A,FALSE,"field_ppg";#N/A,#N/A,FALSE,"ppg_shop";#N/A,#N/A,FALSE,"strl";#N/A,#N/A,FALSE,"tankages";#N/A,#N/A,FALSE,"gases"}</definedName>
    <definedName name="_WRN3" hidden="1">{#N/A,#N/A,FALSE,"consu_cover";#N/A,#N/A,FALSE,"consu_strategy";#N/A,#N/A,FALSE,"consu_flow";#N/A,#N/A,FALSE,"Summary_reqmt";#N/A,#N/A,FALSE,"field_ppg";#N/A,#N/A,FALSE,"ppg_shop";#N/A,#N/A,FALSE,"strl";#N/A,#N/A,FALSE,"tankages";#N/A,#N/A,FALSE,"gases"}</definedName>
    <definedName name="《_投資有価証券の時価について__">#REF!</definedName>
    <definedName name="・・・">#REF!</definedName>
    <definedName name="A" localSheetId="1">'[48]P &amp; L'!$B$1</definedName>
    <definedName name="a" localSheetId="10">"GEA ENERGY SYSTEM (INDIA) LIMITED"</definedName>
    <definedName name="A">'[49]MAIN-COMP'!#REF!</definedName>
    <definedName name="A.R">#REF!</definedName>
    <definedName name="a_case">'[50]C Sum'!$C$126</definedName>
    <definedName name="A_GEN1.DomesticCompFlg">[39]GENERAL!$AQ$15</definedName>
    <definedName name="A_GEN1.ResidentialStatus">[39]GENERAL!$U$32</definedName>
    <definedName name="A_Rodricks">#REF!</definedName>
    <definedName name="a0">#REF!</definedName>
    <definedName name="A0002_">'[51]TB APJ'!$B$233</definedName>
    <definedName name="A0005_">'[51]TB APJ'!$B$7</definedName>
    <definedName name="A0007_">'[51]TB APJ'!$B$8</definedName>
    <definedName name="A0008_">'[51]TB APJ'!$B$9</definedName>
    <definedName name="A00167_">'[51]TB APJ'!#REF!</definedName>
    <definedName name="A00168_">'[51]TB APJ'!#REF!</definedName>
    <definedName name="A00169_">[52]tb!$B$8</definedName>
    <definedName name="A00183_">'[51]TB APJ'!#REF!</definedName>
    <definedName name="A0019_">'[51]TB APJ'!$B$10</definedName>
    <definedName name="A00191_">'[51]TB APJ'!$B$246</definedName>
    <definedName name="A00195_">'[51]TB APJ'!#REF!</definedName>
    <definedName name="A00203_">'[51]TB APJ'!#REF!</definedName>
    <definedName name="A00207_">'[51]TB APJ'!#REF!</definedName>
    <definedName name="A00211_">'[51]TB APJ'!#REF!</definedName>
    <definedName name="A00212_">'[51]TB APJ'!$B$247</definedName>
    <definedName name="A00214_">'[51]TB APJ'!#REF!</definedName>
    <definedName name="A00215_">'[47]TB APJ'!#REF!</definedName>
    <definedName name="A00223_">[52]tb!$B$10</definedName>
    <definedName name="A00225_">'[51]TB APJ'!$B$11</definedName>
    <definedName name="A00226_">'[51]TB APJ'!$B$248</definedName>
    <definedName name="A00242_">'[51]TB APJ'!$B$12</definedName>
    <definedName name="A00247_">'[51]TB APJ'!#REF!</definedName>
    <definedName name="A00252_">'[51]TB APJ'!$B$330</definedName>
    <definedName name="A00256_">'[51]TB APJ'!$B$249</definedName>
    <definedName name="A00257_">'[51]TB APJ'!$B$306</definedName>
    <definedName name="A00258_">'[51]TB APJ'!#REF!</definedName>
    <definedName name="A0026_">'[51]TB APJ'!$B$13</definedName>
    <definedName name="A00260_">'[47]TB APJ'!#REF!</definedName>
    <definedName name="A00261_">'[47]TB APJ'!#REF!</definedName>
    <definedName name="A00264_">'[47]TB APJ'!#REF!</definedName>
    <definedName name="A00266_">'[51]TB APJ'!#REF!</definedName>
    <definedName name="A00268_">'[51]TB APJ'!#REF!</definedName>
    <definedName name="A00270_">'[51]TB APJ'!$B$331</definedName>
    <definedName name="A00271_">[52]tb!$B$16</definedName>
    <definedName name="A00273_">'[51]TB APJ'!$B$16</definedName>
    <definedName name="A00274_">'[51]TB APJ'!$B$17</definedName>
    <definedName name="A0028_">'[51]TB APJ'!$B$332</definedName>
    <definedName name="A00280_">'[51]TB APJ'!#REF!</definedName>
    <definedName name="A00281_">'[51]TB APJ'!#REF!</definedName>
    <definedName name="A00283_">'[51]TB APJ'!#REF!</definedName>
    <definedName name="A00290_">'[51]TB APJ'!#REF!</definedName>
    <definedName name="A00291_">'[51]TB APJ'!$B$250</definedName>
    <definedName name="A00293_">'[51]TB APJ'!$B$333</definedName>
    <definedName name="A00294_">'[51]TB APJ'!#REF!</definedName>
    <definedName name="A00295_">'[51]TB APJ'!#REF!</definedName>
    <definedName name="A00296_">'[51]TB APJ'!#REF!</definedName>
    <definedName name="A00297_">'[51]TB APJ'!#REF!</definedName>
    <definedName name="A00300_">'[47]TB APJ'!#REF!</definedName>
    <definedName name="A00301_">'[51]TB APJ'!#REF!</definedName>
    <definedName name="A00302_">'[51]TB APJ'!#REF!</definedName>
    <definedName name="A00303_">[52]tb!$B$25</definedName>
    <definedName name="A00305_">'[51]TB APJ'!#REF!</definedName>
    <definedName name="A00306_">'[47]TB WORLI'!#REF!</definedName>
    <definedName name="A00314_">'[51]TB APJ'!#REF!</definedName>
    <definedName name="A00315_">'[51]TB APJ'!#REF!</definedName>
    <definedName name="A00317_">'[51]TB APJ'!#REF!</definedName>
    <definedName name="A00318_">'[51]TB APJ'!#REF!</definedName>
    <definedName name="A00319_">'[51]TB APJ'!$B$307</definedName>
    <definedName name="A00320_">'[51]TB APJ'!$B$335</definedName>
    <definedName name="A00321_">'[51]TB APJ'!#REF!</definedName>
    <definedName name="A00322_">'[51]TB APJ'!$B$336</definedName>
    <definedName name="A00323_">'[47]TB APJ'!#REF!</definedName>
    <definedName name="A00324_">'[51]TB APJ'!#REF!</definedName>
    <definedName name="A00325_">'[51]TB APJ'!#REF!</definedName>
    <definedName name="A00326_">'[51]TB APJ'!$B$337</definedName>
    <definedName name="A00327_">'[51]TB APJ'!$B$338</definedName>
    <definedName name="A00330_">'[51]TB APJ'!#REF!</definedName>
    <definedName name="A00331_">'[51]TB APJ'!$B$308</definedName>
    <definedName name="A00333_">'[51]TB APJ'!#REF!</definedName>
    <definedName name="A00334_">'[51]TB APJ'!#REF!</definedName>
    <definedName name="A00335_">'[51]TB APJ'!#REF!</definedName>
    <definedName name="A00338_">'[51]TB APJ'!#REF!</definedName>
    <definedName name="A00340_">'[51]TB APJ'!#REF!</definedName>
    <definedName name="A00341_">'[51]TB APJ'!#REF!</definedName>
    <definedName name="A00342_">'[51]TB APJ'!$B$339</definedName>
    <definedName name="A00344_">'[51]TB APJ'!#REF!</definedName>
    <definedName name="A00345_">'[51]TB APJ'!#REF!</definedName>
    <definedName name="A00346_">'[51]TB APJ'!#REF!</definedName>
    <definedName name="A00348_">'[51]TB APJ'!#REF!</definedName>
    <definedName name="A00349_">'[51]TB APJ'!#REF!</definedName>
    <definedName name="A00350_">'[51]TB APJ'!$B$340</definedName>
    <definedName name="A00351_">'[51]TB APJ'!#REF!</definedName>
    <definedName name="A00352_">'[51]TB APJ'!$B$20</definedName>
    <definedName name="A00353_">'[51]TB APJ'!#REF!</definedName>
    <definedName name="A00354_">'[51]TB APJ'!$B$341</definedName>
    <definedName name="A00355_">'[51]TB APJ'!$B$342</definedName>
    <definedName name="A00357_">'[51]TB APJ'!$B$343</definedName>
    <definedName name="A00358_">'[51]TB APJ'!$B$344</definedName>
    <definedName name="A00359_">'[51]TB APJ'!$B$254</definedName>
    <definedName name="A00362_">'[51]TB APJ'!#REF!</definedName>
    <definedName name="A00366_">'[51]TB APJ'!#REF!</definedName>
    <definedName name="A00367_">'[51]TB APJ'!$B$21</definedName>
    <definedName name="A00368_">'[51]TB APJ'!$B$22</definedName>
    <definedName name="A00369_">'[51]TB APJ'!#REF!</definedName>
    <definedName name="A00370_">'[51]TB APJ'!$B$23</definedName>
    <definedName name="A00372_">'[51]TB APJ'!$B$235</definedName>
    <definedName name="A00376_">'[51]TB APJ'!#REF!</definedName>
    <definedName name="A00379_">'[51]TB APJ'!#REF!</definedName>
    <definedName name="A00381_">'[51]TB APJ'!#REF!</definedName>
    <definedName name="A00383_">'[51]TB APJ'!#REF!</definedName>
    <definedName name="A00386_">'[51]TB APJ'!#REF!</definedName>
    <definedName name="A00387_">'[51]TB APJ'!#REF!</definedName>
    <definedName name="A00388_">'[51]TB APJ'!#REF!</definedName>
    <definedName name="A00389_">'[51]TB APJ'!#REF!</definedName>
    <definedName name="A00391_">'[51]TB APJ'!#REF!</definedName>
    <definedName name="A00392_">'[51]TB APJ'!#REF!</definedName>
    <definedName name="A00393_">'[51]TB APJ'!#REF!</definedName>
    <definedName name="A00394_">'[51]TB APJ'!#REF!</definedName>
    <definedName name="A00395_">'[51]TB APJ'!#REF!</definedName>
    <definedName name="A00396_">'[51]TB APJ'!#REF!</definedName>
    <definedName name="A00397_">'[51]TB APJ'!$B$351</definedName>
    <definedName name="A00398_">'[51]TB APJ'!#REF!</definedName>
    <definedName name="A0040_">'[51]TB APJ'!#REF!</definedName>
    <definedName name="A00400_">'[51]TB APJ'!#REF!</definedName>
    <definedName name="A00402_">'[51]TB APJ'!$B$309</definedName>
    <definedName name="A00403_">'[51]TB APJ'!$B$25</definedName>
    <definedName name="A00404_">'[51]TB APJ'!#REF!</definedName>
    <definedName name="A00405_">'[51]TB APJ'!$B$26</definedName>
    <definedName name="A00407_">'[51]TB APJ'!#REF!</definedName>
    <definedName name="A00409_">'[51]TB APJ'!$B$256</definedName>
    <definedName name="A00410_">'[51]TB APJ'!#REF!</definedName>
    <definedName name="A00411_">'[51]TB APJ'!#REF!</definedName>
    <definedName name="A00412_">'[51]TB APJ'!#REF!</definedName>
    <definedName name="A00413_">'[51]TB APJ'!#REF!</definedName>
    <definedName name="A00416_">'[51]TB APJ'!#REF!</definedName>
    <definedName name="A00420_">'[51]TB APJ'!#REF!</definedName>
    <definedName name="A00421_">'[51]TB APJ'!#REF!</definedName>
    <definedName name="A00422_">'[51]TB APJ'!#REF!</definedName>
    <definedName name="A00423_">'[51]TB APJ'!$B$27</definedName>
    <definedName name="A00424_">'[51]TB APJ'!$B$28</definedName>
    <definedName name="A00425_">'[51]TB APJ'!#REF!</definedName>
    <definedName name="A00426_">'[51]TB APJ'!$B$353</definedName>
    <definedName name="A00427_">'[51]TB APJ'!$B$258</definedName>
    <definedName name="A00430_">'[51]TB APJ'!$B$29</definedName>
    <definedName name="A00433_">'[51]TB APJ'!#REF!</definedName>
    <definedName name="A00434_">'[51]TB APJ'!$B$260</definedName>
    <definedName name="A00435_">'[51]TB APJ'!#REF!</definedName>
    <definedName name="A00436_">'[51]TB APJ'!#REF!</definedName>
    <definedName name="A00437_">'[51]TB APJ'!#REF!</definedName>
    <definedName name="A0044_">'[51]TB APJ'!#REF!</definedName>
    <definedName name="A00441_">'[51]TB APJ'!#REF!</definedName>
    <definedName name="A00442_">'[51]TB APJ'!$B$354</definedName>
    <definedName name="A00443_">'[51]TB APJ'!$B$261</definedName>
    <definedName name="A00444_">'[51]TB APJ'!#REF!</definedName>
    <definedName name="A00445_">'[51]TB APJ'!$B$355</definedName>
    <definedName name="A00446_">'[51]TB APJ'!$B$31</definedName>
    <definedName name="A00448_">'[51]TB APJ'!#REF!</definedName>
    <definedName name="A0045_">[52]tb!$B$92</definedName>
    <definedName name="A00453_">'[51]TB APJ'!$B$32</definedName>
    <definedName name="A00457_">'[51]TB APJ'!$B$34</definedName>
    <definedName name="A0048_">'[51]TB APJ'!#REF!</definedName>
    <definedName name="A0049_">'[47]TB WORLI'!#REF!</definedName>
    <definedName name="A0050_">'[51]TB APJ'!$B$36</definedName>
    <definedName name="A0052_">'[51]TB APJ'!#REF!</definedName>
    <definedName name="A0053_">'[51]TB APJ'!$B$37</definedName>
    <definedName name="A0057_">'[51]TB APJ'!$B$38</definedName>
    <definedName name="A0060_">'[51]TB APJ'!$B$39</definedName>
    <definedName name="A0061_">'[51]TB APJ'!#REF!</definedName>
    <definedName name="A0062_">'[51]TB APJ'!$B$40</definedName>
    <definedName name="A0064_">[52]tb!$B$101</definedName>
    <definedName name="A0065_">'[51]TB APJ'!$B$357</definedName>
    <definedName name="A0066_">'[51]TB APJ'!$B$41</definedName>
    <definedName name="A0067_">'[51]TB APJ'!$B$42</definedName>
    <definedName name="A0069_">'[47]TB APJ'!#REF!</definedName>
    <definedName name="A0070_">'[51]TB APJ'!$B$43</definedName>
    <definedName name="A0071_">'[51]TB APJ'!$B$44</definedName>
    <definedName name="A0072_">'[51]TB APJ'!$B$45</definedName>
    <definedName name="A0074_">'[51]TB APJ'!$B$46</definedName>
    <definedName name="A0075_">'[51]TB APJ'!$B$425</definedName>
    <definedName name="A0078_">'[51]TB APJ'!#REF!</definedName>
    <definedName name="A0080_">'[51]TB APJ'!$B$47</definedName>
    <definedName name="A0081_">'[51]TB APJ'!$B$48</definedName>
    <definedName name="A0082_">'[51]TB APJ'!#REF!</definedName>
    <definedName name="A0084_">'[51]TB APJ'!$B$49</definedName>
    <definedName name="A0085_">'[51]TB APJ'!$B$241</definedName>
    <definedName name="A0087_">'[51]TB APJ'!$B$359</definedName>
    <definedName name="A0088_">'[51]TB APJ'!$B$50</definedName>
    <definedName name="A0096_">'[51]TB APJ'!#REF!</definedName>
    <definedName name="A0100_">'[51]TB APJ'!$B$51</definedName>
    <definedName name="A0101_">'[51]TB APJ'!#REF!</definedName>
    <definedName name="A0103_">'[51]TB APJ'!$B$268</definedName>
    <definedName name="A0114_">'[51]TB APJ'!$B$52</definedName>
    <definedName name="A0115_">'[51]TB APJ'!$B$53</definedName>
    <definedName name="A0116_">'[51]TB APJ'!$B$269</definedName>
    <definedName name="A0118_">'[51]TB APJ'!$B$54</definedName>
    <definedName name="A0119_">'[51]TB APJ'!$B$55</definedName>
    <definedName name="A0126_">'[51]TB APJ'!#REF!</definedName>
    <definedName name="A0127_">'[51]TB APJ'!#REF!</definedName>
    <definedName name="A0129_">'[51]TB APJ'!#REF!</definedName>
    <definedName name="A0141_">'[51]TB APJ'!$B$56</definedName>
    <definedName name="A0142_">'[51]TB APJ'!$B$57</definedName>
    <definedName name="A0146_">'[47]TB APJ'!#REF!</definedName>
    <definedName name="A0154_">'[51]TB APJ'!$B$58</definedName>
    <definedName name="A0155_">'[51]TB APJ'!#REF!</definedName>
    <definedName name="A1_">#REF!</definedName>
    <definedName name="A10_">#REF!</definedName>
    <definedName name="A10002_">'[51]TB APJ'!$B$59</definedName>
    <definedName name="A10007_">'[51]TB APJ'!$B$312</definedName>
    <definedName name="A10019_">'[47]TB APJ'!$B$48</definedName>
    <definedName name="A10037_">'[47]TB APJ'!#REF!</definedName>
    <definedName name="A10041_">'[47]TB APJ'!#REF!</definedName>
    <definedName name="A10066_">'[47]TB APJ'!#REF!</definedName>
    <definedName name="A10069_">'[47]TB APJ'!#REF!</definedName>
    <definedName name="A10087_">'[47]TB APJ'!#REF!</definedName>
    <definedName name="A10104_">'[51]TB APJ'!$B$315</definedName>
    <definedName name="A10106_">'[47]TB APJ'!#REF!</definedName>
    <definedName name="A10112_">'[51]TB APJ'!$B$60</definedName>
    <definedName name="A10117_">'[51]TB APJ'!$B$61</definedName>
    <definedName name="A10119_">'[51]TB APJ'!$B$426</definedName>
    <definedName name="A10122_">'[51]TB APJ'!$B$63</definedName>
    <definedName name="A10123_">'[51]TB APJ'!$B$64</definedName>
    <definedName name="A10124_">'[51]TB APJ'!$B$65</definedName>
    <definedName name="A13_">#REF!</definedName>
    <definedName name="A2_">#REF!</definedName>
    <definedName name="A3_">#REF!</definedName>
    <definedName name="A4_">#REF!</definedName>
    <definedName name="A5_">#REF!</definedName>
    <definedName name="A6_">#REF!</definedName>
    <definedName name="a654645454545">#REF!</definedName>
    <definedName name="A7_">#REF!</definedName>
    <definedName name="A8_">#REF!</definedName>
    <definedName name="A9_">#REF!</definedName>
    <definedName name="aa" localSheetId="10">[53]oresreqsum!#REF!</definedName>
    <definedName name="AA">#REF!</definedName>
    <definedName name="AA..." hidden="1">#REF!</definedName>
    <definedName name="AA0005_">'[47]TB WORLI'!#REF!</definedName>
    <definedName name="AA0015_">'[47]TB WORLI'!#REF!</definedName>
    <definedName name="AA00212_">'[47]TB WORLI'!#REF!</definedName>
    <definedName name="AA00223_">'[47]TB WORLI'!#REF!</definedName>
    <definedName name="AA00231_">'[47]TB WORLI'!#REF!</definedName>
    <definedName name="AA00237_">'[47]TB WORLI'!#REF!</definedName>
    <definedName name="AA0026_">'[47]TB WORLI'!#REF!</definedName>
    <definedName name="AA00273_">'[47]TB WORLI'!#REF!</definedName>
    <definedName name="AA00288_">'[47]TB WORLI'!#REF!</definedName>
    <definedName name="AA00291_">'[47]TB WORLI'!#REF!</definedName>
    <definedName name="AA00294_">'[47]TB WORLI'!#REF!</definedName>
    <definedName name="AA00295_">'[47]TB WORLI'!#REF!</definedName>
    <definedName name="AA00298_">'[47]TB WORLI'!#REF!</definedName>
    <definedName name="AA00301_">'[47]TB WORLI'!#REF!</definedName>
    <definedName name="AA00302_">'[47]TB WORLI'!#REF!</definedName>
    <definedName name="AA00306_">'[47]TB WORLI'!#REF!</definedName>
    <definedName name="AA00307_">'[47]TB WORLI'!#REF!</definedName>
    <definedName name="AA00308_">'[47]TB WORLI'!#REF!</definedName>
    <definedName name="AA00310_">'[47]TB WORLI'!#REF!</definedName>
    <definedName name="AA00318_">'[47]TB WORLI'!#REF!</definedName>
    <definedName name="AA00321_">'[47]TB WORLI'!#REF!</definedName>
    <definedName name="AA00324_">'[47]TB WORLI'!#REF!</definedName>
    <definedName name="AA00325_">'[47]TB WORLI'!#REF!</definedName>
    <definedName name="AA00326_">'[47]TB WORLI'!#REF!</definedName>
    <definedName name="AA00327_">'[47]TB WORLI'!#REF!</definedName>
    <definedName name="AA00328_">'[47]TB WORLI'!#REF!</definedName>
    <definedName name="AA00329_">'[47]TB WORLI'!#REF!</definedName>
    <definedName name="AA00330_">'[47]TB WORLI'!#REF!</definedName>
    <definedName name="AA00332_">'[47]TB WORLI'!#REF!</definedName>
    <definedName name="AA00337_">'[47]TB WORLI'!#REF!</definedName>
    <definedName name="AA00338_">'[47]TB WORLI'!#REF!</definedName>
    <definedName name="AA00361_">'[47]TB WORLI'!#REF!</definedName>
    <definedName name="AA00362_">'[47]TB WORLI'!#REF!</definedName>
    <definedName name="AA00367_">'[47]TB WORLI'!#REF!</definedName>
    <definedName name="AA00368_">'[47]TB WORLI'!#REF!</definedName>
    <definedName name="AA00369_">'[47]TB WORLI'!#REF!</definedName>
    <definedName name="AA00370_">'[47]TB WORLI'!#REF!</definedName>
    <definedName name="AA00372_">'[47]TB WORLI'!#REF!</definedName>
    <definedName name="AA00373_">'[47]TB WORLI'!#REF!</definedName>
    <definedName name="AA00374_">'[47]TB WORLI'!#REF!</definedName>
    <definedName name="AA00375_">'[47]TB WORLI'!#REF!</definedName>
    <definedName name="AA00376_">'[47]TB WORLI'!#REF!</definedName>
    <definedName name="AA00377_">'[47]TB WORLI'!#REF!</definedName>
    <definedName name="AA00378_">'[47]TB WORLI'!#REF!</definedName>
    <definedName name="AA00379_">'[47]TB WORLI'!#REF!</definedName>
    <definedName name="AA0038_">'[47]TB WORLI'!#REF!</definedName>
    <definedName name="AA00380_">'[47]TB WORLI'!#REF!</definedName>
    <definedName name="AA00381_">'[47]TB WORLI'!#REF!</definedName>
    <definedName name="AA00382_">'[47]TB WORLI'!#REF!</definedName>
    <definedName name="AA00386_">'[47]TB WORLI'!#REF!</definedName>
    <definedName name="AA00387_">'[47]TB WORLI'!#REF!</definedName>
    <definedName name="AA00388_">'[47]TB WORLI'!#REF!</definedName>
    <definedName name="AA00389_">'[47]TB WORLI'!#REF!</definedName>
    <definedName name="AA00390_">'[47]TB WORLI'!#REF!</definedName>
    <definedName name="AA00392_">'[47]TB WORLI'!#REF!</definedName>
    <definedName name="AA00397_">'[47]TB WORLI'!#REF!</definedName>
    <definedName name="AA00400_">'[47]TB WORLI'!#REF!</definedName>
    <definedName name="AA00402_">'[47]TB WORLI'!#REF!</definedName>
    <definedName name="AA00420_">'[47]TB WORLI'!#REF!</definedName>
    <definedName name="AA00434_">'[47]TB WORLI'!#REF!</definedName>
    <definedName name="AA00435_">'[47]TB WORLI'!#REF!</definedName>
    <definedName name="AA00436_">'[47]TB WORLI'!#REF!</definedName>
    <definedName name="AA00437_">'[47]TB WORLI'!#REF!</definedName>
    <definedName name="AA00439_">'[47]TB WORLI'!#REF!</definedName>
    <definedName name="AA00440_">'[47]TB WORLI'!#REF!</definedName>
    <definedName name="AA00441_">'[47]TB WORLI'!#REF!</definedName>
    <definedName name="AA00442_">'[47]TB WORLI'!#REF!</definedName>
    <definedName name="AA00444_">'[47]TB WORLI'!#REF!</definedName>
    <definedName name="AA00445_">'[47]TB WORLI'!#REF!</definedName>
    <definedName name="AA00446_">'[47]TB WORLI'!#REF!</definedName>
    <definedName name="AA00447_">'[47]TB WORLI'!#REF!</definedName>
    <definedName name="AA00452_">'[47]TB WORLI'!#REF!</definedName>
    <definedName name="AA00454_">'[47]TB WORLI'!#REF!</definedName>
    <definedName name="AA0049_">'[47]TB WORLI'!#REF!</definedName>
    <definedName name="AA0065_">'[47]TB WORLI'!#REF!</definedName>
    <definedName name="AA0131_">'[47]TB WORLI'!#REF!</definedName>
    <definedName name="AA0142_">'[47]TB WORLI'!#REF!</definedName>
    <definedName name="AA10.DedFromUndertaking">'[39]10A'!$F$26</definedName>
    <definedName name="AAa" localSheetId="10" hidden="1">{#N/A,#N/A,FALSE,"COVER1.XLS ";#N/A,#N/A,FALSE,"RACT1.XLS";#N/A,#N/A,FALSE,"RACT2.XLS";#N/A,#N/A,FALSE,"ECCMP";#N/A,#N/A,FALSE,"WELDER.XLS"}</definedName>
    <definedName name="aaa">#REF!</definedName>
    <definedName name="AAA_DOCTOPS" hidden="1">"AAA_SET"</definedName>
    <definedName name="AAA_duser" hidden="1">"OFF"</definedName>
    <definedName name="aaaa">#REF!</definedName>
    <definedName name="aaaaa" hidden="1">#REF!</definedName>
    <definedName name="AAB_Addin5" hidden="1">"AAB_Description for addin 5,Description for addin 5,Description for addin 5,Description for addin 5,Description for addin 5,Description for addin 5"</definedName>
    <definedName name="aasaaaa">'[54]ANNX -II'!$B$80:$K$97</definedName>
    <definedName name="ab" localSheetId="10" hidden="1">{#N/A,#N/A,FALSE,"Full";#N/A,#N/A,FALSE,"Half";#N/A,#N/A,FALSE,"Op Expenses";#N/A,#N/A,FALSE,"Cap Charge";#N/A,#N/A,FALSE,"Cost C";#N/A,#N/A,FALSE,"PP&amp;E";#N/A,#N/A,FALSE,"R&amp;D"}</definedName>
    <definedName name="ab">#REF!</definedName>
    <definedName name="aba" localSheetId="10" hidden="1">{"PG1",#N/A,FALSE,"SSL-FIN";"PG2",#N/A,FALSE,"SSL-FIN";"PG3",#N/A,FALSE,"SSL-FIN";"PG4",#N/A,FALSE,"SSL-FIN";"PG5",#N/A,FALSE,"SSL-FIN";"PG6",#N/A,FALSE,"SSL-FIN";"PG7",#N/A,FALSE,"SSL-FIN"}</definedName>
    <definedName name="aba" hidden="1">{"PG1",#N/A,FALSE,"SSL-FIN";"PG2",#N/A,FALSE,"SSL-FIN";"PG3",#N/A,FALSE,"SSL-FIN";"PG4",#N/A,FALSE,"SSL-FIN";"PG5",#N/A,FALSE,"SSL-FIN";"PG6",#N/A,FALSE,"SSL-FIN";"PG7",#N/A,FALSE,"SSL-FIN"}</definedName>
    <definedName name="abba" localSheetId="1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c" localSheetId="10">'[55]P &amp; L SCH'!#REF!</definedName>
    <definedName name="ABC">#REF!</definedName>
    <definedName name="abc.doc" localSheetId="10" hidden="1">{"'Income Statement'!$D$96:$E$101"}</definedName>
    <definedName name="abc.doc" hidden="1">{"'Income Statement'!$D$96:$E$101"}</definedName>
    <definedName name="abcd" localSheetId="10" hidden="1">{#N/A,#N/A,FALSE,"str_title";#N/A,#N/A,FALSE,"SUM";#N/A,#N/A,FALSE,"Scope";#N/A,#N/A,FALSE,"PIE-Jn";#N/A,#N/A,FALSE,"PIE-Jn_Hz";#N/A,#N/A,FALSE,"Liq_Plan";#N/A,#N/A,FALSE,"S_Curve";#N/A,#N/A,FALSE,"Liq_Prof";#N/A,#N/A,FALSE,"Man_Pwr";#N/A,#N/A,FALSE,"Man_Prof"}</definedName>
    <definedName name="abcd" hidden="1">{#N/A,#N/A,FALSE,"str_title";#N/A,#N/A,FALSE,"SUM";#N/A,#N/A,FALSE,"Scope";#N/A,#N/A,FALSE,"PIE-Jn";#N/A,#N/A,FALSE,"PIE-Jn_Hz";#N/A,#N/A,FALSE,"Liq_Plan";#N/A,#N/A,FALSE,"S_Curve";#N/A,#N/A,FALSE,"Liq_Prof";#N/A,#N/A,FALSE,"Man_Pwr";#N/A,#N/A,FALSE,"Man_Prof"}</definedName>
    <definedName name="ABCFR">#REF!</definedName>
    <definedName name="abck">#REF!</definedName>
    <definedName name="abnl" localSheetId="10"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abnl"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ABNORMAL">[56]Keyratios!#REF!</definedName>
    <definedName name="abs" localSheetId="1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x">#REF!</definedName>
    <definedName name="AC">#REF!</definedName>
    <definedName name="acc">#REF!</definedName>
    <definedName name="ACC_PF">'[57]Data Input'!$R$314:$AF$432</definedName>
    <definedName name="ACC_PROD">#REF!</definedName>
    <definedName name="Acc5BB.Up16Of12To15Of3">[39]CG_OS!$H$78</definedName>
    <definedName name="Acc5BB.Up16Of3To31Of3">[39]CG_OS!$H$79</definedName>
    <definedName name="Acc5BB.Up16Of6To15Of9">[39]CG_OS!$H$76</definedName>
    <definedName name="Acc5BB.Up16Of9To15Of12">[39]CG_OS!$H$77</definedName>
    <definedName name="Acc5BB.Upto15Of6">[39]CG_OS!$H$75</definedName>
    <definedName name="AcceptedBy">[58]ReasonCode!$T$2:$T$39</definedName>
    <definedName name="Access_Button" hidden="1">"SFAS131_9803__Export_List"</definedName>
    <definedName name="Access_Button1" hidden="1">"SFAS131_9803__Export_List"</definedName>
    <definedName name="AccessDatabase" localSheetId="10" hidden="1">"D:\Compensation\comp data 2001.xls"</definedName>
    <definedName name="AccessDatabase" hidden="1">"C:\ABCDE\Segments131\SFAS131(9803).mdb"</definedName>
    <definedName name="AccLTCG.Up16Of12To15Of3">[39]CG_OS!$H$64</definedName>
    <definedName name="AccLTCG.Up16Of3To31Of3">[39]CG_OS!$H$65</definedName>
    <definedName name="AccLTCG.Up16Of6To15Of9">[39]CG_OS!$H$62</definedName>
    <definedName name="AccLTCG.Up16Of9To15Of12">[39]CG_OS!$H$63</definedName>
    <definedName name="AccLTCG.Upto15Of6">[39]CG_OS!$H$61</definedName>
    <definedName name="AccLTCG.Upto15Of9">[39]CG_OS!$H$61</definedName>
    <definedName name="AccLTCGNP.Up16Of12To15Of3">[39]CG_OS!$J$64</definedName>
    <definedName name="AccLTCGNP.Up16Of3To31Of3">[39]CG_OS!$J$65</definedName>
    <definedName name="AccLTCGNP.Up16Of6To15Of9">[39]CG_OS!$J$62</definedName>
    <definedName name="AccLTCGNP.Up16Of9To15Of12">[39]CG_OS!$J$63</definedName>
    <definedName name="AccLTCGNP.Upto15Of6">[39]CG_OS!$J$61</definedName>
    <definedName name="AccLTCGNP.Upto15Of9">[39]CG_OS!$J$61</definedName>
    <definedName name="ACCOUNT">#REF!</definedName>
    <definedName name="Account_Balance" localSheetId="10">'[59]Excess Calc'!#REF!</definedName>
    <definedName name="Account_Balance">#REF!</definedName>
    <definedName name="ACCOUNTEDPERIODTYPE1">[60]CRITERIA1!$B$5</definedName>
    <definedName name="Accrual_Info___Current">#REF!</definedName>
    <definedName name="Accrual_Info___Month_End">#REF!</definedName>
    <definedName name="accruedc">'[38]NOTES '!#REF!</definedName>
    <definedName name="accruedp">'[38]NOTES '!#REF!</definedName>
    <definedName name="AccSTCG.Up16Of12To15Of3">[39]CG_OS!$H$71</definedName>
    <definedName name="AccSTCG.Up16Of3To31Of3">[39]CG_OS!$H$72</definedName>
    <definedName name="AccSTCG.Up16Of6To15Of9">[39]CG_OS!$H$69</definedName>
    <definedName name="AccSTCG.Up16Of9To15Of12">[39]CG_OS!$H$70</definedName>
    <definedName name="AccSTCG.Upto15Of6">[39]CG_OS!$H$68</definedName>
    <definedName name="AccSTCG.Upto15Of9">[39]CG_OS!$H$68</definedName>
    <definedName name="AccSTCGOTH.Up16Of12To15Of3">[39]CG_OS!$J$71</definedName>
    <definedName name="AccSTCGOTH.Up16Of3To31Of3">[39]CG_OS!$J$72</definedName>
    <definedName name="AccSTCGOTH.Up16Of6To15Of9">[39]CG_OS!$J$69</definedName>
    <definedName name="AccSTCGOTH.Up16Of9To15Of12">[39]CG_OS!$J$70</definedName>
    <definedName name="AccSTCGOTH.Upto15Of6">[39]CG_OS!$J$68</definedName>
    <definedName name="AccSTCGOTH.Upto15Of9">[39]CG_OS!$J$68</definedName>
    <definedName name="achscs">#REF!</definedName>
    <definedName name="ACK">#REF!</definedName>
    <definedName name="ACL">#REF!</definedName>
    <definedName name="ACN">0.000601851854298729</definedName>
    <definedName name="Acq">#REF!</definedName>
    <definedName name="AcqData">'[61]A-General'!#REF!</definedName>
    <definedName name="AcqData2">'[61]A-General'!#REF!</definedName>
    <definedName name="Act_DSCR">[62]Input!#REF!</definedName>
    <definedName name="ActiveBldgIDNumbers">#REF!</definedName>
    <definedName name="Actual">#REF!</definedName>
    <definedName name="Actual_vs.">#REF!</definedName>
    <definedName name="ADD">#REF!</definedName>
    <definedName name="additions_companies_act">#REF!</definedName>
    <definedName name="ADDRESS">#REF!</definedName>
    <definedName name="adf" localSheetId="10" hidden="1">{#N/A,#N/A,FALSE,"COVER1.XLS ";#N/A,#N/A,FALSE,"RACT1.XLS";#N/A,#N/A,FALSE,"RACT2.XLS";#N/A,#N/A,FALSE,"ECCMP";#N/A,#N/A,FALSE,"WELDER.XLS"}</definedName>
    <definedName name="adf" hidden="1">{#N/A,#N/A,FALSE,"COVER1.XLS ";#N/A,#N/A,FALSE,"RACT1.XLS";#N/A,#N/A,FALSE,"RACT2.XLS";#N/A,#N/A,FALSE,"ECCMP";#N/A,#N/A,FALSE,"WELDER.XLS"}</definedName>
    <definedName name="adfrs" localSheetId="10" hidden="1">{#N/A,#N/A,FALSE,"COVER.XLS";#N/A,#N/A,FALSE,"RACT1.XLS";#N/A,#N/A,FALSE,"RACT2.XLS";#N/A,#N/A,FALSE,"ECCMP";#N/A,#N/A,FALSE,"WELDER.XLS"}</definedName>
    <definedName name="adfrs" hidden="1">{#N/A,#N/A,FALSE,"COVER.XLS";#N/A,#N/A,FALSE,"RACT1.XLS";#N/A,#N/A,FALSE,"RACT2.XLS";#N/A,#N/A,FALSE,"ECCMP";#N/A,#N/A,FALSE,"WELDER.XLS"}</definedName>
    <definedName name="Adj_EBITA_P2">'[63]2. Forecast Drivers'!$T$297:$AD$297</definedName>
    <definedName name="adjhw">#REF!</definedName>
    <definedName name="adjsw">#REF!</definedName>
    <definedName name="adjtotloss.STCGLossCF9">[39]CFL!$I$12</definedName>
    <definedName name="ADL.63">[64]Addl.40!$A$38:$I$284</definedName>
    <definedName name="Administration_Cost">#REF!</definedName>
    <definedName name="ADR_SWITCH">#REF!</definedName>
    <definedName name="ADSCR">'[65]DEBT SCHEDULE'!#REF!</definedName>
    <definedName name="adsds">#REF!</definedName>
    <definedName name="adv"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dv"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dvancetax">#REF!</definedName>
    <definedName name="advr">#REF!</definedName>
    <definedName name="ADVS" localSheetId="1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DV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dvtgcost">#REF!</definedName>
    <definedName name="AE00250_">'[47]TB WORLI'!#REF!</definedName>
    <definedName name="AE00251_">'[47]TB WORLI'!#REF!</definedName>
    <definedName name="AE00281_">'[47]TB WORLI'!#REF!</definedName>
    <definedName name="AE00289_">'[47]TB WORLI'!#REF!</definedName>
    <definedName name="AE0159_">'[47]TB WORLI'!#REF!</definedName>
    <definedName name="AE0160_">'[47]TB WORLI'!#REF!</definedName>
    <definedName name="AE0211_">'[47]TB WORLI'!#REF!</definedName>
    <definedName name="AE0219_">'[47]TB WORLI'!#REF!</definedName>
    <definedName name="AE0225_">'[47]TB WORLI'!#REF!</definedName>
    <definedName name="AE0232_">'[47]TB WORLI'!#REF!</definedName>
    <definedName name="AE0243_">'[47]TB WORLI'!#REF!</definedName>
    <definedName name="AF">[66]Assumptions!$C$22</definedName>
    <definedName name="AF_2">[66]Assumptions!$C$23</definedName>
    <definedName name="afasfasf">#REF!</definedName>
    <definedName name="afc">'[67]Cost Breakup Depreciation&amp; Tax'!$C$14</definedName>
    <definedName name="AFFIL">'[68]YE-SW2'!$IM$8159</definedName>
    <definedName name="Agency">[69]Pool!$D$3:$D$2456</definedName>
    <definedName name="AggregateInc">[39]Calculator!$M$3</definedName>
    <definedName name="Aging" localSheetId="10" hidden="1">{#N/A,#N/A,FALSE,"Aging Summary";#N/A,#N/A,FALSE,"Ratio Analysis";#N/A,#N/A,FALSE,"Test 120 Day Accts";#N/A,#N/A,FALSE,"Tickmarks"}</definedName>
    <definedName name="Aging" hidden="1">{#N/A,#N/A,FALSE,"Aging Summary";#N/A,#N/A,FALSE,"Ratio Analysis";#N/A,#N/A,FALSE,"Test 120 Day Accts";#N/A,#N/A,FALSE,"Tickmarks"}</definedName>
    <definedName name="aging_Analysis" localSheetId="10" hidden="1">{#N/A,#N/A,FALSE,"Aging Summary";#N/A,#N/A,FALSE,"Ratio Analysis";#N/A,#N/A,FALSE,"Test 120 Day Accts";#N/A,#N/A,FALSE,"Tickmarks"}</definedName>
    <definedName name="aging_Analysis" hidden="1">{#N/A,#N/A,FALSE,"Aging Summary";#N/A,#N/A,FALSE,"Ratio Analysis";#N/A,#N/A,FALSE,"Test 120 Day Accts";#N/A,#N/A,FALSE,"Tickmarks"}</definedName>
    <definedName name="Aging_percent">'[70]Statistics {pbc}'!$A$13:$G$13,'[70]Statistics {pbc}'!$A$22:$G$26</definedName>
    <definedName name="agpl_data_tb">#REF!</definedName>
    <definedName name="AGPL_TB">#REF!</definedName>
    <definedName name="ahjsdhjkdh">#REF!</definedName>
    <definedName name="AI00296_">'[47]TB WORLI'!#REF!</definedName>
    <definedName name="AI00298_">'[47]TB WORLI'!#REF!</definedName>
    <definedName name="AI00319_">'[47]TB WORLI'!#REF!</definedName>
    <definedName name="AI00320_">'[47]TB WORLI'!#REF!</definedName>
    <definedName name="AI00321_">'[47]TB WORLI'!#REF!</definedName>
    <definedName name="AI0256_">'[47]TB WORLI'!#REF!</definedName>
    <definedName name="AI0286_">'[47]TB WORLI'!#REF!</definedName>
    <definedName name="AKA" localSheetId="10" hidden="1">{"'August 2000'!$A$1:$J$101"}</definedName>
    <definedName name="AKA" hidden="1">{"'August 2000'!$A$1:$J$101"}</definedName>
    <definedName name="al"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00382_">'[47]TB WORLI'!#REF!</definedName>
    <definedName name="AL00623_">'[47]TB WORLI'!#REF!</definedName>
    <definedName name="AL00655_">'[47]TB WORLI'!#REF!</definedName>
    <definedName name="AL00664_">'[47]TB WORLI'!#REF!</definedName>
    <definedName name="AL0333_">'[47]TB WORLI'!#REF!</definedName>
    <definedName name="AL0342_">'[47]TB WORLI'!#REF!</definedName>
    <definedName name="AL0355_">'[47]TB WORLI'!#REF!</definedName>
    <definedName name="Alcohols__Volume__Units">'[71]EVA Calculations'!#REF!</definedName>
    <definedName name="allincomes">[39]Calculator!$Q$3</definedName>
    <definedName name="Allowance_to_Receivables">'[70]Statistics {pbc}'!$A$2:$G$2,'[70]Statistics {pbc}'!$A$9:$G$9</definedName>
    <definedName name="Allowance_to_Sales">'[70]Statistics {pbc}'!$A$2:$G$2,'[70]Statistics {pbc}'!$A$10:$G$10</definedName>
    <definedName name="AllTables" localSheetId="10">{17}</definedName>
    <definedName name="AllTables">{1}</definedName>
    <definedName name="Alltables2" localSheetId="10">{2}</definedName>
    <definedName name="Alltables2">{2}</definedName>
    <definedName name="AllTables3" localSheetId="10">{17}</definedName>
    <definedName name="AllTables3">{17}</definedName>
    <definedName name="ALPHA_P_M">[72]関係会社貸付金データ!$D$7</definedName>
    <definedName name="ALPHA_P_Q">[72]関係会社貸付金データ!$D$20</definedName>
    <definedName name="ALPHA_P2_M">'[73]末残計画(四半期ベース)'!$F$145</definedName>
    <definedName name="ALPHA_P2_Q">'[73]末残計画(四半期ベース)'!$G$145</definedName>
    <definedName name="ALPHA_PX_M">[74]関係会社貸付金データ!$D$7</definedName>
    <definedName name="ALPHA_PX_Q">[74]関係会社貸付金データ!$D$32</definedName>
    <definedName name="ALPHA_PX2_M">'[73]末残計画(四半期ベース)'!$F$141</definedName>
    <definedName name="ALPHA_PX2_Q">'[73]末残計画(四半期ベース)'!$G$141</definedName>
    <definedName name="ALPHA_PY_M">[74]関係会社貸付金データ!$D$9</definedName>
    <definedName name="ALPHA_PY_Q">[74]関係会社貸付金データ!$D$34</definedName>
    <definedName name="ALPHA_PY2_M">'[73]末残計画(四半期ベース)'!$F$143</definedName>
    <definedName name="ALPHA_PY2_Q">'[73]末残計画(四半期ベース)'!$G$143</definedName>
    <definedName name="ALPHA_R_M">[72]関係会社貸付金データ!$D$8</definedName>
    <definedName name="ALPHA_R_Q">[72]関係会社貸付金データ!$D$21</definedName>
    <definedName name="ALPHA_R2_M">'[73]末残計画(四半期ベース)'!$F$146</definedName>
    <definedName name="ALPHA_R2_Q">'[73]末残計画(四半期ベース)'!$G$146</definedName>
    <definedName name="ALPHA_RX_M">[74]関係会社貸付金データ!$D$8</definedName>
    <definedName name="ALPHA_RX_Q">[74]関係会社貸付金データ!$D$33</definedName>
    <definedName name="ALPHA_RX2_M">'[73]末残計画(四半期ベース)'!$F$142</definedName>
    <definedName name="ALPHA_RX2_Q">'[73]末残計画(四半期ベース)'!$G$142</definedName>
    <definedName name="ALPHA_RY_M">[74]関係会社貸付金データ!$D$10</definedName>
    <definedName name="ALPHA_RY_Q">[74]関係会社貸付金データ!$D$35</definedName>
    <definedName name="ALPHA_RY2_M">'[73]末残計画(四半期ベース)'!$F$144</definedName>
    <definedName name="ALPHA_RY2_Q">'[73]末残計画(四半期ベース)'!$G$144</definedName>
    <definedName name="alpuussss"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puussss"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MC">#REF!</definedName>
    <definedName name="amit" localSheetId="10" hidden="1">{"bs",#N/A,FALSE,"BS";"pl",#N/A,FALSE,"PL";"res",#N/A,FALSE,"S.CAP,RES";"loans",#N/A,FALSE,"Loans";"inv",#N/A,FALSE,"C.Assets";"fa",#N/A,FALSE,"F.Assets";"ca",#N/A,FALSE,"C.Assets";"cl",#N/A,FALSE,"CL,Sales,Income";"ovh",#N/A,FALSE,"OVH"}</definedName>
    <definedName name="amit">[75]MISBS!#REF!</definedName>
    <definedName name="amitt">'[75]BOD PL NEW'!$D$11</definedName>
    <definedName name="Amortisationperiod">#REF!</definedName>
    <definedName name="Amountunit">#REF!</definedName>
    <definedName name="Amtfin">'[76]Pool details'!$I$3:$I$4876</definedName>
    <definedName name="anal" localSheetId="1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ysis15">#REF!</definedName>
    <definedName name="Analyst">[77]Introduction!#REF!</definedName>
    <definedName name="ANANT">#REF!</definedName>
    <definedName name="Andover">'[50]A Sum'!$B$10</definedName>
    <definedName name="anil">'[55]P &amp; L SCH'!#REF!</definedName>
    <definedName name="ANJU_SHENOY">#REF!</definedName>
    <definedName name="annC">#REF!</definedName>
    <definedName name="ANNEXA" localSheetId="10">#REF!</definedName>
    <definedName name="annexA">'[78]Workings-JVSL'!#REF!</definedName>
    <definedName name="annexB">#REF!</definedName>
    <definedName name="annexC">'[78]Workings-JVSL'!#REF!</definedName>
    <definedName name="Annexure">#REF!</definedName>
    <definedName name="annexure_1">#REF!</definedName>
    <definedName name="ANNEXURE1">#REF!</definedName>
    <definedName name="Annexure2">[79]Directors!#REF!</definedName>
    <definedName name="annexurea">#REF!</definedName>
    <definedName name="annexureb">#REF!</definedName>
    <definedName name="annexureC">#REF!</definedName>
    <definedName name="Annual_interest_rate">'[80]FITZ MORT 94'!$C$7</definedName>
    <definedName name="annxA">[81]DHS!#REF!</definedName>
    <definedName name="annxB">[81]DHS!#REF!</definedName>
    <definedName name="annxC">[81]DHS!#REF!</definedName>
    <definedName name="annxE">#REF!</definedName>
    <definedName name="anscount" hidden="1">1</definedName>
    <definedName name="ant_duty">#REF!</definedName>
    <definedName name="AOS___Volume__Units">'[71]EVA Calculations'!#REF!</definedName>
    <definedName name="AOS__Price__Rs___Unit">'[71]EVA Calculations'!#REF!</definedName>
    <definedName name="app_tax_chk">[82]Financials!$A$199</definedName>
    <definedName name="appendix4" localSheetId="10" hidden="1">{#N/A,#N/A,TRUE,"Cover sheet";#N/A,#N/A,TRUE,"Summary";#N/A,#N/A,TRUE,"Key Assumptions";#N/A,#N/A,TRUE,"Profit &amp; Loss";#N/A,#N/A,TRUE,"Balance Sheet";#N/A,#N/A,TRUE,"Cashflow";#N/A,#N/A,TRUE,"IRR";#N/A,#N/A,TRUE,"Ratios";#N/A,#N/A,TRUE,"Debt analysis"}</definedName>
    <definedName name="appendix4" hidden="1">{#N/A,#N/A,TRUE,"Cover sheet";#N/A,#N/A,TRUE,"Summary";#N/A,#N/A,TRUE,"Key Assumptions";#N/A,#N/A,TRUE,"Profit &amp; Loss";#N/A,#N/A,TRUE,"Balance Sheet";#N/A,#N/A,TRUE,"Cashflow";#N/A,#N/A,TRUE,"IRR";#N/A,#N/A,TRUE,"Ratios";#N/A,#N/A,TRUE,"Debt analysis"}</definedName>
    <definedName name="APPSUSERNAME1">[60]CRITERIA1!$B$14</definedName>
    <definedName name="APRIL">'[83]SALT{PBC}'!#REF!</definedName>
    <definedName name="AprtoDec">#REF!</definedName>
    <definedName name="APSUMMARY">#REF!</definedName>
    <definedName name="ar" hidden="1">#REF!</definedName>
    <definedName name="ARA_Threshold" localSheetId="10">#REF!</definedName>
    <definedName name="ARA_Threshold">#REF!</definedName>
    <definedName name="AravaliHold">'[84]Core Assumptions'!$C$357</definedName>
    <definedName name="AravaliOGI">'[84]Core Assumptions'!$G$357</definedName>
    <definedName name="Area">'[85]Ver 1'!#REF!</definedName>
    <definedName name="AREA1">#REF!</definedName>
    <definedName name="areais">#REF!</definedName>
    <definedName name="areamcn">#REF!</definedName>
    <definedName name="AreaNRA">'[86]A-Property'!#REF!</definedName>
    <definedName name="areaotherpoi">#REF!</definedName>
    <definedName name="Argentina">[87]List_ratios!#REF!</definedName>
    <definedName name="ARP_Threshold" localSheetId="10">#REF!</definedName>
    <definedName name="ARP_Threshold">#REF!</definedName>
    <definedName name="arrun">'[88]combnd 08 09'!#REF!</definedName>
    <definedName name="as" localSheetId="10" hidden="1">{#N/A,#N/A,FALSE,"COVER.XLS";#N/A,#N/A,FALSE,"RACT1.XLS";#N/A,#N/A,FALSE,"RACT2.XLS";#N/A,#N/A,FALSE,"ECCMP";#N/A,#N/A,FALSE,"WELDER.XLS"}</definedName>
    <definedName name="as">as</definedName>
    <definedName name="AS2DocOpenMode" hidden="1">"AS2DocumentEdit"</definedName>
    <definedName name="AS2HasNoAutoHeaderFooter" hidden="1">" "</definedName>
    <definedName name="AS2NamedRange" localSheetId="10" hidden="1">2</definedName>
    <definedName name="AS2NamedRange" hidden="1">5</definedName>
    <definedName name="AS2ReportLS" hidden="1">1</definedName>
    <definedName name="AS2StaticLS" localSheetId="10" hidden="1">#REF!</definedName>
    <definedName name="AS2StaticLS" hidden="1">#REF!</definedName>
    <definedName name="AS2SyncStepLS" hidden="1">0</definedName>
    <definedName name="AS2TickmarkLS" localSheetId="10" hidden="1">#REF!</definedName>
    <definedName name="AS2TickmarkLS" hidden="1">#REF!</definedName>
    <definedName name="AS2VersionLS" hidden="1">300</definedName>
    <definedName name="asa" hidden="1">#REF!</definedName>
    <definedName name="asaaa">#REF!</definedName>
    <definedName name="asad" localSheetId="10" hidden="1">{#N/A,#N/A,FALSE,"str_title";#N/A,#N/A,FALSE,"SUM";#N/A,#N/A,FALSE,"Scope";#N/A,#N/A,FALSE,"PIE-Jn";#N/A,#N/A,FALSE,"PIE-Jn_Hz";#N/A,#N/A,FALSE,"Liq_Plan";#N/A,#N/A,FALSE,"S_Curve";#N/A,#N/A,FALSE,"Liq_Prof";#N/A,#N/A,FALSE,"Man_Pwr";#N/A,#N/A,FALSE,"Man_Prof"}</definedName>
    <definedName name="asad" hidden="1">{#N/A,#N/A,FALSE,"str_title";#N/A,#N/A,FALSE,"SUM";#N/A,#N/A,FALSE,"Scope";#N/A,#N/A,FALSE,"PIE-Jn";#N/A,#N/A,FALSE,"PIE-Jn_Hz";#N/A,#N/A,FALSE,"Liq_Plan";#N/A,#N/A,FALSE,"S_Curve";#N/A,#N/A,FALSE,"Liq_Prof";#N/A,#N/A,FALSE,"Man_Pwr";#N/A,#N/A,FALSE,"Man_Prof"}</definedName>
    <definedName name="asas" hidden="1">#REF!</definedName>
    <definedName name="ASD">#REF!</definedName>
    <definedName name="ash">'[89]ALL-IBANK-BRS'!$A$1:$B$453</definedName>
    <definedName name="ashv">'[90]ALL-IBANK-BRS'!$A$1:$B$453</definedName>
    <definedName name="ashva">'[89]ALL-IBANK-BRS'!$A$1:$B$453</definedName>
    <definedName name="ashvan">'[91]ALL-IBANK-BRS'!$A$1:$B$453</definedName>
    <definedName name="ashvany">'[92]ALL-IBANK-BRS'!$A$1:$B$453</definedName>
    <definedName name="ASIA_PLASTIC_in_KUSD">#REF!</definedName>
    <definedName name="ASIA為替">[93]AFFI内訳!#REF!</definedName>
    <definedName name="ass" localSheetId="1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 localSheetId="1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localSheetId="1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et_Size">#REF!</definedName>
    <definedName name="Asset_type">'[76]Pool details'!$AH$3:$AH$4876</definedName>
    <definedName name="AssetType">[27]Sheet1!$C$1:$C$5</definedName>
    <definedName name="AsstYr">[94]Masters!$C$34</definedName>
    <definedName name="assum_add_tax_dep_rate">[95]Assum!$F$799</definedName>
    <definedName name="assum_adntl_cost_tinted_power">[96]Assumption!#REF!</definedName>
    <definedName name="assum_adntl_cost_tinted_RM">[96]Assumption!#REF!</definedName>
    <definedName name="assum_cash_balance">[95]Assum!#REF!</definedName>
    <definedName name="assum_const_end">[97]Assum!$E$7</definedName>
    <definedName name="assum_const_start">[97]Assum!$E$5</definedName>
    <definedName name="assum_debt_funding">[95]Sens!$F$48</definedName>
    <definedName name="assum_dep_max_book">[95]Assum!$F$784</definedName>
    <definedName name="assum_FG_inventory_days">[95]Assum!$C$820:$O$820</definedName>
    <definedName name="assum_HNGFL_add_dep">[96]Assumption!#REF!</definedName>
    <definedName name="assum_HNGFL_AR_days">[96]Assumption!#REF!</definedName>
    <definedName name="assum_HNGFL_excise">[96]Assumption!#REF!</definedName>
    <definedName name="assum_HNGFL_P_M_proc">[96]Assumption!#REF!</definedName>
    <definedName name="assum_HNGFL_power_fuel_days">[96]Assumption!#REF!</definedName>
    <definedName name="assum_HNGFL_repairs">[96]Assumption!#REF!</definedName>
    <definedName name="assum_HNGFL_RM_creditor_days">[96]Assumption!#REF!</definedName>
    <definedName name="assum_HNGFL_RM_days">[96]Assumption!#REF!</definedName>
    <definedName name="assum_HNGFL_stores">[96]Assumption!#REF!</definedName>
    <definedName name="assum_HNGFL_stores_spares_creditor_days">[96]Assumption!#REF!</definedName>
    <definedName name="assum_HNGFL_stores_spares_days">[96]Assumption!#REF!</definedName>
    <definedName name="assum_HNGFL_WIP_days">[96]Assumption!#REF!</definedName>
    <definedName name="assum_LIBOR">[96]Assumption!#REF!</definedName>
    <definedName name="assum_loans_advances_days">[95]Assum!#REF!</definedName>
    <definedName name="assum_max_dep">[96]Assumption!#REF!</definedName>
    <definedName name="assum_model_intervals">[97]Assum!$E$310</definedName>
    <definedName name="assum_model_start">[97]Assum!$E$309</definedName>
    <definedName name="assum_MPBF">[95]Sens!$C$55:$O$55</definedName>
    <definedName name="assum_ops_end">[97]Assum!$E$10</definedName>
    <definedName name="assum_ops_start">[97]Assum!$E$8</definedName>
    <definedName name="assum_packing_inventory_days">[95]Assum!$C$817:$O$817</definedName>
    <definedName name="assum_proposed_TL_period">[95]Sens!$F$51</definedName>
    <definedName name="assum_proposed_TL_rate">[95]Sens!$F$52</definedName>
    <definedName name="assum_repay_end">[97]Assum!#REF!</definedName>
    <definedName name="assum_RM_inventory_days">[95]Assum!$C$816:$O$816</definedName>
    <definedName name="assum_stores_inventory_days">[95]Assum!$C$818:$O$818</definedName>
    <definedName name="assum_sundry_creditor_days">[95]Assum!$C$825:$O$825</definedName>
    <definedName name="assum_sundry_debtor_days">[95]Assum!$C$822:$O$822</definedName>
    <definedName name="assum_tax_rate_Corp">[97]Assum!$E$268</definedName>
    <definedName name="assum_tax_rate_MAT">[97]Assum!$E$274</definedName>
    <definedName name="assum_WIP_inventory_days">[95]Assum!$C$819:$O$819</definedName>
    <definedName name="assump">#REF!</definedName>
    <definedName name="ASSUMPTION">#REF!</definedName>
    <definedName name="assumptions_print">#REF!</definedName>
    <definedName name="AST" localSheetId="10" hidden="1">{#N/A,#N/A,FALSE,"COVER.XLS";#N/A,#N/A,FALSE,"RACT1.XLS";#N/A,#N/A,FALSE,"RACT2.XLS";#N/A,#N/A,FALSE,"ECCMP";#N/A,#N/A,FALSE,"WELDER.XLS"}</definedName>
    <definedName name="AST" hidden="1">{#N/A,#N/A,FALSE,"COVER.XLS";#N/A,#N/A,FALSE,"RACT1.XLS";#N/A,#N/A,FALSE,"RACT2.XLS";#N/A,#N/A,FALSE,"ECCMP";#N/A,#N/A,FALSE,"WELDER.XLS"}</definedName>
    <definedName name="atish" localSheetId="1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TEND">#REF!</definedName>
    <definedName name="atul">#REF!</definedName>
    <definedName name="atyfafa">#REF!</definedName>
    <definedName name="AuBhu0910">[98]Assumption_PwC!$D$7</definedName>
    <definedName name="AuBhu1011">[98]Assumption_PwC!$E$7</definedName>
    <definedName name="AuCha0910">[98]Assumption_PwC!$D$8</definedName>
    <definedName name="AUST">#REF!</definedName>
    <definedName name="Australasian_Average">[87]List_ratios!#REF!</definedName>
    <definedName name="AUSTRALIA">#REF!</definedName>
    <definedName name="AUSTRIA">#REF!</definedName>
    <definedName name="AUTO_FINANCE">#REF!</definedName>
    <definedName name="AUTO_P_M">[72]関係会社貸付金データ!$D$10</definedName>
    <definedName name="AUTO_P_Q">[72]関係会社貸付金データ!$D$23</definedName>
    <definedName name="AUTO_P2_M">'[73]末残計画(四半期ベース)'!$F$329</definedName>
    <definedName name="AUTO_P2_Q">'[73]末残計画(四半期ベース)'!$G$329</definedName>
    <definedName name="AUTO_PX_M">[74]関係会社貸付金データ!$D$14</definedName>
    <definedName name="AUTO_PX_Q">[74]関係会社貸付金データ!$D$39</definedName>
    <definedName name="AUTO_PX2_M">'[73]末残計画(四半期ベース)'!$F$325</definedName>
    <definedName name="AUTO_PX2_Q">'[73]末残計画(四半期ベース)'!$G$325</definedName>
    <definedName name="AUTO_PY_M">[74]関係会社貸付金データ!$D$16</definedName>
    <definedName name="AUTO_PY_Q">[74]関係会社貸付金データ!$D$41</definedName>
    <definedName name="AUTO_PY2_M">'[73]末残計画(四半期ベース)'!$F$327</definedName>
    <definedName name="AUTO_PY2_Q">'[73]末残計画(四半期ベース)'!$G$327</definedName>
    <definedName name="AUTO_R_M">[72]関係会社貸付金データ!$D$11</definedName>
    <definedName name="AUTO_R_Q">[72]関係会社貸付金データ!$D$24</definedName>
    <definedName name="AUTO_R2_M">'[73]末残計画(四半期ベース)'!$F$330</definedName>
    <definedName name="AUTO_R2_Q">'[73]末残計画(四半期ベース)'!$G$330</definedName>
    <definedName name="AUTO_RX_M">[74]関係会社貸付金データ!$D$15</definedName>
    <definedName name="AUTO_RX_Q">[74]関係会社貸付金データ!$D$40</definedName>
    <definedName name="AUTO_RX2_M">'[73]末残計画(四半期ベース)'!$F$326</definedName>
    <definedName name="AUTO_RX2_Q">'[73]末残計画(四半期ベース)'!$G$326</definedName>
    <definedName name="AUTO_RY_M">[74]関係会社貸付金データ!$D$17</definedName>
    <definedName name="AUTO_RY_Q">[74]関係会社貸付金データ!$D$42</definedName>
    <definedName name="AUTO_RY2_M">'[73]末残計画(四半期ベース)'!$F$328</definedName>
    <definedName name="AUTO_RY2_Q">'[73]末残計画(四半期ベース)'!$G$328</definedName>
    <definedName name="AUX">[62]Assumptions!$C$40</definedName>
    <definedName name="AUX_Base">#REF!</definedName>
    <definedName name="Aux_Sen">#REF!</definedName>
    <definedName name="AV">#REF!</definedName>
    <definedName name="Availability">#REF!</definedName>
    <definedName name="Average_DSCR">[99]Assumptions!$I$31</definedName>
    <definedName name="Average_no_of_employees_trained_in_one_session">[100]Assumptions!#REF!</definedName>
    <definedName name="AverageOctroi">'[101]Category Breakup'!$AK$12</definedName>
    <definedName name="AverageOctroiOnSales">[102]Assumptions!#REF!</definedName>
    <definedName name="AverageVAT">'[101]Category Breakup'!$AM$12</definedName>
    <definedName name="avg">#REF!</definedName>
    <definedName name="Avg.">#REF!</definedName>
    <definedName name="Avg.DSCR">[103]Assumptions!$I$31</definedName>
    <definedName name="AvgRate">#REF!</definedName>
    <definedName name="avgratetax">[39]Calculator!$R$4</definedName>
    <definedName name="aw">#REF!</definedName>
    <definedName name="axedoc">#REF!</definedName>
    <definedName name="AY">[104]TaxComputn!$A$2</definedName>
    <definedName name="b" localSheetId="10">'[105]RCIL-Conso-details'!#REF!</definedName>
    <definedName name="b">#N/A</definedName>
    <definedName name="b_1">#REF!</definedName>
    <definedName name="b_2">#REF!</definedName>
    <definedName name="b_3">#REF!</definedName>
    <definedName name="b_4">#REF!</definedName>
    <definedName name="B_BALKRISHANAN">#REF!</definedName>
    <definedName name="b_pc">#REF!</definedName>
    <definedName name="B10.DedFromUndertaking">'[39]10A'!$F$31</definedName>
    <definedName name="B2各種ﾃﾞｰﾀｰ統合">#REF!</definedName>
    <definedName name="ba_diat">#REF!</definedName>
    <definedName name="BA0007_">'[51]TB WORLI'!$B$5</definedName>
    <definedName name="BA0008_">'[51]TB WORLI'!$B$6</definedName>
    <definedName name="BA00169_">'[51]TB WORLI'!$B$8</definedName>
    <definedName name="BA00212_">'[47]TB WORLI'!$B$136</definedName>
    <definedName name="BA00223_">'[51]TB WORLI'!$B$10</definedName>
    <definedName name="BA00238_">'[51]TB WORLI'!$B$13</definedName>
    <definedName name="BA00270_">'[47]TB WORLI'!$B$8</definedName>
    <definedName name="BA00271_">'[51]TB WORLI'!$B$16</definedName>
    <definedName name="BA00298_">'[47]TB WORLI'!$B$139</definedName>
    <definedName name="BA00301_">'[51]TB WORLI'!$B$23</definedName>
    <definedName name="BA00302_">'[51]TB WORLI'!$B$24</definedName>
    <definedName name="BA00303_">'[51]TB WORLI'!$B$25</definedName>
    <definedName name="BA00304_">'[51]TB WORLI'!$B$26</definedName>
    <definedName name="BA00319_">'[51]TB WORLI'!$B$32</definedName>
    <definedName name="BA00338_">'[51]TB WORLI'!$B$45</definedName>
    <definedName name="BA00339_">'[51]TB WORLI'!$B$46</definedName>
    <definedName name="BA00358_">'[51]TB WORLI'!$B$47</definedName>
    <definedName name="BA00362_">'[51]TB WORLI'!$B$49</definedName>
    <definedName name="BA00371_">'[51]TB WORLI'!$B$54</definedName>
    <definedName name="BA00405_">'[47]TB WORLI'!$B$18</definedName>
    <definedName name="BA00433_">'[51]TB WORLI'!$B$78</definedName>
    <definedName name="BA00434_">'[51]TB WORLI'!$B$79</definedName>
    <definedName name="BA00437_">'[51]TB WORLI'!$B$82</definedName>
    <definedName name="BA00441_">'[51]TB WORLI'!$B$85</definedName>
    <definedName name="BA00442_">'[51]TB WORLI'!$B$86</definedName>
    <definedName name="BA00449_">'[51]TB WORLI'!$B$91</definedName>
    <definedName name="BA0045_">'[51]TB WORLI'!$B$92</definedName>
    <definedName name="BA00450_">'[47]TB WORLI'!$B$22</definedName>
    <definedName name="BA00453_">'[47]TB WORLI'!$B$23</definedName>
    <definedName name="BA0049_">'[51]TB WORLI'!$B$97</definedName>
    <definedName name="BA0051_">'[51]TB WORLI'!$B$98</definedName>
    <definedName name="BA0062_">'[51]TB WORLI'!$B$100</definedName>
    <definedName name="BA0064_">'[51]TB WORLI'!$B$101</definedName>
    <definedName name="BA0072_">'[51]TB WORLI'!$B$103</definedName>
    <definedName name="BA0141_">'[51]TB WORLI'!$B$105</definedName>
    <definedName name="BA10.DedFromUndertaking">'[39]10A'!$F$36:$F$36</definedName>
    <definedName name="BACK_A">[106]AcqIS:AcqBSCF!$A$54:$N$55</definedName>
    <definedName name="Back_Solve_Original">#REF!</definedName>
    <definedName name="Back_solve_selector">#REF!</definedName>
    <definedName name="Back_solve_Target">#REF!</definedName>
    <definedName name="backstop_sen">'[107]Core Assumptions'!$E$355</definedName>
    <definedName name="Bad_Debts">[108]assumptions!$D$44</definedName>
    <definedName name="BAL" localSheetId="10">'[109]MN T.B.'!#REF!</definedName>
    <definedName name="BAL">'[56]Cntrl Sheet'!#REF!</definedName>
    <definedName name="bal_Mat">'[76]Pool details'!$AR$3:$AR$4876</definedName>
    <definedName name="bal_sheet" localSheetId="10">#REF!</definedName>
    <definedName name="Bal_Sheet">#REF!</definedName>
    <definedName name="Bal_TB">#REF!</definedName>
    <definedName name="BALANCE">[38]INFO!$B$11</definedName>
    <definedName name="Balance_Sheet">#REF!</definedName>
    <definedName name="balance_type">1</definedName>
    <definedName name="BalanceSheet">#REF!</definedName>
    <definedName name="BalanceSheet98">#REF!</definedName>
    <definedName name="balg1">#REF!</definedName>
    <definedName name="balg2">#REF!</definedName>
    <definedName name="balg3">#REF!</definedName>
    <definedName name="BANK">#REF!</definedName>
    <definedName name="bankfinance">#REF!</definedName>
    <definedName name="base" localSheetId="10">{"Project Oasis"}</definedName>
    <definedName name="BASE">[110]Financials!#REF!</definedName>
    <definedName name="Base_Case">#REF!</definedName>
    <definedName name="BASE_DSCR">#REF!</definedName>
    <definedName name="BaseDisp">'[61]A-General'!$AJ$69</definedName>
    <definedName name="Basepopulation">#REF!</definedName>
    <definedName name="baseyr">'[111]Forecast-Input'!$E1</definedName>
    <definedName name="basic">#REF!</definedName>
    <definedName name="Basis">#REF!</definedName>
    <definedName name="bbb" localSheetId="10" hidden="1">{#N/A,#N/A,FALSE,"Staffnos &amp; cost"}</definedName>
    <definedName name="bbb" hidden="1">{#N/A,#N/A,FALSE,"Staffnos &amp; cost"}</definedName>
    <definedName name="BBData">#REF!</definedName>
    <definedName name="BBRAS" localSheetId="1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BBRA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bd">#REF!</definedName>
    <definedName name="BE00281_">'[51]TB WORLI'!$B$109</definedName>
    <definedName name="BE00289_">'[51]TB WORLI'!$B$110</definedName>
    <definedName name="BE00306_">'[51]TB WORLI'!$B$111</definedName>
    <definedName name="BE0160_">'[51]TB WORLI'!$B$113</definedName>
    <definedName name="BE0161_">'[51]TB WORLI'!$B$114</definedName>
    <definedName name="BE0211_">'[51]TB WORLI'!$B$115</definedName>
    <definedName name="BE0219_">'[51]TB WORLI'!$B$116</definedName>
    <definedName name="BE0225_">'[47]TB WORLI'!$B$151</definedName>
    <definedName name="BE0235_">'[47]TB WORLI'!$B$33</definedName>
    <definedName name="BE0243_">'[51]TB WORLI'!$B$119</definedName>
    <definedName name="Beg.Bal">IF('[80]FITZ MORT 94'!XFC1&lt;&gt;"",'[80]FITZ MORT 94'!D1048576,"")</definedName>
    <definedName name="Beg_Bal">#REF!</definedName>
    <definedName name="begavg">[111]Valuation!$Y$15</definedName>
    <definedName name="BEGIN">#REF!</definedName>
    <definedName name="BeRate">#REF!</definedName>
    <definedName name="BeRate2">#REF!</definedName>
    <definedName name="Beurteilung">#REF!</definedName>
    <definedName name="bf">#REF!</definedName>
    <definedName name="bfjksbnf">#REF!</definedName>
    <definedName name="BG_Del" hidden="1">15</definedName>
    <definedName name="BG_Ins" hidden="1">4</definedName>
    <definedName name="BG_Mod" hidden="1">6</definedName>
    <definedName name="bgbgb">#REF!,#REF!</definedName>
    <definedName name="bgcharge">'[112]NLD - Assum'!#REF!</definedName>
    <definedName name="Bgr" hidden="1">#REF!</definedName>
    <definedName name="BHAIRAV">#REF!</definedName>
    <definedName name="Bharat_diam.Brou_99">#REF!</definedName>
    <definedName name="bhjvjcg">'[112]Capex-fixed'!#REF!</definedName>
    <definedName name="BI00296_">'[51]TB WORLI'!$B$120</definedName>
    <definedName name="BI00298_">'[51]TB WORLI'!$B$121</definedName>
    <definedName name="BI00319_">'[51]TB WORLI'!$B$122</definedName>
    <definedName name="BI00320_">'[51]TB WORLI'!$B$123</definedName>
    <definedName name="BI00321_">'[51]TB WORLI'!$B$124</definedName>
    <definedName name="BI00326_">'[51]TB WORLI'!$B$125</definedName>
    <definedName name="BI00335_">'[51]TB WORLI'!$B$126</definedName>
    <definedName name="BI0260_">'[51]TB WORLI'!$B$128</definedName>
    <definedName name="BI0261_">'[51]TB WORLI'!$B$129</definedName>
    <definedName name="BI0286_">'[51]TB WORLI'!$B$130</definedName>
    <definedName name="bih">'[112]Capex-fixed'!#REF!</definedName>
    <definedName name="Billable_Hours_for_IBS">#REF!</definedName>
    <definedName name="BILLING">#N/A</definedName>
    <definedName name="billingcollectionexpense">#REF!</definedName>
    <definedName name="BillMkt1">#REF!</definedName>
    <definedName name="BillMkt10">#REF!</definedName>
    <definedName name="BillMkt11">#REF!</definedName>
    <definedName name="BillMkt2">#REF!</definedName>
    <definedName name="BillMkt3">#REF!</definedName>
    <definedName name="BillMkt4">#REF!</definedName>
    <definedName name="BillMkt5">#REF!</definedName>
    <definedName name="BillMkt6">#REF!</definedName>
    <definedName name="BillMkt7">#REF!</definedName>
    <definedName name="BillMkt8">#REF!</definedName>
    <definedName name="BillMkt9">#REF!</definedName>
    <definedName name="BillTtl">#REF!</definedName>
    <definedName name="bkbal1">#REF!</definedName>
    <definedName name="bkbal2">#REF!</definedName>
    <definedName name="bkod">#REF!</definedName>
    <definedName name="BL00380_">'[51]TB WORLI'!$B$131</definedName>
    <definedName name="BL00386_">'[51]TB WORLI'!$B$133</definedName>
    <definedName name="BL00649_">'[51]TB WORLI'!$B$135</definedName>
    <definedName name="BL00664_">'[51]TB WORLI'!$B$137</definedName>
    <definedName name="BL00678_">'[51]TB WORLI'!$B$138</definedName>
    <definedName name="BL00702_">'[47]TB WORLI'!$B$43</definedName>
    <definedName name="BL0302_">'[51]TB WORLI'!$B$139</definedName>
    <definedName name="BL0322_">'[51]TB WORLI'!$B$140</definedName>
    <definedName name="BL0333_">'[51]TB WORLI'!$B$141</definedName>
    <definedName name="BL0342_">'[47]TB WORLI'!$B$155</definedName>
    <definedName name="Blanket">[113]PECVD!$A$1:$I$68</definedName>
    <definedName name="BLDG">#REF!</definedName>
    <definedName name="bldgaqscharge">'[112]Capex-fixed'!#REF!</definedName>
    <definedName name="blnHideRow" localSheetId="10">IF(SUM(ABS(IF(ISERROR(HistForc),0,IF(ISTEXT(HistForc),0,HistForc))))&gt;0.00001,1,TRUE)</definedName>
    <definedName name="blnHideRow">IF(SUM(ABS(IF(ISERROR(HistForc),0,IF(ISTEXT(HistForc),0,HistForc))))&gt;0.00001,1,TRUE)</definedName>
    <definedName name="BLPH1" hidden="1">#REF!</definedName>
    <definedName name="BLR80IA">#N/A</definedName>
    <definedName name="blsht">#REF!</definedName>
    <definedName name="blsht2">#REF!</definedName>
    <definedName name="blsht3_">#REF!</definedName>
    <definedName name="BLTable">'[114]BL-Bud'!$A$11:$Y$133</definedName>
    <definedName name="BOARD1">'[109]MN T.B.'!#REF!</definedName>
    <definedName name="BOARD2">'[109]MN T.B.'!#REF!</definedName>
    <definedName name="BOARD3">'[109]MN T.B.'!#REF!</definedName>
    <definedName name="BOBAY_CONVEYAN">#REF!</definedName>
    <definedName name="BOD">#REF!</definedName>
    <definedName name="BONreco">#REF!</definedName>
    <definedName name="bonus_1">#REF!</definedName>
    <definedName name="bookdepr">#REF!</definedName>
    <definedName name="Borrowing">#REF!</definedName>
    <definedName name="box2_select">[115]!box2_select</definedName>
    <definedName name="bploss1.unabs">'[39]CYLA BFLA'!$F$55</definedName>
    <definedName name="bpnsincome">'[39]CYLA BFLA'!$O$12</definedName>
    <definedName name="bpnsincome.bf">'[39]CYLA BFLA'!$AF$12</definedName>
    <definedName name="bpnsincome.bp">'[39]CYLA BFLA'!$AB$12</definedName>
    <definedName name="bpnsincome.hp">'[39]CYLA BFLA'!$X$12</definedName>
    <definedName name="bpnsincome.ih">'[39]CYLA BFLA'!$Q$12</definedName>
    <definedName name="bpnsincome.os">'[39]CYLA BFLA'!$T$12</definedName>
    <definedName name="bpnsincome.rem">'[39]CYLA BFLA'!$AO$10</definedName>
    <definedName name="bpnsloss">'[39]CYLA BFLA'!$P$12</definedName>
    <definedName name="bpnsloss.aftbfl">'[39]CYLA BFLA'!$AH$12</definedName>
    <definedName name="bpnsloss.bf">'[39]CYLA BFLA'!$AE$12</definedName>
    <definedName name="bpnsloss.bfadj">'[39]CYLA BFLA'!$AG$12</definedName>
    <definedName name="bpnsloss.bp">'[39]CYLA BFLA'!$AD$12</definedName>
    <definedName name="bpnsloss.hp">'[39]CYLA BFLA'!$Z$12</definedName>
    <definedName name="bpnsloss.ih">'[39]CYLA BFLA'!$R$12</definedName>
    <definedName name="bpnsloss.os">'[39]CYLA BFLA'!$V$12</definedName>
    <definedName name="bpnsloss.unabs">'[39]CYLA BFLA'!$AN$10</definedName>
    <definedName name="bpsincome">'[39]CYLA BFLA'!$O$24</definedName>
    <definedName name="bpsincome.bf">'[39]CYLA BFLA'!$AF$24</definedName>
    <definedName name="bpsincome.bp">'[39]CYLA BFLA'!$AB$24</definedName>
    <definedName name="bpsincome.hp">'[39]CYLA BFLA'!$X$24</definedName>
    <definedName name="bpsincome.ih">'[39]CYLA BFLA'!$Q$24</definedName>
    <definedName name="bpsincome.os">'[39]CYLA BFLA'!$T$24</definedName>
    <definedName name="bpsincome.rem">'[39]CYLA BFLA'!$AO$11</definedName>
    <definedName name="bpsloss">'[39]CYLA BFLA'!$P$24</definedName>
    <definedName name="bpsloss.aftbfl">'[39]CYLA BFLA'!$AH$24</definedName>
    <definedName name="bpsloss.bf">'[39]CYLA BFLA'!$AE$24</definedName>
    <definedName name="bpsloss.bfadj">'[39]CYLA BFLA'!$AG$24</definedName>
    <definedName name="bpsloss.bp">'[39]CYLA BFLA'!$AD$24</definedName>
    <definedName name="bpsloss.hp">'[39]CYLA BFLA'!$Z$24</definedName>
    <definedName name="bpsloss.ih">'[39]CYLA BFLA'!$R$24</definedName>
    <definedName name="bpsloss.os">'[39]CYLA BFLA'!$V$24</definedName>
    <definedName name="bpsloss.unabs">'[39]CYLA BFLA'!$AN$11</definedName>
    <definedName name="bpspincome">'[39]CYLA BFLA'!$O$25</definedName>
    <definedName name="bpspincome.bf">'[39]CYLA BFLA'!$AF$25</definedName>
    <definedName name="bpspincome.bp">'[39]CYLA BFLA'!$AB$25</definedName>
    <definedName name="bpspincome.hp">'[39]CYLA BFLA'!$X$25</definedName>
    <definedName name="bpspincome.ih">'[39]CYLA BFLA'!$Q$25</definedName>
    <definedName name="bpspincome.os">'[39]CYLA BFLA'!$T$25</definedName>
    <definedName name="bpspincome.rem">'[39]CYLA BFLA'!$AO$6</definedName>
    <definedName name="bpsploss">'[39]CYLA BFLA'!$P$25</definedName>
    <definedName name="bpsploss.aftbfl">'[39]CYLA BFLA'!$AH$25</definedName>
    <definedName name="bpsploss.bf">'[39]CYLA BFLA'!$AE$25</definedName>
    <definedName name="bpsploss.bfadj">'[39]CYLA BFLA'!$AG$25</definedName>
    <definedName name="bpsploss.bp">'[39]CYLA BFLA'!$AD$25</definedName>
    <definedName name="bpsploss.hp">'[39]CYLA BFLA'!$Z$25</definedName>
    <definedName name="bpsploss.ih">'[39]CYLA BFLA'!$R$25</definedName>
    <definedName name="bpsploss.os">'[39]CYLA BFLA'!$V$25</definedName>
    <definedName name="bpsploss.unabs">'[39]CYLA BFLA'!$AN$6</definedName>
    <definedName name="BR_Resou">[116]ecc_res!#REF!</definedName>
    <definedName name="BRanch__Sales___Aug">#REF!</definedName>
    <definedName name="BRS">'[117]ALL-IBANK-BRS'!$A$1:$B$453</definedName>
    <definedName name="BRS_ADJ_31399">#REF!</definedName>
    <definedName name="bs" localSheetId="10">#REF!</definedName>
    <definedName name="BS">'[118]B S'!$C$77</definedName>
    <definedName name="BS.CapWrkProg">[39]BALANCE_SHEET!$H$45</definedName>
    <definedName name="BS.Depreciation">[39]BALANCE_SHEET!$H$43</definedName>
    <definedName name="BS.GrossBlock">[39]BALANCE_SHEET!$H$42</definedName>
    <definedName name="BS.NetBlock">[39]BALANCE_SHEET!$H$44</definedName>
    <definedName name="BS.TotSecrLoan">[39]BALANCE_SHEET!$J$27</definedName>
    <definedName name="BS_1">'[109]MN T.B.'!#REF!</definedName>
    <definedName name="BS_2">'[109]MN T.B.'!#REF!</definedName>
    <definedName name="BSblnHideRow" localSheetId="10">IF(SUM(ABS(IF(ISERROR(BSHistForc),0,IF(ISTEXT(BSHistForc),0,BSHistForc))))&gt;0.00001,1,TRUE)</definedName>
    <definedName name="BSblnHideRow">IF(SUM(ABS(IF(ISERROR(BSHistForc),0,IF(ISTEXT(BSHistForc),0,BSHistForc))))&gt;0.00001,1,TRUE)</definedName>
    <definedName name="BSDateSF">[94]Masters!$C$28</definedName>
    <definedName name="BSDEC02" localSheetId="1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EC0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FULL">#REF!</definedName>
    <definedName name="BSGROUP">#REF!</definedName>
    <definedName name="bsheet">#REF!</definedName>
    <definedName name="bsheet1">#REF!</definedName>
    <definedName name="BSHEET95">#REF!</definedName>
    <definedName name="bsheet96">#REF!</definedName>
    <definedName name="bsheet97">#REF!</definedName>
    <definedName name="BSHistForc">#REF!</definedName>
    <definedName name="BSOS">#REF!</definedName>
    <definedName name="BSPL">#REF!</definedName>
    <definedName name="BSRateGBP_USD">[119]Rates!$C$3</definedName>
    <definedName name="bss" localSheetId="1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s"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SCH">#REF!</definedName>
    <definedName name="BSTable">'[114]BS-Bud'!$A$11:$Y$133</definedName>
    <definedName name="BSUnSec.FrmBank">[39]BALANCE_SHEET!$H$30</definedName>
    <definedName name="BSUnSec.FrmOthrs">[39]BALANCE_SHEET!$H$31</definedName>
    <definedName name="BU">'[120]Report Setup Sheet'!$B$50</definedName>
    <definedName name="BucketMetric">[121]Summary!#REF!</definedName>
    <definedName name="BucketMetric2">[121]Summary!#REF!</definedName>
    <definedName name="BucketMetric3">[121]Summary!#REF!</definedName>
    <definedName name="BucketOrig">[121]Rollup!#REF!</definedName>
    <definedName name="BUDGET">#REF!</definedName>
    <definedName name="BUDREC">#REF!</definedName>
    <definedName name="BuiltIn_Print_Area" localSheetId="10">#REF!</definedName>
    <definedName name="BuiltIn_Print_Area">#REF!</definedName>
    <definedName name="BuiltIn_Print_Area___0" localSheetId="10">#REF!</definedName>
    <definedName name="BuiltIn_Print_Area___0">#REF!</definedName>
    <definedName name="BuiltIn_Print_Area___0___0" localSheetId="10">#REF!</definedName>
    <definedName name="BuiltIn_Print_Area___0___0">#REF!</definedName>
    <definedName name="BuiltIn_Print_Area___0___0___0">#REF!</definedName>
    <definedName name="BuiltIn_Print_Area___0___0___0___0">#REF!</definedName>
    <definedName name="BuiltIn_Print_Area___0___0___0___0___0">'[122]Tools Rev'!#REF!</definedName>
    <definedName name="BuiltIn_Print_Area___0___0___0___0___0___0">#REF!</definedName>
    <definedName name="BuiltIn_Print_Area___0___0___0___0___0___0___0">#REF!</definedName>
    <definedName name="BuiltIn_Print_Area___0___0___0___0___0___0___0___0">#REF!</definedName>
    <definedName name="BuiltIn_Print_Titles" localSheetId="10">'[122]Tools Rev'!#REF!</definedName>
    <definedName name="BuiltIn_Print_Titles">#REF!</definedName>
    <definedName name="BuiltIn_Print_Titles___0" localSheetId="10">#REF!</definedName>
    <definedName name="BuiltIn_Print_Titles___0">#REF!</definedName>
    <definedName name="BURGLARY">#N/A</definedName>
    <definedName name="BusCase">'[84]Core Assumptions'!$D$318</definedName>
    <definedName name="busipofincl.BFUnabsorbedDeprSetoff2">'[39]CYLA BFLA'!$F$21</definedName>
    <definedName name="busipofinclspec.IncOfCurYrUndHeadFromCYLA2a">'[39]CYLA BFLA'!$D$22</definedName>
    <definedName name="busipofinclspecified.IncOfCurYrUndHeadFromCYLA2b">'[39]CYLA BFLA'!$D$23</definedName>
    <definedName name="BusMGT">'[113]Bus Mgmt'!$A$1:$K$68</definedName>
    <definedName name="busprof.IncOfCurYrAfterSetOff">'[39]CYLA BFLA'!$H$7</definedName>
    <definedName name="busprofspec.IncOfCurYrAfterSetOff0a">'[39]CYLA BFLA'!$H$8</definedName>
    <definedName name="busprofspec.IncOfCurYrUnderThatHead0a">'[39]CYLA BFLA'!$D$8</definedName>
    <definedName name="busprofspecified.IncOfCurYrAfterSetOff0b">'[39]CYLA BFLA'!$H$9</definedName>
    <definedName name="busprofspecified.IncOfCurYrUnderThatHead0b">'[39]CYLA BFLA'!$D$9</definedName>
    <definedName name="button_area_1">#REF!</definedName>
    <definedName name="Buyer_Downpayment">[121]Summary!#REF!</definedName>
    <definedName name="BV">[123]INFO!$B$4</definedName>
    <definedName name="bvc">'[112]Capex-fixed'!#REF!</definedName>
    <definedName name="c.">[124]CFLOW!#REF!</definedName>
    <definedName name="C.R">#REF!</definedName>
    <definedName name="C_">#N/A</definedName>
    <definedName name="C_Data_1">'[125]2000-01'!#REF!</definedName>
    <definedName name="C_Data_2">'[125]2000-01'!#REF!</definedName>
    <definedName name="C_Eligible">'[39]80G'!$L$1</definedName>
    <definedName name="ca">188*1.5</definedName>
    <definedName name="cablelomif">'[112]Capex-fixed'!#REF!</definedName>
    <definedName name="cacl">#REF!</definedName>
    <definedName name="CAL_MEL">#REF!</definedName>
    <definedName name="calc">2</definedName>
    <definedName name="Calc_ED">[39]Calculator!$D$25</definedName>
    <definedName name="calc_G">[39]Calculator!$Q$8</definedName>
    <definedName name="calc_GF">[39]Calculator!$Q$14</definedName>
    <definedName name="Calc_NetSur">[39]Calculator!$D$24</definedName>
    <definedName name="Calc_SplRate">[39]Calculator!$D$20</definedName>
    <definedName name="CalDate">[126]Setting!#REF!</definedName>
    <definedName name="calldata">[127]data!$B$2:$B$51</definedName>
    <definedName name="Calldata1">[127]data!$B$2:$B$51</definedName>
    <definedName name="can1_240fixed">'[112]Capex-fixed'!#REF!</definedName>
    <definedName name="can1_240var">'[112]Capex-fixed'!#REF!</definedName>
    <definedName name="can1_480fixed">'[112]Capex-fixed'!#REF!</definedName>
    <definedName name="can1_480var">'[112]Capex-fixed'!#REF!</definedName>
    <definedName name="can1_960fixed">'[112]Capex-fixed'!#REF!</definedName>
    <definedName name="can1_960var">'[112]Capex-fixed'!#REF!</definedName>
    <definedName name="can1fixed">'[112]Capex-fixed'!#REF!</definedName>
    <definedName name="can1fixed_960">'[112]Capex-fixed'!#REF!</definedName>
    <definedName name="can1fixed960">'[112]Capex-fixed'!#REF!</definedName>
    <definedName name="can1mediacost">#REF!</definedName>
    <definedName name="can1var">'[112]Capex-fixed'!#REF!</definedName>
    <definedName name="can2_240fixed">'[112]Capex-fixed'!#REF!</definedName>
    <definedName name="can2_240var">'[112]Capex-fixed'!#REF!</definedName>
    <definedName name="can2_480fixed">'[112]Capex-fixed'!#REF!</definedName>
    <definedName name="can2_480var">'[112]Capex-fixed'!#REF!</definedName>
    <definedName name="can2_960fixed">'[112]Capex-fixed'!#REF!</definedName>
    <definedName name="can2_960var">'[112]Capex-fixed'!#REF!</definedName>
    <definedName name="can4_240">'[112]Capex-fixed'!#REF!</definedName>
    <definedName name="can4_240fixed">'[112]Capex-fixed'!#REF!</definedName>
    <definedName name="can4_240var">'[112]Capex-fixed'!#REF!</definedName>
    <definedName name="can4_480">'[112]Capex-fixed'!#REF!</definedName>
    <definedName name="can4_480fixed">'[112]Capex-fixed'!#REF!</definedName>
    <definedName name="can4_480var">'[112]Capex-fixed'!#REF!</definedName>
    <definedName name="can4_960">'[112]Capex-fixed'!#REF!</definedName>
    <definedName name="can4_960fixed">'[112]Capex-fixed'!#REF!</definedName>
    <definedName name="can4_960var">'[112]Capex-fixed'!#REF!</definedName>
    <definedName name="can4_power">'[112]Capex-fixed'!#REF!</definedName>
    <definedName name="can8_240fixed">'[112]Capex-fixed'!#REF!</definedName>
    <definedName name="can8_240var">'[112]Capex-fixed'!#REF!</definedName>
    <definedName name="can8_480fixed">'[112]Capex-fixed'!#REF!</definedName>
    <definedName name="can8_480var">'[112]Capex-fixed'!#REF!</definedName>
    <definedName name="can8_960fixed">'[112]Capex-fixed'!#REF!</definedName>
    <definedName name="can8_960var">'[112]Capex-fixed'!#REF!</definedName>
    <definedName name="can8_power">'[112]Capex-fixed'!#REF!</definedName>
    <definedName name="can8media">#REF!</definedName>
    <definedName name="canada">#REF!</definedName>
    <definedName name="canfourmediacost">'[112]Capex-fixed'!#REF!</definedName>
    <definedName name="cantwomediacost">#REF!</definedName>
    <definedName name="CAP" localSheetId="10">#REF!</definedName>
    <definedName name="CAP">#REF!</definedName>
    <definedName name="CAP_Base">#REF!</definedName>
    <definedName name="cap_paste">[65]Sensitivity!#REF!</definedName>
    <definedName name="CAP_SEN">#REF!</definedName>
    <definedName name="capch">[111]Valuation!$U$13</definedName>
    <definedName name="capchrg">#REF!</definedName>
    <definedName name="capchrgadj">#REF!</definedName>
    <definedName name="Capex">'[63]2. Forecast Drivers'!$E$72:$S$72</definedName>
    <definedName name="capex_working">'[128]Main workings'!$A$156:$DS$192</definedName>
    <definedName name="capex1a">#REF!</definedName>
    <definedName name="capex1b">#REF!</definedName>
    <definedName name="capex2">#REF!</definedName>
    <definedName name="CAPGAIN">#REF!</definedName>
    <definedName name="capgains">#REF!</definedName>
    <definedName name="capital">#REF!</definedName>
    <definedName name="capital.costs">#REF!</definedName>
    <definedName name="capital97">#REF!</definedName>
    <definedName name="capitaladj">#REF!</definedName>
    <definedName name="capitalc">'[38]NOTES '!$H$61</definedName>
    <definedName name="CapitalEmployed">[129]Financials!$J$114:$R$114</definedName>
    <definedName name="CapitalLink">[130]Capital_by_Years_Valuation!$B$8</definedName>
    <definedName name="capitalp">'[123]NOTES '!$D$61</definedName>
    <definedName name="CAPWIP">[131]tb!$G$46:$P$56</definedName>
    <definedName name="CAR">#REF!</definedName>
    <definedName name="CArea">#REF!</definedName>
    <definedName name="cars_comp">#REF!</definedName>
    <definedName name="CAS">#REF!</definedName>
    <definedName name="Case">#REF!</definedName>
    <definedName name="CaseSelect">'[132]A-General'!$R$10</definedName>
    <definedName name="Cash" localSheetId="10">'[63]2. Forecast Drivers'!$E$199:$S$199</definedName>
    <definedName name="Cash">#REF!</definedName>
    <definedName name="cash_bank_bal_99">#REF!</definedName>
    <definedName name="Cash_Calc">'[63]3. Results'!$F$133:$S$133</definedName>
    <definedName name="Cash_OD">'[63]3. Results'!$F$134:$S$134</definedName>
    <definedName name="CashFlow" localSheetId="10">#REF!</definedName>
    <definedName name="CashFlow">#REF!</definedName>
    <definedName name="CashFlow2">#REF!</definedName>
    <definedName name="cashflows_1">#REF!</definedName>
    <definedName name="cashflows_2">#REF!</definedName>
    <definedName name="cashflows_3">#REF!</definedName>
    <definedName name="cashflows_4">#REF!</definedName>
    <definedName name="Cashflows_from_March_2003">'[76]Pool details'!$CK$3:$CK$4876</definedName>
    <definedName name="cashflows_print">#REF!</definedName>
    <definedName name="cashflows1_print">#REF!</definedName>
    <definedName name="cashflows2_print">#REF!</definedName>
    <definedName name="CashTax_P2">'[63]2. Forecast Drivers'!$T$299:$AD$299</definedName>
    <definedName name="CAT">#REF!</definedName>
    <definedName name="Catch_Factor_Calc.">[66]Assumptions!#REF!</definedName>
    <definedName name="CAvgRate">#REF!</definedName>
    <definedName name="CAvgRate2">#REF!</definedName>
    <definedName name="CBeRate">[133]Dwt!#REF!</definedName>
    <definedName name="cbi_facility_99">#REF!</definedName>
    <definedName name="cbu" localSheetId="10" hidden="1">{#N/A,#N/A,FALSE,"COVER.XLS";#N/A,#N/A,FALSE,"RACT1.XLS";#N/A,#N/A,FALSE,"RACT2.XLS";#N/A,#N/A,FALSE,"ECCMP";#N/A,#N/A,FALSE,"WELDER.XLS"}</definedName>
    <definedName name="cbu" hidden="1">{#N/A,#N/A,FALSE,"COVER.XLS";#N/A,#N/A,FALSE,"RACT1.XLS";#N/A,#N/A,FALSE,"RACT2.XLS";#N/A,#N/A,FALSE,"ECCMP";#N/A,#N/A,FALSE,"WELDER.XLS"}</definedName>
    <definedName name="CC">'[134]Customize Your Invoice'!$G$22:$G$25</definedName>
    <definedName name="ccc">#REF!</definedName>
    <definedName name="CCC100prcost">'[112]Capex-fixed'!#REF!</definedName>
    <definedName name="ccFootnote" localSheetId="10">IF([0]!BefAft=1,"","[1] The Pre-Tax Cost of Capital = After-Tax Cost of Capital/(1-Tax Rate)")</definedName>
    <definedName name="ccFootnote">IF([0]!BefAft=1,"","[1] The Pre-Tax Cost of Capital = After-Tax Cost of Capital/(1-Tax Rate)")</definedName>
    <definedName name="CCost">#REF!</definedName>
    <definedName name="CCT">#REF!</definedName>
    <definedName name="cd" localSheetId="10" hidden="1">{#N/A,#N/A,FALSE,"consu_cover";#N/A,#N/A,FALSE,"consu_strategy";#N/A,#N/A,FALSE,"consu_flow";#N/A,#N/A,FALSE,"Summary_reqmt";#N/A,#N/A,FALSE,"field_ppg";#N/A,#N/A,FALSE,"ppg_shop";#N/A,#N/A,FALSE,"strl";#N/A,#N/A,FALSE,"tankages";#N/A,#N/A,FALSE,"gases"}</definedName>
    <definedName name="cd" hidden="1">{#N/A,#N/A,FALSE,"consu_cover";#N/A,#N/A,FALSE,"consu_strategy";#N/A,#N/A,FALSE,"consu_flow";#N/A,#N/A,FALSE,"Summary_reqmt";#N/A,#N/A,FALSE,"field_ppg";#N/A,#N/A,FALSE,"ppg_shop";#N/A,#N/A,FALSE,"strl";#N/A,#N/A,FALSE,"tankages";#N/A,#N/A,FALSE,"gases"}</definedName>
    <definedName name="CD_EligibleAmount">'[39]80G'!$O$1</definedName>
    <definedName name="CDE_EligibleAmount">'[39]80G'!$P$1</definedName>
    <definedName name="CDPG1">#REF!</definedName>
    <definedName name="CDPG5">#REF!</definedName>
    <definedName name="cdu" localSheetId="10" hidden="1">{#N/A,#N/A,FALSE,"COVER.XLS";#N/A,#N/A,FALSE,"RACT1.XLS";#N/A,#N/A,FALSE,"RACT2.XLS";#N/A,#N/A,FALSE,"ECCMP";#N/A,#N/A,FALSE,"WELDER.XLS"}</definedName>
    <definedName name="cdu" hidden="1">{#N/A,#N/A,FALSE,"COVER.XLS";#N/A,#N/A,FALSE,"RACT1.XLS";#N/A,#N/A,FALSE,"RACT2.XLS";#N/A,#N/A,FALSE,"ECCMP";#N/A,#N/A,FALSE,"WELDER.XLS"}</definedName>
    <definedName name="celltips_area">#REF!</definedName>
    <definedName name="Cellulargrowthrate">#REF!</definedName>
    <definedName name="CellularsubscriberperE1">#REF!</definedName>
    <definedName name="cellularsubscribers">#REF!</definedName>
    <definedName name="cem">190</definedName>
    <definedName name="Center_Name">#REF!</definedName>
    <definedName name="CentralSalesTax">[102]Assumptions!#REF!</definedName>
    <definedName name="cenvat" localSheetId="10" hidden="1">{"'August 2000'!$A$1:$J$101"}</definedName>
    <definedName name="cenvat" hidden="1">{"'August 2000'!$A$1:$J$101"}</definedName>
    <definedName name="CERCOps">'[84]Core Assumptions'!$H$139:$AS$157</definedName>
    <definedName name="CERCType">'[84]Core Assumptions'!$C$142:$E$157</definedName>
    <definedName name="cf">#REF!</definedName>
    <definedName name="cg.AmtDeemedCGSec54">[39]CG_OS!$J$54</definedName>
    <definedName name="cg.TotalLTCG">[39]CG_OS!$J$55</definedName>
    <definedName name="CG1_">#REF!</definedName>
    <definedName name="CG2_">#REF!</definedName>
    <definedName name="CG3_">#REF!</definedName>
    <definedName name="CG4_">#REF!</definedName>
    <definedName name="CG5_">#REF!</definedName>
    <definedName name="CG6_">#REF!</definedName>
    <definedName name="cgfcf">'[112]Capex-fixed'!#REF!</definedName>
    <definedName name="cglng.BalanceCG1">[39]CG_OS!$H$41</definedName>
    <definedName name="cglng.BalLTCGNo1121">[39]CG_OS!$J$43</definedName>
    <definedName name="cglng.CGSlumpSale2">[39]CG_OS!$H$30</definedName>
    <definedName name="cglng.DednUs54s2">[39]CG_OS!$H$31</definedName>
    <definedName name="cglng.ExemptionOrDednUs54s1">[39]CG_OS!$H$42</definedName>
    <definedName name="cglng.FullConsideration01">[39]CG_OS!$H$35</definedName>
    <definedName name="cglng.FullConsideration3">[39]CG_OS!$H$28</definedName>
    <definedName name="cglng.NetCGSlumpSale2">[39]CG_OS!$J$32</definedName>
    <definedName name="cglng.NetWorthOfUTDivn2">[39]CG_OS!$H$29</definedName>
    <definedName name="cglng.NRIAssetSec482">[39]CG_OS!$J$33</definedName>
    <definedName name="cglng.TotalDedn1">[39]CG_OS!$H$40</definedName>
    <definedName name="cgoth.BalanceCG2">[39]CG_OS!$H$51</definedName>
    <definedName name="cgoth.BalLTCGNo1122">[39]CG_OS!$J$53</definedName>
    <definedName name="cgoth.ExemptionOrDednUs54s2">[39]CG_OS!$H$52</definedName>
    <definedName name="cgoth.FullConsideration02">[39]CG_OS!$H$45</definedName>
    <definedName name="cgoth.TotalDedn2">[39]CG_OS!$H$50</definedName>
    <definedName name="cgshrt.CGSlumpSale1">[39]CG_OS!$H$6</definedName>
    <definedName name="cgshrt.DednUs54s1">[39]CG_OS!$H$7</definedName>
    <definedName name="cgshrt.FullConsideration2">[39]CG_OS!$H$11</definedName>
    <definedName name="cgshrt.STCGNotSec111A">[39]CG_OS!$J$25</definedName>
    <definedName name="cgshrt.STCGSec111A">[39]CG_OS!$J$24</definedName>
    <definedName name="cgshrt.TotalDedn">[39]CG_OS!$H$16</definedName>
    <definedName name="cgshrt.TotalSTCG">[39]CG_OS!$J$23</definedName>
    <definedName name="CH">'[135]194C'!#REF!</definedName>
    <definedName name="CHA">#REF!</definedName>
    <definedName name="Chal">#REF!</definedName>
    <definedName name="Chall">#REF!</definedName>
    <definedName name="ChallanSrnoList">[136]Challan!$A$7:$A$57</definedName>
    <definedName name="CHANGE">#REF!</definedName>
    <definedName name="Channel_Sales_Commission_on_Revenue">[108]assumptions!$D$42</definedName>
    <definedName name="charan">'[54]ANNX -II'!$B$80:$K$97</definedName>
    <definedName name="chartfield">#REF!</definedName>
    <definedName name="CHARTOFACCOUNTSID1">[60]CRITERIA1!$B$3</definedName>
    <definedName name="Check">'[137]BALANCE SHEET'!$D$27</definedName>
    <definedName name="Check_Code">"Check Code"</definedName>
    <definedName name="Chile">[87]List_ratios!#REF!</definedName>
    <definedName name="CHINA_PLASTIC_in_KUSD">#REF!</definedName>
    <definedName name="CIF">#REF!</definedName>
    <definedName name="CIQWBGuid" hidden="1">"09d778bf-0536-4528-9053-32f245d583fc"</definedName>
    <definedName name="Circ">'[138]TATA Power'!$L$2</definedName>
    <definedName name="circbaspa">[139]Baspa!$E$6</definedName>
    <definedName name="circkw">[139]KW!$E$6</definedName>
    <definedName name="cisco_dscnt">#REF!</definedName>
    <definedName name="city_bal_127">#REF!</definedName>
    <definedName name="city_next_57">#REF!</definedName>
    <definedName name="city_top_10">#REF!</definedName>
    <definedName name="CityData">#REF!</definedName>
    <definedName name="CityName">[140]Assumptions!$M$2</definedName>
    <definedName name="cl">200</definedName>
    <definedName name="cl_debt">'[141]debt schedule'!#REF!</definedName>
    <definedName name="cl_stk_rough_99">#REF!</definedName>
    <definedName name="Clac_MR">[39]Calculator!$D$23</definedName>
    <definedName name="clause10">#REF!</definedName>
    <definedName name="CLAUSE1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IAB">#REF!</definedName>
    <definedName name="Client">"Client"</definedName>
    <definedName name="Client_Grade">"C"</definedName>
    <definedName name="Close_Confirm">#REF!</definedName>
    <definedName name="CLUB">#REF!</definedName>
    <definedName name="CLUB_P2_M">'[73]末残計画(四半期ベース)'!$F$653</definedName>
    <definedName name="CLUB_P2_Q">'[73]末残計画(四半期ベース)'!$G$653</definedName>
    <definedName name="CLUB_PX2_M">'[73]末残計画(四半期ベース)'!$F$649</definedName>
    <definedName name="CLUB_PX2_Q">'[73]末残計画(四半期ベース)'!$G$649</definedName>
    <definedName name="CLUB_PY2_M">'[73]末残計画(四半期ベース)'!$F$651</definedName>
    <definedName name="CLUB_PY2_Q">'[73]末残計画(四半期ベース)'!$G$651</definedName>
    <definedName name="CLUB_R2_M">'[73]末残計画(四半期ベース)'!$F$654</definedName>
    <definedName name="CLUB_R2_Q">'[73]末残計画(四半期ベース)'!$G$654</definedName>
    <definedName name="CLUB_RX2_M">'[73]末残計画(四半期ベース)'!$F$650</definedName>
    <definedName name="CLUB_RX2_Q">'[73]末残計画(四半期ベース)'!$G$650</definedName>
    <definedName name="CLUB_RY2_M">'[73]末残計画(四半期ベース)'!$F$652</definedName>
    <definedName name="CLUB_RY2_Q">'[73]末残計画(四半期ベース)'!$G$652</definedName>
    <definedName name="CLUBS">#REF!</definedName>
    <definedName name="clusters">[142]Sheet2!$A$3:$C$596</definedName>
    <definedName name="CM10_C_RIGHT___">#REF!</definedName>
    <definedName name="cmb_A_GEN1.AsseseeRepFlg">[39]GENERAL!$DH$52:$DH$53</definedName>
    <definedName name="cmb_A_GEN1.IncomeTaxSec">[39]GENERAL!$AJ$52:$AJ$59</definedName>
    <definedName name="cmb_A_GEN1.NRI_PE">[39]GENERAL!$DA$52:$DA$53</definedName>
    <definedName name="cmb_A_GEN1.ResidentialStatus">[39]GENERAL!$EM$52:$EM$53</definedName>
    <definedName name="cmb_A_GEN1.ReturnType">[39]GENERAL!$EB$52:$EB$53</definedName>
    <definedName name="cmb_A_GEN1.StateCode">[39]GENERAL!$B$52:$B$87</definedName>
    <definedName name="cmb_A_GEN1.StatusOrCompanyType">[39]GENERAL!$U$52:$U$53</definedName>
    <definedName name="cmb_A_GEN2.LiableSec44AAflg">[39]GENERAL!$DP$52:$DP$53</definedName>
    <definedName name="cmb_A_GEN2.LiableSec44ABflg">[39]GENERAL!$DS$52:$DS$53</definedName>
    <definedName name="cmb_DDT.RateDividPrevYrType">[39]DDT_TDS_TCS!$Z$3:$Z$4</definedName>
    <definedName name="cmb_FBI.EmployeesInOutIndiaFlg">[39]FRINGE_BENEFIT_INFO!$P$2:$P$3</definedName>
    <definedName name="cmb_FBI.SeparateAcntMaintainForIndiaForeignFlg">[39]FRINGE_BENEFIT_INFO!$Q$2:$Q$3</definedName>
    <definedName name="cmb_FSI.Country">[39]FSI!$B$400:$B$639</definedName>
    <definedName name="cmb_HP.ifLetOut1">#REF!</definedName>
    <definedName name="cmb_HP.StateCode1">#REF!</definedName>
    <definedName name="cmb_NOB.Code">[39]NATUREOFBUSINESS!$C$31:$C$104</definedName>
    <definedName name="cmb_OI.ChangeInAcctMethFlg">[39]OTHER_INFORMATION!$P$4:$P$5</definedName>
    <definedName name="cmb_OI.MethodOfAcct">[39]OTHER_INFORMATION!$O$4:$O$5</definedName>
    <definedName name="cmb_OIMethodofValClgStk.ChngStockValMetFlg">[39]OTHER_INFORMATION!$S$4:$S$5</definedName>
    <definedName name="cmb_OIMethodofValClgStk.ValFinishedGoods">[39]OTHER_INFORMATION!$R$4:$R$6</definedName>
    <definedName name="cmb_OIMethodofValClgStk.ValRawMaterial">[39]OTHER_INFORMATION!$Q$4:$Q$6</definedName>
    <definedName name="cmb_PAGBU2.BusOrgType">[39]GENERAL2!$D$50:$D$53</definedName>
    <definedName name="cmb_PAGH2.NatOfCompFlg">[39]GENERAL2!$C$50:$C$53</definedName>
    <definedName name="cmb_PAGH2.StateCode">[39]GENERAL2!$E$50:$E$85</definedName>
    <definedName name="cmb_PAGNA2.PubSectCompUs2_36AFlg">[39]GENERAL2!$G$50:$G$51</definedName>
    <definedName name="cmb_PAGS2.StateCode">'[39]SUBSIDIARY DETAILS'!$C$10:$C$45</definedName>
    <definedName name="cmb_Per10080G.StateCode">'[39]80G'!$B$79:$B$114</definedName>
    <definedName name="cmb_PMChange.PrevYrMemPartChange">[39]NATUREOFBUSINESS!$E$31:$E$32</definedName>
    <definedName name="cmb_PMInfo.StateCode">[39]NATUREOFBUSINESS!$I$31:$I$63</definedName>
    <definedName name="cmb_QDFinishrByProd.UnitOfMeasure">[39]QUANTITATIVE_DETAILS!$C$77:$C$99</definedName>
    <definedName name="cmb_QDRawMaterial.UnitOfMeasure">[39]QUANTITATIVE_DETAILS!$B$77:$B$99</definedName>
    <definedName name="cmb_QDTradingConcern.UnitOfMeasure">[39]QUANTITATIVE_DETAILS!$A$77:$A$99</definedName>
    <definedName name="cmb_SI.SecCode">[39]SI!$BC$11:$BC$33</definedName>
    <definedName name="cmb_TR.Country">[39]TR_FA!$B$400:$B$639</definedName>
    <definedName name="CMma">#REF!</definedName>
    <definedName name="CN">[143]Index!$E$8</definedName>
    <definedName name="cn1_240">'[112]Capex-fixed'!#REF!</definedName>
    <definedName name="cn1_480">'[112]Capex-fixed'!#REF!</definedName>
    <definedName name="cn1_960">'[112]Capex-fixed'!#REF!</definedName>
    <definedName name="cn1_power">'[112]Capex-fixed'!#REF!</definedName>
    <definedName name="cn1fixed960">'[112]Capex-fixed'!#REF!</definedName>
    <definedName name="cn2_240">'[112]Capex-fixed'!#REF!</definedName>
    <definedName name="cn2_480">'[112]Capex-fixed'!#REF!</definedName>
    <definedName name="cn2_960">'[112]Capex-fixed'!#REF!</definedName>
    <definedName name="cn2_power">'[112]Capex-fixed'!#REF!</definedName>
    <definedName name="cn3_960">'[112]Capex-fixed'!#REF!</definedName>
    <definedName name="cn4_960">'[112]Capex-fixed'!#REF!</definedName>
    <definedName name="CNC">#REF!</definedName>
    <definedName name="cntr.hprptfrm">#REF!</definedName>
    <definedName name="co" localSheetId="10">1</definedName>
    <definedName name="CO">'[144]EXPENDITURE CYCLE'!#REF!</definedName>
    <definedName name="COA">'[145]lov-COAct'!$A$2:$A$24</definedName>
    <definedName name="CoAdd">[94]Masters!$C$4</definedName>
    <definedName name="COAL_ESC">'[62]CERC Esc. rates'!$I$30</definedName>
    <definedName name="COAL_ESC_BASE">#REF!</definedName>
    <definedName name="COAL_ESC_SEN">#REF!</definedName>
    <definedName name="CoalSPV_DSCR">#REF!</definedName>
    <definedName name="COALSPV_FLAG">[62]Input!#REF!</definedName>
    <definedName name="COD" localSheetId="10">[62]Assumptions!$D$12</definedName>
    <definedName name="COD">'[146]Assumption-II'!$S$7</definedName>
    <definedName name="Code" hidden="1">#REF!</definedName>
    <definedName name="codi">[82]Assumptions!$D$30</definedName>
    <definedName name="codii">[82]Assumptions!$E$30</definedName>
    <definedName name="Cofides_Analysis_1" hidden="1">{"'Bill No. 7'!$A$1:$G$32"}</definedName>
    <definedName name="Cofides_Analysis_2" hidden="1">{"'Bill No. 7'!$A$1:$G$32"}</definedName>
    <definedName name="COGS">'[63]2. Forecast Drivers'!$E$31:$S$31</definedName>
    <definedName name="COLC">#REF!</definedName>
    <definedName name="COLF">#REF!</definedName>
    <definedName name="COMMCORP">[147]海外WORK!#REF!</definedName>
    <definedName name="comminfracost">'[112]Capex-fixed'!#REF!</definedName>
    <definedName name="commit">[113]commit!$A$2:$F$55</definedName>
    <definedName name="Common.On_Click" localSheetId="10">'Depreciation Schedule'!Common.On_Click</definedName>
    <definedName name="Common.On_Click">Common.On_Click</definedName>
    <definedName name="COMP">#REF!</definedName>
    <definedName name="Comp.97">#REF!</definedName>
    <definedName name="COMP.98">#REF!</definedName>
    <definedName name="COMP0203">#REF!</definedName>
    <definedName name="comp1" localSheetId="10">#REF!</definedName>
    <definedName name="comp1">#REF!</definedName>
    <definedName name="comp2">#REF!</definedName>
    <definedName name="comp2003" localSheetId="1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comp2003"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comp3">#REF!</definedName>
    <definedName name="Company" localSheetId="10">#REF!</definedName>
    <definedName name="company">'[112]RCPL-P&amp;L'!$B$2</definedName>
    <definedName name="Company_scope">#REF!</definedName>
    <definedName name="Company98">#REF!</definedName>
    <definedName name="CompanyName">#REF!</definedName>
    <definedName name="CompanyNameShort">#REF!</definedName>
    <definedName name="Complex">[148]Input!$A$119:$B$129</definedName>
    <definedName name="Comput">#REF!</definedName>
    <definedName name="Computation">#REF!</definedName>
    <definedName name="COMPUTATION_OF_INTEREST_UNDER_SECTION_234_C">#REF!</definedName>
    <definedName name="Computers">#REF!</definedName>
    <definedName name="CoName">[94]Masters!$C$3</definedName>
    <definedName name="Conflict">[79]Directors!#REF!</definedName>
    <definedName name="CONNECTSTRING1">[60]CRITERIA1!$B$10</definedName>
    <definedName name="CONS..1">#REF!</definedName>
    <definedName name="CONS..2">#REF!</definedName>
    <definedName name="CONS..3">#REF!</definedName>
    <definedName name="CONS..4">#REF!</definedName>
    <definedName name="CONSOLID_E">#REF!</definedName>
    <definedName name="Consolidation">#REF!</definedName>
    <definedName name="CONSTANT">[110]Financials!#REF!</definedName>
    <definedName name="CONSTR">#REF!</definedName>
    <definedName name="consultancy">'[67]Cost Breakup Depreciation&amp; Tax'!$C$20</definedName>
    <definedName name="Content_Applications">#REF!</definedName>
    <definedName name="ContentChangedEntryProductivity">[102]Assumptions!#REF!</definedName>
    <definedName name="ContentInfrastructureCost">[102]Assumptions!#REF!</definedName>
    <definedName name="ContentNewEntryProductivity">[102]Assumptions!#REF!</definedName>
    <definedName name="ContentResourceCost">[102]Assumptions!#REF!</definedName>
    <definedName name="contingency">'[67]Cost Breakup Depreciation&amp; Tax'!$C$32</definedName>
    <definedName name="CONTINUE">#REF!</definedName>
    <definedName name="CONTROL">#REF!</definedName>
    <definedName name="conv">[149]factors!$C$12</definedName>
    <definedName name="conv_mil_units">[150]Assum!$D$679</definedName>
    <definedName name="conv_mn_units">[95]Assum!$D$1017</definedName>
    <definedName name="conv_usd">[149]factors!$C$13</definedName>
    <definedName name="conv_USD_INR">'[95]Debt Schedule - HNGFL'!$C$213</definedName>
    <definedName name="convert">#N/A</definedName>
    <definedName name="CONVEYANCE_DEL">#REF!</definedName>
    <definedName name="COPM">#REF!</definedName>
    <definedName name="copy" localSheetId="10" hidden="1">{#N/A,#N/A,TRUE,"Cover";#N/A,#N/A,TRUE,"Results-Summ";#N/A,#N/A,TRUE,"Top10-FS";#N/A,#N/A,TRUE,"Top10-TP";#N/A,#N/A,TRUE,"3MthFor";#N/A,#N/A,TRUE,"Bus-Dev";#N/A,#N/A,TRUE,"Top10-Cat";#N/A,#N/A,TRUE,"Top10-Con";#N/A,#N/A,TRUE,"Top10-QSR";#N/A,#N/A,TRUE,"Top10-RM";#N/A,#N/A,TRUE,"Top10-FrF"}</definedName>
    <definedName name="copy" hidden="1">{#N/A,#N/A,TRUE,"Cover";#N/A,#N/A,TRUE,"Results-Summ";#N/A,#N/A,TRUE,"Top10-FS";#N/A,#N/A,TRUE,"Top10-TP";#N/A,#N/A,TRUE,"3MthFor";#N/A,#N/A,TRUE,"Bus-Dev";#N/A,#N/A,TRUE,"Top10-Cat";#N/A,#N/A,TRUE,"Top10-Con";#N/A,#N/A,TRUE,"Top10-QSR";#N/A,#N/A,TRUE,"Top10-RM";#N/A,#N/A,TRUE,"Top10-FrF"}</definedName>
    <definedName name="CORONATION_DIRECT_JULY">#REF!</definedName>
    <definedName name="CORPORATE">#REF!</definedName>
    <definedName name="corptax">#REF!</definedName>
    <definedName name="COST">#REF!</definedName>
    <definedName name="cost_calcn">#REF!</definedName>
    <definedName name="CoStatus">[94]Masters!$C$7</definedName>
    <definedName name="cot">[111]wwww!$D$64</definedName>
    <definedName name="cota">[150]Assume!$D$6</definedName>
    <definedName name="cotsw">[111]Assume!$D$6</definedName>
    <definedName name="covbookfield">#REF!</definedName>
    <definedName name="cover">#REF!</definedName>
    <definedName name="cover1">#REF!</definedName>
    <definedName name="cover2">#REF!</definedName>
    <definedName name="coverage">[87]List_ratios!#REF!</definedName>
    <definedName name="CPNL">#REF!</definedName>
    <definedName name="Cr" localSheetId="10">10^7</definedName>
    <definedName name="Cr">[151]Assum!$B$147</definedName>
    <definedName name="CREATESUMMARYJNLS1">[60]CRITERIA1!$B$35</definedName>
    <definedName name="Creator">[58]ReasonCode!$P$2:$P$8</definedName>
    <definedName name="CREDIT_P_M">[72]関係会社貸付金データ!$D$13</definedName>
    <definedName name="CREDIT_P_Q">[72]関係会社貸付金データ!$D$26</definedName>
    <definedName name="CREDIT_P2_M">'[73]末残計画(四半期ベース)'!$F$526</definedName>
    <definedName name="CREDIT_P2_Q">'[73]末残計画(四半期ベース)'!$G$526</definedName>
    <definedName name="CREDIT_PX_M">[74]関係会社貸付金データ!$D$21</definedName>
    <definedName name="CREDIT_PX_Q">[74]関係会社貸付金データ!$D$46</definedName>
    <definedName name="CREDIT_PX2_M">'[73]末残計画(四半期ベース)'!$F$522</definedName>
    <definedName name="CREDIT_PX2_Q">'[73]末残計画(四半期ベース)'!$G$522</definedName>
    <definedName name="CREDIT_PY_M">[74]関係会社貸付金データ!$D$23</definedName>
    <definedName name="CREDIT_PY_Q">[74]関係会社貸付金データ!$D$48</definedName>
    <definedName name="CREDIT_PY2_M">'[73]末残計画(四半期ベース)'!$F$524</definedName>
    <definedName name="CREDIT_PY2_Q">'[73]末残計画(四半期ベース)'!$G$524</definedName>
    <definedName name="CREDIT_R_M">[72]関係会社貸付金データ!$D$14</definedName>
    <definedName name="CREDIT_R_Q">[72]関係会社貸付金データ!$D$27</definedName>
    <definedName name="CREDIT_R2_M">'[73]末残計画(四半期ベース)'!$F$527</definedName>
    <definedName name="CREDIT_R2_Q">'[73]末残計画(四半期ベース)'!$G$527</definedName>
    <definedName name="CREDIT_RX_M">[74]関係会社貸付金データ!$D$22</definedName>
    <definedName name="CREDIT_RX_Q">[74]関係会社貸付金データ!$D$47</definedName>
    <definedName name="CREDIT_RX2_M">'[73]末残計画(四半期ベース)'!$F$523</definedName>
    <definedName name="CREDIT_RX2_Q">'[73]末残計画(四半期ベース)'!$G$523</definedName>
    <definedName name="CREDIT_RY_M">[74]関係会社貸付金データ!$D$24</definedName>
    <definedName name="CREDIT_RY_Q">[74]関係会社貸付金データ!$D$49</definedName>
    <definedName name="CREDIT_RY2_M">'[73]末残計画(四半期ベース)'!$F$525</definedName>
    <definedName name="CREDIT_RY2_Q">'[73]末残計画(四半期ベース)'!$G$525</definedName>
    <definedName name="Creditors">#REF!</definedName>
    <definedName name="Creditors_99">#REF!</definedName>
    <definedName name="Creditors_labour_99">#REF!</definedName>
    <definedName name="CRIT" localSheetId="10" hidden="1">{#N/A,#N/A,FALSE,"consu_cover";#N/A,#N/A,FALSE,"consu_strategy";#N/A,#N/A,FALSE,"consu_flow";#N/A,#N/A,FALSE,"Summary_reqmt";#N/A,#N/A,FALSE,"field_ppg";#N/A,#N/A,FALSE,"ppg_shop";#N/A,#N/A,FALSE,"strl";#N/A,#N/A,FALSE,"tankages";#N/A,#N/A,FALSE,"gases"}</definedName>
    <definedName name="CRIT" hidden="1">{#N/A,#N/A,FALSE,"consu_cover";#N/A,#N/A,FALSE,"consu_strategy";#N/A,#N/A,FALSE,"consu_flow";#N/A,#N/A,FALSE,"Summary_reqmt";#N/A,#N/A,FALSE,"field_ppg";#N/A,#N/A,FALSE,"ppg_shop";#N/A,#N/A,FALSE,"strl";#N/A,#N/A,FALSE,"tankages";#N/A,#N/A,FALSE,"gases"}</definedName>
    <definedName name="_xlnm.Criteria" localSheetId="10">#REF!</definedName>
    <definedName name="_xlnm.Criteria">#REF!</definedName>
    <definedName name="Criteria_MI" localSheetId="10">#REF!</definedName>
    <definedName name="Criteria_MI">#REF!</definedName>
    <definedName name="CRITERIACOLUMN1">[60]CRITERIA1!$B$22</definedName>
    <definedName name="CRITICAL" localSheetId="10" hidden="1">{#N/A,#N/A,FALSE,"consu_cover";#N/A,#N/A,FALSE,"consu_strategy";#N/A,#N/A,FALSE,"consu_flow";#N/A,#N/A,FALSE,"Summary_reqmt";#N/A,#N/A,FALSE,"field_ppg";#N/A,#N/A,FALSE,"ppg_shop";#N/A,#N/A,FALSE,"strl";#N/A,#N/A,FALSE,"tankages";#N/A,#N/A,FALSE,"gases"}</definedName>
    <definedName name="CRITICAL" hidden="1">{#N/A,#N/A,FALSE,"consu_cover";#N/A,#N/A,FALSE,"consu_strategy";#N/A,#N/A,FALSE,"consu_flow";#N/A,#N/A,FALSE,"Summary_reqmt";#N/A,#N/A,FALSE,"field_ppg";#N/A,#N/A,FALSE,"ppg_shop";#N/A,#N/A,FALSE,"strl";#N/A,#N/A,FALSE,"tankages";#N/A,#N/A,FALSE,"gases"}</definedName>
    <definedName name="crore">10000000</definedName>
    <definedName name="Crs" localSheetId="10">#REF!</definedName>
    <definedName name="CRS">#REF!</definedName>
    <definedName name="CRUSHER">#REF!</definedName>
    <definedName name="CRUSHERPRODUCTION">#REF!</definedName>
    <definedName name="CSBU">[56]Facility!#REF!</definedName>
    <definedName name="Csdfs" localSheetId="1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Csdfs"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CSPL">'[145]lov-cspl'!$A$2:$A$24</definedName>
    <definedName name="cspm">#REF!</definedName>
    <definedName name="cst">#REF!</definedName>
    <definedName name="cst_Batt">#REF!</definedName>
    <definedName name="cst_DG">#REF!</definedName>
    <definedName name="CTL">'[118]Cntrl Sheet'!$A$4</definedName>
    <definedName name="CTNL">[152]Lrnet_Inftch!#REF!</definedName>
    <definedName name="CTRL">'[118]Cntrl Sheet'!$A$2</definedName>
    <definedName name="CUF_.5">#REF!</definedName>
    <definedName name="CUF_1">#REF!</definedName>
    <definedName name="CUF_1.5">#REF!</definedName>
    <definedName name="CUF_2">#REF!</definedName>
    <definedName name="CUF_2.5">#REF!</definedName>
    <definedName name="CUF_3">#REF!</definedName>
    <definedName name="CUF_P50">#REF!</definedName>
    <definedName name="CUF_P75">#REF!</definedName>
    <definedName name="Cum.Interest">IF('[80]FITZ MORT 94'!XEY1&lt;&gt;"",'[80]FITZ MORT 94'!A1048576+'[80]FITZ MORT 94'!XFB1,"")</definedName>
    <definedName name="Cum_Int">#REF!</definedName>
    <definedName name="CurA">#REF!</definedName>
    <definedName name="curliabc">'[38]NOTES '!#REF!</definedName>
    <definedName name="curliabp">'[38]NOTES '!#REF!</definedName>
    <definedName name="Currency" localSheetId="10">'[63]2. Forecast Drivers'!$D$14</definedName>
    <definedName name="Currency">#REF!</definedName>
    <definedName name="CurrentLiab">[129]Financials!$J$111:$R$111</definedName>
    <definedName name="Currentplugcost">'[112]Capex-fixed'!#REF!</definedName>
    <definedName name="CurrentPortion">[129]Financials!$J$146:$U$146</definedName>
    <definedName name="currmnth">#REF!</definedName>
    <definedName name="CurT">#REF!</definedName>
    <definedName name="CURVE" localSheetId="10" hidden="1">{#N/A,#N/A,FALSE,"COVER1.XLS ";#N/A,#N/A,FALSE,"RACT1.XLS";#N/A,#N/A,FALSE,"RACT2.XLS";#N/A,#N/A,FALSE,"ECCMP";#N/A,#N/A,FALSE,"WELDER.XLS"}</definedName>
    <definedName name="CURVE" hidden="1">{#N/A,#N/A,FALSE,"COVER1.XLS ";#N/A,#N/A,FALSE,"RACT1.XLS";#N/A,#N/A,FALSE,"RACT2.XLS";#N/A,#N/A,FALSE,"ECCMP";#N/A,#N/A,FALSE,"WELDER.XLS"}</definedName>
    <definedName name="Customer_Address">"Rm 2409, 24/F Winsor House"</definedName>
    <definedName name="Customer_City">"Causeway Bay, Hong KOng"</definedName>
    <definedName name="Customer_Name">"Trend_Micro_HK_Limited"</definedName>
    <definedName name="Customer_State">"Hong KOng"</definedName>
    <definedName name="Customer_ZIP">"sdf"</definedName>
    <definedName name="CV">#REF!</definedName>
    <definedName name="CVY">'[63]2. Forecast Drivers'!$O$338:$AD$338</definedName>
    <definedName name="CVY_Date">'[63]2. Forecast Drivers'!$D$13</definedName>
    <definedName name="CWIP">#REF!</definedName>
    <definedName name="CY_Accounts_Receivable">#REF!</definedName>
    <definedName name="CY_Cash">#REF!</definedName>
    <definedName name="CY_Common_Equity">#REF!</definedName>
    <definedName name="CY_Cost_of_Sales">#REF!</definedName>
    <definedName name="CY_Current_Liabilities">#REF!</definedName>
    <definedName name="CY_Depreciation">#REF!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lik_Equity">#REF!</definedName>
    <definedName name="CY_lik_Income">#REF!</definedName>
    <definedName name="CY_lik_Liabs">#REF!</definedName>
    <definedName name="CY_lik_RetEarn_bf">#REF!</definedName>
    <definedName name="CY_LT_Debt">#REF!</definedName>
    <definedName name="CY_Market_Value_of_Equity">#REF!</definedName>
    <definedName name="CY_Marketable_Sec">#REF!</definedName>
    <definedName name="CY_NET_PROFIT">#REF!</definedName>
    <definedName name="CY_Net_Revenue">#REF!</definedName>
    <definedName name="CY_Operating_Income">#REF!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_Working_Capital">#REF!</definedName>
    <definedName name="cyla.TotBusLoss">'[39]CYLA BFLA'!$F$4</definedName>
    <definedName name="cyla.TotHPlossCurYr">'[39]CYLA BFLA'!$E$4</definedName>
    <definedName name="cyla.TotOthSrcLossNoRaceHorse">'[39]CYLA BFLA'!$G$4</definedName>
    <definedName name="d" localSheetId="10">#REF!</definedName>
    <definedName name="d">#REF!</definedName>
    <definedName name="D_1">#REF!</definedName>
    <definedName name="D_2">#REF!</definedName>
    <definedName name="D_3">#REF!</definedName>
    <definedName name="D_4">#REF!</definedName>
    <definedName name="D_5">#REF!</definedName>
    <definedName name="D_6">#REF!</definedName>
    <definedName name="D_Gupta">#REF!</definedName>
    <definedName name="D_Khatwani">#REF!</definedName>
    <definedName name="D_Marquis">#REF!</definedName>
    <definedName name="D_RANGE">#REF!</definedName>
    <definedName name="d1_range">#REF!</definedName>
    <definedName name="dadfsdf">#REF!</definedName>
    <definedName name="dafsff">#REF!</definedName>
    <definedName name="Daily_Opex">#REF!</definedName>
    <definedName name="DAOB10.AdditionsGrThan180Days">[39]DPM_DOA!$E$27</definedName>
    <definedName name="DAOB10.AdditionsLessThan180Days">[39]DPM_DOA!$E$30</definedName>
    <definedName name="DAOB10.AddlnDeprDuringYearAdditions">[39]DPM_DOA!$E$36</definedName>
    <definedName name="DAOB10.AddlnDeprOnGT180DayAdditions">[39]DPM_DOA!$E$35</definedName>
    <definedName name="DAOB10.DepreciationAtFullRate">[39]DPM_DOA!$E$33</definedName>
    <definedName name="DAOB10.DepreciationAtHalfRate">[39]DPM_DOA!$E$34</definedName>
    <definedName name="DAOB10.FullRateDeprAmt">[39]DPM_DOA!$E$29</definedName>
    <definedName name="DAOB10.HalfRateDeprAmt">[39]DPM_DOA!$E$32</definedName>
    <definedName name="DAOB10.RATE">[39]DPM_DOA!$E$24</definedName>
    <definedName name="DAOB10.RealizationPeriodDuringYear">[39]DPM_DOA!$E$31</definedName>
    <definedName name="DAOB10.RealizationTotalPeriod">[39]DPM_DOA!$E$28</definedName>
    <definedName name="DAOB10.TotalDepreciation">[39]DPM_DOA!$E$37</definedName>
    <definedName name="DAOB10.WDVFirstDay">[39]DPM_DOA!$E$26</definedName>
    <definedName name="DAOB100.AdditionsGrThan180Days">[39]DPM_DOA!$F$27</definedName>
    <definedName name="DAOB100.AdditionsLessThan180Days">[39]DPM_DOA!$F$30</definedName>
    <definedName name="DAOB100.AddlnDeprDuringYearAdditions">[39]DPM_DOA!$F$36</definedName>
    <definedName name="DAOB100.AddlnDeprOnGT180DayAdditions">[39]DPM_DOA!$F$35</definedName>
    <definedName name="DAOB100.DepreciationAtFullRate">[39]DPM_DOA!$F$33</definedName>
    <definedName name="DAOB100.DepreciationAtHalfRate">[39]DPM_DOA!$F$34</definedName>
    <definedName name="DAOB100.FullRateDeprAmt">[39]DPM_DOA!$F$29</definedName>
    <definedName name="DAOB100.HalfRateDeprAmt">[39]DPM_DOA!$F$32</definedName>
    <definedName name="DAOB100.RATE">[39]DPM_DOA!$F$24</definedName>
    <definedName name="DAOB100.RealizationPeriodDuringYear">[39]DPM_DOA!$F$31</definedName>
    <definedName name="DAOB100.RealizationTotalPeriod">[39]DPM_DOA!$F$28</definedName>
    <definedName name="DAOB100.TotalDepreciation">[39]DPM_DOA!$F$37</definedName>
    <definedName name="DAOB100.WDVFirstDay">[39]DPM_DOA!$F$26</definedName>
    <definedName name="DAOB5.AdditionsGrThan180Days">[39]DPM_DOA!$D$27</definedName>
    <definedName name="DAOB5.AdditionsLessThan180Days">[39]DPM_DOA!$D$30</definedName>
    <definedName name="DAOB5.AddlnDeprDuringYearAdditions">[39]DPM_DOA!$D$36</definedName>
    <definedName name="DAOB5.AddlnDeprOnGT180DayAdditions">[39]DPM_DOA!$D$35</definedName>
    <definedName name="DAOB5.DepreciationAtFullRate">[39]DPM_DOA!$D$33</definedName>
    <definedName name="DAOB5.DepreciationAtHalfRate">[39]DPM_DOA!$D$34</definedName>
    <definedName name="DAOB5.FullRateDeprAmt">[39]DPM_DOA!$D$29</definedName>
    <definedName name="DAOB5.HalfRateDeprAmt">[39]DPM_DOA!$D$32</definedName>
    <definedName name="DAOB5.RATE">[39]DPM_DOA!$D$24</definedName>
    <definedName name="DAOB5.RealizationPeriodDuringYear">[39]DPM_DOA!$D$31</definedName>
    <definedName name="DAOB5.RealizationTotalPeriod">[39]DPM_DOA!$D$28</definedName>
    <definedName name="DAOB5.TotalDepreciation">[39]DPM_DOA!$D$37</definedName>
    <definedName name="DAOB5.WDVFirstDay">[39]DPM_DOA!$D$26</definedName>
    <definedName name="DAOF10.AdditionsGrThan180Days">[39]DPM_DOA!$G$27</definedName>
    <definedName name="DAOF10.AdditionsLessThan180Days">[39]DPM_DOA!$G$30</definedName>
    <definedName name="DAOF10.AddlnDeprDuringYearAdditions">[39]DPM_DOA!$G$36</definedName>
    <definedName name="DAOF10.AddlnDeprOnGT180DayAdditions">[39]DPM_DOA!$G$35</definedName>
    <definedName name="DAOF10.DepreciationAtFullRate">[39]DPM_DOA!$G$33</definedName>
    <definedName name="DAOF10.DepreciationAtHalfRate">[39]DPM_DOA!$G$34</definedName>
    <definedName name="DAOF10.FullRateDeprAmt">[39]DPM_DOA!$G$29</definedName>
    <definedName name="DAOF10.HalfRateDeprAmt">[39]DPM_DOA!$G$32</definedName>
    <definedName name="DAOF10.RATE">[39]DPM_DOA!$G$24</definedName>
    <definedName name="DAOF10.RealizationPeriodDuringYear">[39]DPM_DOA!$G$31</definedName>
    <definedName name="DAOF10.RealizationTotalPeriod">[39]DPM_DOA!$G$28</definedName>
    <definedName name="DAOF10.TotalDepreciation">[39]DPM_DOA!$G$37</definedName>
    <definedName name="DAOF10.WDVFirstDay">[39]DPM_DOA!$G$26</definedName>
    <definedName name="DAOI25.AdditionsGrThan180Days">[39]DPM_DOA!$H$27</definedName>
    <definedName name="DAOI25.AdditionsLessThan180Days">[39]DPM_DOA!$H$30</definedName>
    <definedName name="DAOI25.AddlnDeprDuringYearAdditions">[39]DPM_DOA!$H$36</definedName>
    <definedName name="DAOI25.AddlnDeprOnGT180DayAdditions">[39]DPM_DOA!$H$35</definedName>
    <definedName name="DAOI25.DepreciationAtFullRate">[39]DPM_DOA!$H$33</definedName>
    <definedName name="DAOI25.DepreciationAtHalfRate">[39]DPM_DOA!$H$34</definedName>
    <definedName name="DAOI25.FullRateDeprAmt">[39]DPM_DOA!$H$29</definedName>
    <definedName name="DAOI25.HalfRateDeprAmt">[39]DPM_DOA!$H$32</definedName>
    <definedName name="DAOI25.RATE">[39]DPM_DOA!$H$24</definedName>
    <definedName name="DAOI25.RealizationPeriodDuringYear">[39]DPM_DOA!$H$31</definedName>
    <definedName name="DAOI25.RealizationTotalPeriod">[39]DPM_DOA!$H$28</definedName>
    <definedName name="DAOI25.TotalDepreciation">[39]DPM_DOA!$H$37</definedName>
    <definedName name="DAOI25.WDVFirstDay">[39]DPM_DOA!$H$26</definedName>
    <definedName name="DAOS20.AdditionsGrThan180Days">[39]DPM_DOA!$I$27</definedName>
    <definedName name="DAOS20.AdditionsLessThan180Days">[39]DPM_DOA!$I$30</definedName>
    <definedName name="DAOS20.AddlnDeprDuringYearAdditions">[39]DPM_DOA!$I$36</definedName>
    <definedName name="DAOS20.AddlnDeprOnGT180DayAdditions">[39]DPM_DOA!$I$35</definedName>
    <definedName name="DAOS20.DepreciationAtFullRate">[39]DPM_DOA!$I$33</definedName>
    <definedName name="DAOS20.DepreciationAtHalfRate">[39]DPM_DOA!$I$34</definedName>
    <definedName name="DAOS20.FullRateDeprAmt">[39]DPM_DOA!$I$29</definedName>
    <definedName name="DAOS20.HalfRateDeprAmt">[39]DPM_DOA!$I$32</definedName>
    <definedName name="DAOS20.RATE">[39]DPM_DOA!$I$24</definedName>
    <definedName name="DAOS20.RealizationPeriodDuringYear">[39]DPM_DOA!$I$31</definedName>
    <definedName name="DAOS20.RealizationTotalPeriod">[39]DPM_DOA!$I$28</definedName>
    <definedName name="DAOS20.TotalDepreciation">[39]DPM_DOA!$I$37</definedName>
    <definedName name="DAOS20.WDVFirstDay">[39]DPM_DOA!$I$26</definedName>
    <definedName name="dargad">#REF!,#REF!</definedName>
    <definedName name="dark" localSheetId="1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dark"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dat" localSheetId="10">#REF!</definedName>
    <definedName name="DAT">#REF!</definedName>
    <definedName name="dat16.1">#REF!</definedName>
    <definedName name="DAT19a">#REF!</definedName>
    <definedName name="data" localSheetId="10">#REF!</definedName>
    <definedName name="data">[153]Input!#REF!</definedName>
    <definedName name="data_1">#REF!</definedName>
    <definedName name="data_10">#REF!</definedName>
    <definedName name="data_11">#REF!</definedName>
    <definedName name="data_12">#REF!</definedName>
    <definedName name="data_14">#REF!</definedName>
    <definedName name="data_15">#REF!</definedName>
    <definedName name="data_16">#REF!</definedName>
    <definedName name="data_17">#REF!</definedName>
    <definedName name="data_18">#REF!</definedName>
    <definedName name="data_2">#REF!</definedName>
    <definedName name="data_3">#REF!</definedName>
    <definedName name="data_4">#REF!</definedName>
    <definedName name="data_5">#REF!</definedName>
    <definedName name="data_6">#REF!</definedName>
    <definedName name="Data1">#REF!</definedName>
    <definedName name="DATA10">#REF!</definedName>
    <definedName name="DATA11">'[154]ICICI &amp; TMBL interest'!$J$4:$J$28</definedName>
    <definedName name="Data2">#REF!</definedName>
    <definedName name="DATA3">#REF!</definedName>
    <definedName name="DATA4">[155]Subscription!$D$2:$D$171</definedName>
    <definedName name="DATA5">#REF!</definedName>
    <definedName name="DATA6">#REF!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'[155]4219020-SIE Advert'!$H$2:$H$45</definedName>
    <definedName name="DATA9">[156]Original!#REF!</definedName>
    <definedName name="_xlnm.Database" localSheetId="10">#REF!</definedName>
    <definedName name="_xlnm.Database">#REF!</definedName>
    <definedName name="Database_MI">#REF!</definedName>
    <definedName name="DataCaprate">'[61]A-General'!#REF!</definedName>
    <definedName name="DataDispo">'[61]A-General'!#REF!</definedName>
    <definedName name="datagrowth">#REF!</definedName>
    <definedName name="DataStabMnth">'[157]A-General'!#REF!</definedName>
    <definedName name="DataTableCap">'[61]A-General'!#REF!</definedName>
    <definedName name="DataTableCap2">'[61]A-General'!#REF!</definedName>
    <definedName name="DataTableCaprate">'[61]A-General'!#REF!</definedName>
    <definedName name="DataTableDispo">'[61]A-General'!#REF!</definedName>
    <definedName name="DataTableStab">'[157]A-General'!#REF!</definedName>
    <definedName name="DataTableStabMnth">'[157]A-General'!#REF!</definedName>
    <definedName name="Date">'[104]BS-P&amp;L'!$F$1</definedName>
    <definedName name="DATE1">'[109]MN T.B.'!#REF!</definedName>
    <definedName name="DATE2">'[109]MN T.B.'!#REF!</definedName>
    <definedName name="DATE3">'[109]MN T.B.'!#REF!</definedName>
    <definedName name="DateCFGs">[158]IRR!#REF!</definedName>
    <definedName name="DateCFJ1">[158]IRR!#REF!</definedName>
    <definedName name="DateRange">"1998.10.01 To 1998.10.31"</definedName>
    <definedName name="Dates">'[63]2. Forecast Drivers'!$E$336:$AD$336</definedName>
    <definedName name="Days">#REF!</definedName>
    <definedName name="Days_in_Receivables">'[70]Statistics {pbc}'!$A$2:$G$2,'[70]Statistics {pbc}'!$A$8:$G$8</definedName>
    <definedName name="DBNAME1">[60]CRITERIA1!$B$11</definedName>
    <definedName name="dbo_TimeSheetOnProjects">#REF!</definedName>
    <definedName name="DBUSERNAME1">[60]CRITERIA1!$B$9</definedName>
    <definedName name="DC">[39]Calculator!$M$48</definedName>
    <definedName name="Dcap">#REF!</definedName>
    <definedName name="DCF">#REF!</definedName>
    <definedName name="DCGP.TotPlntMach">[39]DEP_DCG!$H$30</definedName>
    <definedName name="ÐCompanyName" hidden="1">#REF!</definedName>
    <definedName name="dcv">'[159]Forecast Drivers'!$E$131:$S$131</definedName>
    <definedName name="dd" localSheetId="1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dd"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ddd"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ddd"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DDDD" hidden="1">#REF!</definedName>
    <definedName name="dddddd">'[160]ANNX -II'!$B$80:$K$97</definedName>
    <definedName name="ddddddggg" hidden="1">#REF!</definedName>
    <definedName name="DDT.AddLITPlusIntrestPayable">[39]DDT_TDS_TCS!$J$3:$J$8</definedName>
    <definedName name="DDT.TaxAndInterestPaid">[39]DDT_TDS_TCS!$I$13</definedName>
    <definedName name="DDTP.Amt">[39]IT_DDTP!$F$44:$F$49</definedName>
    <definedName name="Deal">#REF!</definedName>
    <definedName name="DEB">[56]deb!#REF!</definedName>
    <definedName name="debenture">#REF!</definedName>
    <definedName name="Debt">[161]Inputs!$D$68</definedName>
    <definedName name="debt_1">#REF!</definedName>
    <definedName name="debt_2">#REF!</definedName>
    <definedName name="debt_3">#REF!</definedName>
    <definedName name="debt_4">#REF!</definedName>
    <definedName name="debt_5">#REF!</definedName>
    <definedName name="debt_6">#REF!</definedName>
    <definedName name="debt_calc1">'[65]FUNDING REQT_11.2'!$D$49</definedName>
    <definedName name="debt_costs">#REF!</definedName>
    <definedName name="Debt_Exp_to_Sales">'[70]Statistics {pbc}'!$A$2:$G$2,'[70]Statistics {pbc}'!$A$11:$G$11</definedName>
    <definedName name="debt_paste_1">'[65]FUNDING REQT_11.2'!$D$50</definedName>
    <definedName name="Debt_Pct">[162]Assumptions!$B$13</definedName>
    <definedName name="debt_repay">'[141]debt schedule'!#REF!</definedName>
    <definedName name="DebtEquity">[87]List_ratios!#REF!</definedName>
    <definedName name="Debtors">#REF!</definedName>
    <definedName name="debtrepay">#REF!</definedName>
    <definedName name="DebtRpytCopy">#REF!</definedName>
    <definedName name="DebtRpytCopySum">#REF!</definedName>
    <definedName name="DebtRpytOrig">#REF!</definedName>
    <definedName name="DebtRpytOrigSum">#REF!</definedName>
    <definedName name="Debts">'[163]Final Accounts'!#REF!</definedName>
    <definedName name="debtsch">#REF!</definedName>
    <definedName name="Dec_Proj_Cost">#REF!</definedName>
    <definedName name="Dec05_CMBS">#REF!</definedName>
    <definedName name="Dec05CMBS">#REF!</definedName>
    <definedName name="decdebt">#REF!</definedName>
    <definedName name="decretal">#REF!</definedName>
    <definedName name="ded_usincome">[39]Calculator!$Q$7</definedName>
    <definedName name="Deduction_Copy_Sum">[158]Tax!#REF!</definedName>
    <definedName name="Deduction_Orig">[158]Tax!#REF!</definedName>
    <definedName name="Deduction_Orig_Sum">[158]Tax!#REF!</definedName>
    <definedName name="deep">'[164]TB APJ'!$B$85</definedName>
    <definedName name="Deepak">#REF!</definedName>
    <definedName name="DefaultScaleAmount">#REF!</definedName>
    <definedName name="Deferred_Maintenance">[121]Summary!#REF!</definedName>
    <definedName name="deff">#REF!</definedName>
    <definedName name="DefTax_Bal">'[63]2. Forecast Drivers'!$E$287:$S$287</definedName>
    <definedName name="DefTax_Delta">'[63]2. Forecast Drivers'!$E$286:$S$286</definedName>
    <definedName name="DefTaxA_Bal">'[63]2. Forecast Drivers'!$E$284:$S$284</definedName>
    <definedName name="DefTaxA_Delta">'[63]2. Forecast Drivers'!$E$283:$S$283</definedName>
    <definedName name="Deg_.25">#REF!</definedName>
    <definedName name="Deg_.5">#REF!</definedName>
    <definedName name="degra_var_mod">[99]Assumptions!$L$38</definedName>
    <definedName name="DELETELOGICTYPE1">[60]CRITERIA1!$B$19</definedName>
    <definedName name="delhi">[42]Assumptions!#REF!</definedName>
    <definedName name="DEP" localSheetId="10">#REF!</definedName>
    <definedName name="dep">#REF!</definedName>
    <definedName name="DEP.TotalDepreciation">[39]DEP_DCG!$H$19</definedName>
    <definedName name="dep_it_act">#REF!</definedName>
    <definedName name="dep_rate">#REF!</definedName>
    <definedName name="Dep_Rates">#REF!</definedName>
    <definedName name="DepCA">[165]Assumptions!#REF!</definedName>
    <definedName name="depcal">#REF!</definedName>
    <definedName name="DepIT">[165]Assumptions!#REF!</definedName>
    <definedName name="Depn">'[63]2. Forecast Drivers'!$E$75:$S$75</definedName>
    <definedName name="DEPN_1TOTAL">#REF!</definedName>
    <definedName name="DEPN_2ALLWYN">#REF!</definedName>
    <definedName name="DEPN_3EXCLALLWYN">#REF!</definedName>
    <definedName name="DEPN_ADD1STHALF">#REF!</definedName>
    <definedName name="DEPN_ADD2NDHALF">#REF!</definedName>
    <definedName name="DEPN_SALE">#REF!</definedName>
    <definedName name="deposit">#REF!</definedName>
    <definedName name="DEPOSITS">#REF!</definedName>
    <definedName name="depot">'[67]Cost Breakup Depreciation&amp; Tax'!$C$7</definedName>
    <definedName name="depotpm">'[67]Cost Breakup Depreciation&amp; Tax'!$C$15</definedName>
    <definedName name="depr">[166]Financials!#REF!</definedName>
    <definedName name="DEPR_PARENT_0304_FINAL">#REF!</definedName>
    <definedName name="DEPREC">'[167]EMPLOYEE DESOSIT RECEIVED'!$C$338</definedName>
    <definedName name="depreciation">#REF!</definedName>
    <definedName name="DepriciationAprActual">#REF!</definedName>
    <definedName name="DepriciationAugProj">#REF!</definedName>
    <definedName name="DepriciationDecProj">#REF!</definedName>
    <definedName name="DepriciationFebProj">#REF!</definedName>
    <definedName name="DepriciationJanProj">#REF!</definedName>
    <definedName name="DepriciationJulyProj">#REF!</definedName>
    <definedName name="DepriciationJuneProj">#REF!</definedName>
    <definedName name="DepriciationMarProj">#REF!</definedName>
    <definedName name="DepriciationMayActual">#REF!</definedName>
    <definedName name="DepriciationNovProj">#REF!</definedName>
    <definedName name="DepriciationOctProj">#REF!</definedName>
    <definedName name="DepriciationSepProj">#REF!</definedName>
    <definedName name="DEPRN">#REF!</definedName>
    <definedName name="der">#REF!</definedName>
    <definedName name="DER_1">#REF!</definedName>
    <definedName name="DER_2">#REF!</definedName>
    <definedName name="DER_3">#REF!</definedName>
    <definedName name="DER_4">#REF!</definedName>
    <definedName name="DER_5">#REF!</definedName>
    <definedName name="DER_6">#REF!</definedName>
    <definedName name="designengineering">'[67]Cost Breakup Depreciation&amp; Tax'!$C$24</definedName>
    <definedName name="DETAIL">#REF!</definedName>
    <definedName name="dev" localSheetId="1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A">[168]WORKINGS!#REF!</definedName>
    <definedName name="DEVA1">[168]WORKINGS!#REF!</definedName>
    <definedName name="DEVA2">[168]WORKINGS!#REF!</definedName>
    <definedName name="dfg">'[112]Capex-fixed'!#REF!</definedName>
    <definedName name="dflt1">'[134]Customize Your Invoice'!$E$22</definedName>
    <definedName name="dflt2">'[134]Customize Your Invoice'!$E$23</definedName>
    <definedName name="dflt3">'[134]Customize Your Invoice'!$D$24</definedName>
    <definedName name="dflt4">'[134]Customize Your Invoice'!$E$26</definedName>
    <definedName name="dflt5">'[134]Customize Your Invoice'!$E$27</definedName>
    <definedName name="dflt6">'[134]Customize Your Invoice'!$D$28</definedName>
    <definedName name="dflt7">'[134]Customize Your Invoice'!$G$27</definedName>
    <definedName name="dgfgfd" localSheetId="10" hidden="1">{#N/A,#N/A,FALSE,"COVER.XLS";#N/A,#N/A,FALSE,"RACT1.XLS";#N/A,#N/A,FALSE,"RACT2.XLS";#N/A,#N/A,FALSE,"ECCMP";#N/A,#N/A,FALSE,"WELDER.XLS"}</definedName>
    <definedName name="dgfgfd" hidden="1">{#N/A,#N/A,FALSE,"COVER.XLS";#N/A,#N/A,FALSE,"RACT1.XLS";#N/A,#N/A,FALSE,"RACT2.XLS";#N/A,#N/A,FALSE,"ECCMP";#N/A,#N/A,FALSE,"WELDER.XLS"}</definedName>
    <definedName name="dghkl" hidden="1">{"'Bill No. 7'!$A$1:$G$32"}</definedName>
    <definedName name="dgxgfzdg">#REF!,#REF!</definedName>
    <definedName name="dhakjs" localSheetId="10" hidden="1">{"'August 2000'!$A$1:$J$101"}</definedName>
    <definedName name="dhakjs" hidden="1">{"'August 2000'!$A$1:$J$101"}</definedName>
    <definedName name="Di">#REF!</definedName>
    <definedName name="dicer">#REF!</definedName>
    <definedName name="DIF">#REF!</definedName>
    <definedName name="diff">#REF!</definedName>
    <definedName name="Diff_IDC">'[169]PC &amp; MOF'!$C$67</definedName>
    <definedName name="DIFF_SPV">#REF!</definedName>
    <definedName name="diff1">'[77]IDC macro'!#REF!</definedName>
    <definedName name="Difference" localSheetId="10">'[59]Excess Calc'!#REF!</definedName>
    <definedName name="Difference">#REF!</definedName>
    <definedName name="Disaggregations" localSheetId="10">#REF!</definedName>
    <definedName name="Disaggregations">#REF!</definedName>
    <definedName name="disbI">'[170]43b'!$H$28</definedName>
    <definedName name="disbII">'[170]43b'!$H$33</definedName>
    <definedName name="disc" localSheetId="10">#REF!</definedName>
    <definedName name="disc">'[112]Capex-fixed'!#REF!</definedName>
    <definedName name="disc1">#REF!</definedName>
    <definedName name="disc2">#REF!</definedName>
    <definedName name="disc3">#REF!</definedName>
    <definedName name="Discount" hidden="1">#REF!</definedName>
    <definedName name="Disp_Code">[121]Summary!#REF!</definedName>
    <definedName name="display_area_2" hidden="1">#REF!</definedName>
    <definedName name="DisplaySelectedSheetsMacroButton">#REF!</definedName>
    <definedName name="Disruptive">'[113]Disruptive '!$A$1:$L$68</definedName>
    <definedName name="Div">#REF!</definedName>
    <definedName name="Div_Bal">'[63]2. Forecast Drivers'!$E$262:$S$262</definedName>
    <definedName name="Div_Cash">'[63]2. Forecast Drivers'!$E$261:$S$261</definedName>
    <definedName name="Div_Com">'[63]2. Forecast Drivers'!$E$241:$S$241</definedName>
    <definedName name="DIVASSET">'[109]MN T.B.'!#REF!</definedName>
    <definedName name="dividends97">#REF!</definedName>
    <definedName name="Divisor">#REF!</definedName>
    <definedName name="DIVLIAB">'[109]MN T.B.'!#REF!</definedName>
    <definedName name="DIVPL">'[109]MN T.B.'!#REF!</definedName>
    <definedName name="DM" localSheetId="10" hidden="1">{#N/A,#N/A,TRUE,"Cover";#N/A,#N/A,TRUE,"Results-Summ";#N/A,#N/A,TRUE,"Top10-FP";#N/A,#N/A,TRUE,"3MthFor";#N/A,#N/A,TRUE,"Bus-Dev";#N/A,#N/A,TRUE,"Top5-Dai";#N/A,#N/A,TRUE,"Top5-ICR";#N/A,#N/A,TRUE,"Top5-EFats";#N/A,#N/A,TRUE,"Top5-OP"}</definedName>
    <definedName name="DM" hidden="1">{#N/A,#N/A,TRUE,"Cover";#N/A,#N/A,TRUE,"Results-Summ";#N/A,#N/A,TRUE,"Top10-FP";#N/A,#N/A,TRUE,"3MthFor";#N/A,#N/A,TRUE,"Bus-Dev";#N/A,#N/A,TRUE,"Top5-Dai";#N/A,#N/A,TRUE,"Top5-ICR";#N/A,#N/A,TRUE,"Top5-EFats";#N/A,#N/A,TRUE,"Top5-OP"}</definedName>
    <definedName name="DME_BeforeCloseCompleted" hidden="1">"True"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"False"</definedName>
    <definedName name="DME_NextWindowNumber" hidden="1">"2"</definedName>
    <definedName name="Documentationcharges">'[112]Capex-fixed'!#REF!</definedName>
    <definedName name="dollar">[171]Cash!#REF!</definedName>
    <definedName name="Dollar_Rate">'[172]Simulator Detail'!$K$1</definedName>
    <definedName name="Dollar_Threshold">#REF!</definedName>
    <definedName name="Donation_Copy">'[158]P&amp;L'!#REF!</definedName>
    <definedName name="Donation_Copy_Sum">'[158]P&amp;L'!#REF!</definedName>
    <definedName name="dp10prcost">'[112]Capex-fixed'!#REF!</definedName>
    <definedName name="dpc">'[173]dpc cost'!$D$1</definedName>
    <definedName name="DPM100.AdditionsGrThan180Days">[39]DPM_DOA!$J$6</definedName>
    <definedName name="DPM100.AdditionsLessThan180Days">[39]DPM_DOA!$J$9</definedName>
    <definedName name="DPM100.AddlnDeprDuringYearAdditions">[39]DPM_DOA!$J$15</definedName>
    <definedName name="DPM100.AddlnDeprOnGT180DayAdditions">[39]DPM_DOA!$J$14</definedName>
    <definedName name="DPM100.DepreciationAtFullRate">[39]DPM_DOA!$J$12</definedName>
    <definedName name="DPM100.DepreciationAtHalfRate">[39]DPM_DOA!$J$13</definedName>
    <definedName name="DPM100.FullRateDeprAmt">[39]DPM_DOA!$J$8</definedName>
    <definedName name="DPM100.HalfRateDeprAmt">[39]DPM_DOA!$J$11</definedName>
    <definedName name="DPM100.RATE">[39]DPM_DOA!$J$3</definedName>
    <definedName name="DPM100.RealizationPeriodDuringYear">[39]DPM_DOA!$J$10</definedName>
    <definedName name="DPM100.RealizationTotalPeriod">[39]DPM_DOA!$J$7</definedName>
    <definedName name="DPM100.TotalDepreciation">[39]DPM_DOA!$J$16</definedName>
    <definedName name="DPM100.WDVFirstDay">[39]DPM_DOA!$J$5</definedName>
    <definedName name="DPM15.AdditionsGrThan180Days">[39]DPM_DOA!$D$6</definedName>
    <definedName name="DPM15.AdditionsLessThan180Days">[39]DPM_DOA!$D$9</definedName>
    <definedName name="DPM15.AddlnDeprDuringYearAdditions">[39]DPM_DOA!$D$15</definedName>
    <definedName name="DPM15.AddlnDeprOnGT180DayAdditions">[39]DPM_DOA!$D$14</definedName>
    <definedName name="DPM15.DepreciationAtFullRate">[39]DPM_DOA!$D$12</definedName>
    <definedName name="DPM15.DepreciationAtHalfRate">[39]DPM_DOA!$D$13</definedName>
    <definedName name="DPM15.FullRateDeprAmt">[39]DPM_DOA!$D$8</definedName>
    <definedName name="DPM15.HalfRateDeprAmt">[39]DPM_DOA!$D$11</definedName>
    <definedName name="DPM15.RATE">[39]DPM_DOA!$D$3</definedName>
    <definedName name="DPM15.RealizationPeriodDuringYear">[39]DPM_DOA!$D$10</definedName>
    <definedName name="DPM15.RealizationTotalPeriod">[39]DPM_DOA!$D$7</definedName>
    <definedName name="DPM15.TotalDepreciation">[39]DPM_DOA!$D$16</definedName>
    <definedName name="DPM15.WDVFirstDay">[39]DPM_DOA!$D$5</definedName>
    <definedName name="DPM30.AdditionsGrThan180Days">[39]DPM_DOA!$E$6</definedName>
    <definedName name="DPM30.AdditionsLessThan180Days">[39]DPM_DOA!$E$9</definedName>
    <definedName name="DPM30.AddlnDeprDuringYearAdditions">[39]DPM_DOA!$E$15</definedName>
    <definedName name="DPM30.AddlnDeprOnGT180DayAdditions">[39]DPM_DOA!$E$14</definedName>
    <definedName name="DPM30.DepreciationAtFullRate">[39]DPM_DOA!$E$12</definedName>
    <definedName name="DPM30.DepreciationAtHalfRate">[39]DPM_DOA!$E$13</definedName>
    <definedName name="DPM30.FullRateDeprAmt">[39]DPM_DOA!$E$8</definedName>
    <definedName name="DPM30.HalfRateDeprAmt">[39]DPM_DOA!$E$11</definedName>
    <definedName name="DPM30.RATE">[39]DPM_DOA!$E$3</definedName>
    <definedName name="DPM30.RealizationPeriodDuringYear">[39]DPM_DOA!$E$10</definedName>
    <definedName name="DPM30.RealizationTotalPeriod">[39]DPM_DOA!$E$7</definedName>
    <definedName name="DPM30.TotalDepreciation">[39]DPM_DOA!$E$16</definedName>
    <definedName name="DPM30.WDVFirstDay">[39]DPM_DOA!$E$5</definedName>
    <definedName name="DPM40.AdditionsGrThan180Days">[39]DPM_DOA!$F$6</definedName>
    <definedName name="DPM40.AdditionsLessThan180Days">[39]DPM_DOA!$F$9</definedName>
    <definedName name="DPM40.AddlnDeprDuringYearAdditions">[39]DPM_DOA!$F$15</definedName>
    <definedName name="DPM40.AddlnDeprOnGT180DayAdditions">[39]DPM_DOA!$F$14</definedName>
    <definedName name="DPM40.DepreciationAtFullRate">[39]DPM_DOA!$F$12</definedName>
    <definedName name="DPM40.DepreciationAtHalfRate">[39]DPM_DOA!$F$13</definedName>
    <definedName name="DPM40.FullRateDeprAmt">[39]DPM_DOA!$F$8</definedName>
    <definedName name="DPM40.HalfRateDeprAmt">[39]DPM_DOA!$F$11</definedName>
    <definedName name="DPM40.RATE">[39]DPM_DOA!$F$3</definedName>
    <definedName name="DPM40.RealizationPeriodDuringYear">[39]DPM_DOA!$F$10</definedName>
    <definedName name="DPM40.RealizationTotalPeriod">[39]DPM_DOA!$F$7</definedName>
    <definedName name="DPM40.TotalDepreciation">[39]DPM_DOA!$F$16</definedName>
    <definedName name="DPM40.WDVFirstDay">[39]DPM_DOA!$F$5</definedName>
    <definedName name="DPM50.AdditionsGrThan180Days">[39]DPM_DOA!$G$6</definedName>
    <definedName name="DPM50.AdditionsLessThan180Days">[39]DPM_DOA!$G$9</definedName>
    <definedName name="DPM50.AddlnDeprDuringYearAdditions">[39]DPM_DOA!$G$15</definedName>
    <definedName name="DPM50.AddlnDeprOnGT180DayAdditions">[39]DPM_DOA!$G$14</definedName>
    <definedName name="DPM50.DepreciationAtFullRate">[39]DPM_DOA!$G$12</definedName>
    <definedName name="DPM50.DepreciationAtHalfRate">[39]DPM_DOA!$G$13</definedName>
    <definedName name="DPM50.FullRateDeprAmt">[39]DPM_DOA!$G$8</definedName>
    <definedName name="DPM50.HalfRateDeprAmt">[39]DPM_DOA!$G$11</definedName>
    <definedName name="DPM50.RATE">[39]DPM_DOA!$G$3</definedName>
    <definedName name="DPM50.RealizationPeriodDuringYear">[39]DPM_DOA!$G$10</definedName>
    <definedName name="DPM50.RealizationTotalPeriod">[39]DPM_DOA!$G$7</definedName>
    <definedName name="DPM50.TotalDepreciation">[39]DPM_DOA!$G$16</definedName>
    <definedName name="DPM50.WDVFirstDay">[39]DPM_DOA!$G$5</definedName>
    <definedName name="DPM60.AdditionsGrThan180Days">[39]DPM_DOA!$H$6</definedName>
    <definedName name="DPM60.AdditionsLessThan180Days">[39]DPM_DOA!$H$9</definedName>
    <definedName name="DPM60.AddlnDeprDuringYearAdditions">[39]DPM_DOA!$H$15</definedName>
    <definedName name="DPM60.AddlnDeprOnGT180DayAdditions">[39]DPM_DOA!$H$14</definedName>
    <definedName name="DPM60.DepreciationAtFullRate">[39]DPM_DOA!$H$12</definedName>
    <definedName name="DPM60.DepreciationAtHalfRate">[39]DPM_DOA!$H$13</definedName>
    <definedName name="DPM60.FullRateDeprAmt">[39]DPM_DOA!$H$8</definedName>
    <definedName name="DPM60.HalfRateDeprAmt">[39]DPM_DOA!$H$11</definedName>
    <definedName name="DPM60.RATE">[39]DPM_DOA!$H$3</definedName>
    <definedName name="DPM60.RealizationPeriodDuringYear">[39]DPM_DOA!$H$10</definedName>
    <definedName name="DPM60.RealizationTotalPeriod">[39]DPM_DOA!$H$7</definedName>
    <definedName name="DPM60.TotalDepreciation">[39]DPM_DOA!$H$16</definedName>
    <definedName name="DPM60.WDVFirstDay">[39]DPM_DOA!$H$5</definedName>
    <definedName name="DPM80.AdditionsGrThan180Days">[39]DPM_DOA!$I$6</definedName>
    <definedName name="DPM80.AdditionsLessThan180Days">[39]DPM_DOA!$I$9</definedName>
    <definedName name="DPM80.AddlnDeprDuringYearAdditions">[39]DPM_DOA!$I$15</definedName>
    <definedName name="DPM80.AddlnDeprOnGT180DayAdditions">[39]DPM_DOA!$I$14</definedName>
    <definedName name="DPM80.DepreciationAtFullRate">[39]DPM_DOA!$I$12</definedName>
    <definedName name="DPM80.DepreciationAtHalfRate">[39]DPM_DOA!$I$13</definedName>
    <definedName name="DPM80.FullRateDeprAmt">[39]DPM_DOA!$I$8</definedName>
    <definedName name="DPM80.HalfRateDeprAmt">[39]DPM_DOA!$I$11</definedName>
    <definedName name="DPM80.RATE">[39]DPM_DOA!$I$3</definedName>
    <definedName name="DPM80.RealizationPeriodDuringYear">[39]DPM_DOA!$I$10</definedName>
    <definedName name="DPM80.RealizationTotalPeriod">[39]DPM_DOA!$I$7</definedName>
    <definedName name="DPM80.TotalDepreciation">[39]DPM_DOA!$I$16</definedName>
    <definedName name="DPM80.WDVFirstDay">[39]DPM_DOA!$I$5</definedName>
    <definedName name="DR43B..2">'[174]43B'!#REF!</definedName>
    <definedName name="Draft" localSheetId="10">[77]Introduction!#REF!</definedName>
    <definedName name="DRAFT">#REF!</definedName>
    <definedName name="ds">#REF!</definedName>
    <definedName name="DSCR">#REF!</definedName>
    <definedName name="DSCR_DSRA">#REF!</definedName>
    <definedName name="DSCR_RA">#REF!</definedName>
    <definedName name="dsD" localSheetId="10" hidden="1">{#N/A,#N/A,FALSE,"COVER1.XLS ";#N/A,#N/A,FALSE,"RACT1.XLS";#N/A,#N/A,FALSE,"RACT2.XLS";#N/A,#N/A,FALSE,"ECCMP";#N/A,#N/A,FALSE,"WELDER.XLS"}</definedName>
    <definedName name="dsD" hidden="1">{#N/A,#N/A,FALSE,"COVER1.XLS ";#N/A,#N/A,FALSE,"RACT1.XLS";#N/A,#N/A,FALSE,"RACT2.XLS";#N/A,#N/A,FALSE,"ECCMP";#N/A,#N/A,FALSE,"WELDER.XLS"}</definedName>
    <definedName name="dsfdfADF">#REF!</definedName>
    <definedName name="DSM">'[175]DSM checkbook'!$A$1:$M$68</definedName>
    <definedName name="DSR">'[67]Cost Breakup Depreciation&amp; Tax'!$C$40</definedName>
    <definedName name="DSRA">'[67]Debt-Schedule-DSR-Ops Factor'!$C$25</definedName>
    <definedName name="DSRA_Copy">#REF!</definedName>
    <definedName name="DSRA_Copy_Sum">#REF!</definedName>
    <definedName name="DSRA_Copy1">#REF!</definedName>
    <definedName name="DSRA_Copy1_Sum">#REF!</definedName>
    <definedName name="DSRA_Orig">#REF!</definedName>
    <definedName name="DSRA_Orig_Sum">#REF!</definedName>
    <definedName name="DSRA_Orig1">#REF!</definedName>
    <definedName name="DSRA_Orig1_Sum">#REF!</definedName>
    <definedName name="dsrao">'[176]Core Assumptions'!$C$247</definedName>
    <definedName name="dsrap">'[176]Core Assumptions'!$D$246</definedName>
    <definedName name="Dta">'[177]Excise on RM'!#REF!</definedName>
    <definedName name="DTAA_INCOME">[39]SI!$L$1</definedName>
    <definedName name="DTAA_TAX">[39]SI!$M$1</definedName>
    <definedName name="DTKick_R">[121]Rollup!#REF!</definedName>
    <definedName name="dtl">[111]wwww!$F$64</definedName>
    <definedName name="DTLoss_R">[121]Rollup!#REF!</definedName>
    <definedName name="dtpl">[118]DTPL!$B$2:$P$308</definedName>
    <definedName name="DTRS">#REF!</definedName>
    <definedName name="ductlabourcost">'[112]Capex-fixed'!#REF!</definedName>
    <definedName name="Dummy" localSheetId="10" hidden="1">{"'Sheet1'!$A$4386:$N$4591"}</definedName>
    <definedName name="Dummy" hidden="1">{"'Sheet1'!$A$4386:$N$4591"}</definedName>
    <definedName name="duty">'[112]Capex-fixed'!#REF!</definedName>
    <definedName name="dxzxxx">#REF!,#REF!</definedName>
    <definedName name="ÐYesNoDropdown" hidden="1">#REF!</definedName>
    <definedName name="E" localSheetId="10">#N/A</definedName>
    <definedName name="E">#REF!</definedName>
    <definedName name="E_1">#REF!</definedName>
    <definedName name="E_2">#REF!</definedName>
    <definedName name="E_3">#REF!</definedName>
    <definedName name="E_315MVA_Addl_Page1">#REF!</definedName>
    <definedName name="E_315MVA_Addl_Page2">#REF!</definedName>
    <definedName name="E_4">#REF!</definedName>
    <definedName name="E_5">#REF!</definedName>
    <definedName name="E_6">#REF!</definedName>
    <definedName name="e_u">'[178]Factor -local'!$D$55</definedName>
    <definedName name="E00250_">'[51]TB APJ'!$B$67</definedName>
    <definedName name="E00251_">'[51]TB APJ'!$B$68</definedName>
    <definedName name="E00252_">[52]tb!$B$169</definedName>
    <definedName name="E00257_">'[51]TB APJ'!$B$69</definedName>
    <definedName name="E00258_">'[51]TB APJ'!$B$70</definedName>
    <definedName name="E00265_">'[51]TB APJ'!$B$71</definedName>
    <definedName name="E00266_">'[51]TB APJ'!$B$72</definedName>
    <definedName name="E00268_">'[51]TB APJ'!#REF!</definedName>
    <definedName name="E00270_">'[51]TB APJ'!#REF!</definedName>
    <definedName name="E00271_">'[47]TB APJ'!#REF!</definedName>
    <definedName name="E00277_">'[51]TB APJ'!$B$73</definedName>
    <definedName name="E00280_">[179]trialbal!$B$145</definedName>
    <definedName name="E00284_">'[51]TB APJ'!#REF!</definedName>
    <definedName name="E00285_">'[51]TB APJ'!#REF!</definedName>
    <definedName name="E00289_">'[51]TB APJ'!$B$74</definedName>
    <definedName name="E00290_">'[51]TB APJ'!$B$75</definedName>
    <definedName name="E00292_">'[51]TB APJ'!#REF!</definedName>
    <definedName name="E00294_">'[51]TB APJ'!#REF!</definedName>
    <definedName name="E00295_">'[51]TB APJ'!#REF!</definedName>
    <definedName name="E00296_">'[51]TB APJ'!$B$76</definedName>
    <definedName name="E00297_">'[51]TB APJ'!$B$77</definedName>
    <definedName name="E00298_">'[51]TB APJ'!#REF!</definedName>
    <definedName name="E00299_">'[51]TB APJ'!$B$78</definedName>
    <definedName name="E00300_">'[51]TB APJ'!$B$79</definedName>
    <definedName name="E00301_">'[51]TB APJ'!$B$80</definedName>
    <definedName name="E00302_">'[51]TB APJ'!#REF!</definedName>
    <definedName name="E00303_">'[47]TB APJ'!#REF!</definedName>
    <definedName name="E00305_">'[51]TB APJ'!#REF!</definedName>
    <definedName name="E00308_">'[51]TB APJ'!$B$81</definedName>
    <definedName name="E00313_">'[51]TB APJ'!$B$83</definedName>
    <definedName name="E00316_">'[51]TB APJ'!$B$84</definedName>
    <definedName name="E00320_">'[51]TB APJ'!$B$85</definedName>
    <definedName name="E00321_">'[51]TB APJ'!$B$86</definedName>
    <definedName name="E00322_">'[51]TB APJ'!$B$87</definedName>
    <definedName name="E00323_">'[51]TB APJ'!$B$88</definedName>
    <definedName name="E00324_">'[51]TB APJ'!$B$89</definedName>
    <definedName name="E00325_">'[51]TB APJ'!$B$90</definedName>
    <definedName name="E00326_">'[51]TB APJ'!$B$91</definedName>
    <definedName name="E00327_">'[51]TB APJ'!$B$92</definedName>
    <definedName name="E00328_">'[51]TB APJ'!$B$93</definedName>
    <definedName name="E00329_">'[51]TB APJ'!$B$94</definedName>
    <definedName name="E00330_">'[51]TB APJ'!$B$95</definedName>
    <definedName name="E00331_">'[164]TB APJ'!$B$67</definedName>
    <definedName name="E0158_">'[51]TB APJ'!$B$96</definedName>
    <definedName name="E0159_">'[51]TB APJ'!$B$97</definedName>
    <definedName name="E0160_">'[47]TB WORLI'!#REF!</definedName>
    <definedName name="E0161_">'[51]TB APJ'!$B$98</definedName>
    <definedName name="E0162_">'[51]TB APJ'!$B$99</definedName>
    <definedName name="E0164_">'[51]TB APJ'!$B$100</definedName>
    <definedName name="E0165_">'[51]TB APJ'!$B$101</definedName>
    <definedName name="E0168_">'[51]TB APJ'!$B$102</definedName>
    <definedName name="E0169_">'[51]TB APJ'!$B$103</definedName>
    <definedName name="E0170_">'[51]TB APJ'!$B$104</definedName>
    <definedName name="E0171_">'[51]TB APJ'!#REF!</definedName>
    <definedName name="E0172_">'[51]TB APJ'!$B$367</definedName>
    <definedName name="E0173_">'[51]TB APJ'!$B$105</definedName>
    <definedName name="E0174_">'[51]TB APJ'!$B$106</definedName>
    <definedName name="E0175_">'[51]TB APJ'!#REF!</definedName>
    <definedName name="E0177_">'[51]TB APJ'!$B$107</definedName>
    <definedName name="E0178_">'[51]TB APJ'!$B$108</definedName>
    <definedName name="E0179_">'[51]TB APJ'!$B$109</definedName>
    <definedName name="E0180_">'[51]TB APJ'!$B$110</definedName>
    <definedName name="E0181_">'[51]TB APJ'!$B$111</definedName>
    <definedName name="E0183_">'[51]TB APJ'!$B$112</definedName>
    <definedName name="E0184_">'[51]TB APJ'!$B$113</definedName>
    <definedName name="E0186_">'[51]TB APJ'!$B$114</definedName>
    <definedName name="E0187_">'[51]TB APJ'!$B$115</definedName>
    <definedName name="E0188_">'[51]TB APJ'!#REF!</definedName>
    <definedName name="E0189_">'[51]TB APJ'!$B$116</definedName>
    <definedName name="E0190_">'[51]TB APJ'!$B$117</definedName>
    <definedName name="E0196_">'[51]TB APJ'!$B$118</definedName>
    <definedName name="E0197_">'[51]TB APJ'!#REF!</definedName>
    <definedName name="E0201_">'[51]TB APJ'!$B$281</definedName>
    <definedName name="e0201a">[180]TB!$B$185</definedName>
    <definedName name="E0202_">'[51]TB APJ'!$B$369</definedName>
    <definedName name="E0203_">'[51]TB APJ'!$B$119</definedName>
    <definedName name="E0204_">'[51]TB APJ'!$B$120</definedName>
    <definedName name="E0209_">'[51]TB APJ'!$B$121</definedName>
    <definedName name="E0210_">'[51]TB APJ'!$B$122</definedName>
    <definedName name="E0211_">'[51]TB APJ'!$B$123</definedName>
    <definedName name="E0212_">'[51]TB APJ'!$B$124</definedName>
    <definedName name="E0214_">'[51]TB APJ'!$B$125</definedName>
    <definedName name="E0215_">'[51]TB APJ'!$B$244</definedName>
    <definedName name="E0218_">'[51]TB APJ'!$B$126</definedName>
    <definedName name="E0219_">'[51]TB APJ'!$B$127</definedName>
    <definedName name="E0220_">'[51]TB APJ'!$B$128</definedName>
    <definedName name="E0221_">'[51]TB APJ'!$B$129</definedName>
    <definedName name="E0222_">'[51]TB APJ'!$B$130</definedName>
    <definedName name="E0225_">'[51]TB APJ'!$B$131</definedName>
    <definedName name="E0226_">'[51]TB APJ'!$B$132</definedName>
    <definedName name="E0227_">'[51]TB APJ'!$B$133</definedName>
    <definedName name="E0228_">'[51]TB APJ'!$B$134</definedName>
    <definedName name="E0230_">'[51]TB APJ'!$B$135</definedName>
    <definedName name="E0231_">'[51]TB APJ'!$B$136</definedName>
    <definedName name="E0233_">'[51]TB APJ'!$B$137</definedName>
    <definedName name="E0234_">'[51]TB APJ'!$B$138</definedName>
    <definedName name="E0235_">'[51]TB APJ'!$B$139</definedName>
    <definedName name="E0237_">'[51]TB APJ'!#REF!</definedName>
    <definedName name="E0238_">'[51]TB APJ'!$B$140</definedName>
    <definedName name="E0239_">'[51]TB APJ'!$B$141</definedName>
    <definedName name="E0240_">'[51]TB APJ'!$B$245</definedName>
    <definedName name="E0241_">'[51]TB APJ'!$B$142</definedName>
    <definedName name="E0242_">'[51]TB APJ'!$B$143</definedName>
    <definedName name="E0243_">'[51]TB APJ'!$B$144</definedName>
    <definedName name="E0245_">'[51]TB APJ'!$B$145</definedName>
    <definedName name="E0246_">'[51]TB APJ'!$B$250</definedName>
    <definedName name="E0247_">'[51]TB APJ'!$B$146</definedName>
    <definedName name="East_Europe_Average">[87]List_ratios!#REF!</definedName>
    <definedName name="EBIT">[87]List_ratios!#REF!</definedName>
    <definedName name="EBITA_Adj">'[63]3. Results'!$E$142:$AD$142</definedName>
    <definedName name="EBITCAP">[87]List_ratios!#REF!</definedName>
    <definedName name="EBITDA__int_cvrge_x">[87]List_ratios!#REF!</definedName>
    <definedName name="EbitdaLine">[87]List_ratios!#REF!</definedName>
    <definedName name="EBITDAMultipleHigh">[181]Factset!$IU$25</definedName>
    <definedName name="EBITDAMultipleLow">[181]Factset!$IU$26</definedName>
    <definedName name="Ecapturedmarket" localSheetId="10">#REF!</definedName>
    <definedName name="Ecapturedmarket">#REF!</definedName>
    <definedName name="ECB">[62]Input!#REF!</definedName>
    <definedName name="ECB_BASE">[62]Input!#REF!</definedName>
    <definedName name="ECB_REFI">[62]Input!#REF!</definedName>
    <definedName name="Eco_Transport_Base">#REF!</definedName>
    <definedName name="Eco_Transport_SEN">#REF!</definedName>
    <definedName name="ECOEsc_Base">#REF!</definedName>
    <definedName name="ECOEsc_SEN">#REF!</definedName>
    <definedName name="ECOPrice_Base">#REF!</definedName>
    <definedName name="ECOPrice_SEN">#REF!</definedName>
    <definedName name="ED">#REF!</definedName>
    <definedName name="EDA">#REF!</definedName>
    <definedName name="EDAsum">#REF!</definedName>
    <definedName name="EDCDMA">#REF!</definedName>
    <definedName name="edcess_stcgoththan111aincome">[39]Calculator!$R$6</definedName>
    <definedName name="edcess_usincome">[39]Calculator!$Q$6</definedName>
    <definedName name="EDFTTB" localSheetId="10">#REF!</definedName>
    <definedName name="EDFTTB">#REF!</definedName>
    <definedName name="EDHFC" localSheetId="10">#REF!</definedName>
    <definedName name="EDHFC">#REF!</definedName>
    <definedName name="EDIT__END__LEFT__DEL___DOWN">#REF!</definedName>
    <definedName name="EditorialSupervisionPercent">[102]Assumptions!#REF!</definedName>
    <definedName name="edpcas" localSheetId="10">#REF!</definedName>
    <definedName name="edpcas">#REF!</definedName>
    <definedName name="ee" localSheetId="10"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ee"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eeee">#REF!</definedName>
    <definedName name="eeeeeeee" localSheetId="10" hidden="1">{#N/A,#N/A,TRUE,"Sheet1"}</definedName>
    <definedName name="eeeeeeee" hidden="1">{#N/A,#N/A,TRUE,"Sheet1"}</definedName>
    <definedName name="Eff_LTV">'[76]Pool details'!$L$3:$L$9749</definedName>
    <definedName name="efgh">#REF!</definedName>
    <definedName name="efgrg" localSheetId="10" hidden="1">{"bs",#N/A,FALSE,"BS";"pl",#N/A,FALSE,"PL"}</definedName>
    <definedName name="efgrg" hidden="1">{"bs",#N/A,FALSE,"BS";"pl",#N/A,FALSE,"PL"}</definedName>
    <definedName name="egtdgtgxdg">#REF!</definedName>
    <definedName name="EHTPA10.DedFromUndertaking">'[39]10A'!$F$7:$F$7</definedName>
    <definedName name="EHTPA10.TotalDedUs10Sub">'[39]10A'!$H$8</definedName>
    <definedName name="EI">#REF!</definedName>
    <definedName name="elasticity">#REF!</definedName>
    <definedName name="elasticity_ild">#REF!</definedName>
    <definedName name="Electricity" localSheetId="1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ectricit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K">[113]ELK!$A$1:$K$68</definedName>
    <definedName name="Embsw">#REF!</definedName>
    <definedName name="Embswsum">#REF!</definedName>
    <definedName name="EMD">'[76]Pool details'!$AM$3:$AM$4876</definedName>
    <definedName name="emp">[67]Staffing!#REF!</definedName>
    <definedName name="EMP_CODE">[182]INPUT!$C$2:$C$225</definedName>
    <definedName name="EMP_NAME">[182]INPUT!$D$2:$D$225</definedName>
    <definedName name="EMPExp">[62]Assumptions!$E$67</definedName>
    <definedName name="EmpExp_Base">#REF!</definedName>
    <definedName name="EmpExp_SEN">#REF!</definedName>
    <definedName name="EMS">'[63]2. Forecast Drivers'!$D$135</definedName>
    <definedName name="EnclosureIVa.">[183]tb!#REF!</definedName>
    <definedName name="End_Bal">#REF!</definedName>
    <definedName name="End_DF">'[63]2. Forecast Drivers'!$D$12</definedName>
    <definedName name="Ending.Balance">IF('[80]FITZ MORT 94'!XEZ1&lt;&gt;"",'[80]FITZ MORT 94'!XFB1-'[80]FITZ MORT 94'!XFD1,"")</definedName>
    <definedName name="ENDMKT">#REF!</definedName>
    <definedName name="ENDUSER">#REF!</definedName>
    <definedName name="ENERGY">'[184]Data Input'!$B$274:$P$375</definedName>
    <definedName name="ENGEL" hidden="1">#REF!</definedName>
    <definedName name="ENGL">#REF!</definedName>
    <definedName name="ENGLAND">#REF!</definedName>
    <definedName name="ENT">#REF!</definedName>
    <definedName name="Entity">#REF!</definedName>
    <definedName name="entry_in_brs_adj_31300">#REF!</definedName>
    <definedName name="EP">'[63]3. Results'!$F$268:$AD$268</definedName>
    <definedName name="EPCG">#REF!</definedName>
    <definedName name="Epenrate" localSheetId="10">#REF!</definedName>
    <definedName name="Epenrate">#REF!</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"Mi8WGb7wvvl3MZvnSdtx0OvCbbhCY1/PqqmMwge7ju5EvNr3KxIy8GSHy7fyE27WKk/7o|OTky69evPkhOhP/L/cllCChE3u8u7Oz//Dn7erwEE12d/d|RJMunzzc/xFNujTZvfcjmnRlZ//g//M0|Qb9UR/Nr2HGnrw6fvH0A0JiUu/kDN7eiO3|v9uICTlCnnvykJ7/r3PcN0qQ/z|stf2/RwRPjt|cfv7lq9/nawvhvXv37|/v799eCPf|3y"</definedName>
    <definedName name="EPMWorkbookOptions_11" hidden="1">"2EhiAd1X/y5iuKLH/Edl6zW7UaYLunx2|OX786|dpc9|mD3Z2Dgwe357p7/|/mOqVHyHRvvqQ0wu//|asvv/p/82K6DOlnyQJE6XLy5avT3//sxcuv3vxIIP1mt2o1IJBE27M3X98KkCv26af37r2HL7b//26BFHo4vtujX093dh/8f977/6YIsisEuf8jgvgEeXP6|v/zSukbJQjSTT8iiKdD7n366af/XyfI/3vM1stXXz796uTNB|QQ3jsTf"</definedName>
    <definedName name="EPMWorkbookOptions_12" hidden="1">"v//3YbLUCSUw5c/n9MIAyT5USLhm5TEV25B8ocojJ/|v1sYPaJ8/31WaRXg/ytZ7hujxelXP6KFocXzk/|vk|L/PZrozdkXpz9EFfTg/90qCNQIDd8eDXC8c|//6wz3TRNk/0cE8QiyN97d|xFBDEGe/T57OzsPx5yQ/f86Vf7fo6i/OD1|/dWr0x9m8Hbw/25lbSgiTsHv8|bpj5jtfRoF2MQbPb57vFqVxTRrCY79PPjUNCdo1XJJiNNnT7M2"</definedName>
    <definedName name="EPMWorkbookOptions_13" hidden="1">"44/9D99U3cE/fpWf13kz/3L55SpfHp1nZZM/vht|yO1OyjyrAfTL5evsMjctux9z2|9W9dtJVb0lxmyZjKZ1/4uw/dWMZ801/HIl4/t/AMtf0Z6zeQAA"</definedName>
    <definedName name="EPMWorkbookOptions_15" hidden="1">"v8vM6b|ZfLL1f50qzYhR9yu5Myz2oA/XL5OrvMTcvux9z2u1X9dlJVb4kxWyajad3/Imx/NdNZe3zW/GRWF9mkzL/I6wsHoff5b5w4sF|uhBr/DzxHj7hvfAAA"</definedName>
    <definedName name="EPMWorkbookOptions_2" hidden="1">"jqr64u7ezs3v39/7i|evpPF9k28WyabPlNP/IvjW7|a2PqNc0ffwqP6/zZv7l8stVvjw6z8omf3w3/JDbnZR5Vj/N2uzL5evsMjctux9zWzOWl3XV5tM2n5nW/S/C9lez9C6IYRsqNY7|H0p|MExIAQAA"</definedName>
    <definedName name="EPMWorkbookOptions_3" hidden="1">"4tb42ngRFC8T7W4R8FmHQQEOL16HmLr|jLL/LFJK|/Wha/aJ0z1O|dHL85/fzLV7/P98ffe3n86vTFm2/v0q/HJ2||On5OY||90AP57SKvs3o6v3aNUmKuR8ui/Oyjtl4T79ztv/W0WORLsO7t33p895sb9dPjN8evX52Eg37z5Zvj57//y1env//ZyZf//x07DffsjTffe/Tr6c7ug53//w752fMvvxvO9bPnL758cfr/4xF/9eLkzdmXL153h"</definedName>
    <definedName name="EPMWorkbookOptions_4" hidden="1">"v3/71GfvXhz|opkNxjz2e///|9Bf3F6/PqrV6eYafrf7/Pm6f9XhrrhG||LbxezWb60HTcbqGUb/WTRFJOiLNrrWw3h6Pjk5MuvXrx5fDf2ZYR0wOgIw318V//YMOabsfpGxmAM|f|nB6F2|f/TYxD7|v/pIcBe/n97AMb8/X96FGrO/j89hlcv35x89YqM8cn/t0Xi9cmXL0//Pz2CN2df/H97AMbR|bkZRNB4o1PiD9alAHqOy|t55To9qcqq"</definedName>
    <definedName name="EPMWorkbookOptions_5" hidden="1">"PuKMw|O7kW82vcvDj70aoYsj7DBmt201ME3v5Uz5MGSklLe6v7N772DXAxCjAb/7ZT3L66Odx3fllyj0ZlVm1y/rapXX7XXEqaVGz7OmfZ2XlI7KZ|I6x0Ybzmy0QRpz0JUgnQzL7s5Dem7jqyvgr|Wx67uRqbjdu5sCFW3xTdJkd2fndnkIBfzzgyYP9n9Ek4Amezv3DvZ|RJMOn/z/QZ88vnsbXeyZhp81M/Z|8bQPxNixnZ19Wmi4vRnb/X|"</definedName>
    <definedName name="EPMWorkbookOptions_6" hidden="1">"3GfvQlQIF/P9KtvtmafL89Pd/uXPwI5r0aPL/efX0s0CT/R/RpEeT3f|v0|Rn34zd1oy9V0Y1YsXu3bt/f39///ZWbO//3VZsw8rvq9PPKWX4/3XW|1kgzOevvvzq5Y/o4tHl5MtXp7//2YuXX735EVk8snz55tunr35EEY8ip8/Pvnj9/3WK/L/Hmr3P2poPQo3Zpw92dw4OHtzemN37f7cxE3I4jtsDx|3s/vxNoXUJwiJIgfj9HxEkJMjP20"</definedName>
    <definedName name="EPMWorkbookOptions_7" hidden="1">"gsSpB7|7sPfkSQkCD/n89f/L/Haj17/uV3v7bNImH99NN7994jj7j//26jBWqE7Pbs|YsvX5z|f53fvkl60KT/f96G/79I/r56cfKGQvvXX18I33tN|v7/y4XQkKTDeT|vBXGAJns7P3/XGodpsvsjmnRo8qP1129SaZ|9eHP66uTLH6LK/vT/3SpbCRIy3dnv//8Hjf3/Hq579fLNyVeviLwnXz/L9P6c9|D/3ZznEYVYjv73/OT/6xz3jZHi7"</definedName>
    <definedName name="EPMWorkbookOptions_8" hidden="1">"MXP24R3jxafP/n//CrR/3s00euTL1|e/hB10MH/u3UQkyO0fa///2D6vi49IvQ4|/z4|P/zAvhN0uPZqx8tvQXNbtVqQB|9Ofvih6mOHv6/Wx2BGiG3UUR8b7zz83YZYYgg/59fRviGCbK79yOCeATZ|xFBeiKz//91gvy/x2h9cXr8|qtXpz/MxP/uzv|7LZchiYRsv8|bp/9f57ZvhhAvT1|dffn07OdtYiOkxk/8f58tvkEldItGATbxRo/v"</definedName>
    <definedName name="EPMWorkbookOptions_9" hidden="1">"Hq9WZTHNWoJjPw8|Nc0JWrVcEuL02dOszczH0U/pc6Haolw2n300b9vVo7t323yxWtfFuKov7n7V5LXDafyumX109Ps/e/nF7//k5cmL7|7u/P7f05dm071ZM5le7uyO28nF|KKsJllZNOOLevXogJak7zbZ6u5kNb37/d//e28|f0L/fvvLV2c/9eWLN8fP6Y/zrGxy4puAVx7743tPJD3ixWhnx37k0Oj0LmQbZJSNsnKblNct039fT0S|jnA"</definedName>
    <definedName name="EPZA10.DedFromUndertaking">'[39]10A'!$F$15</definedName>
    <definedName name="EPZA10.TotalDedUs10Sub">'[39]10A'!$H$16</definedName>
    <definedName name="Equity_Adj">'[63]2. Forecast Drivers'!$E$245:$S$245</definedName>
    <definedName name="Equity_Bal">'[63]2. Forecast Drivers'!$E$246:$S$246</definedName>
    <definedName name="Equity_Bal_BF">'[63]2. Forecast Drivers'!$F$238:$S$238</definedName>
    <definedName name="Equity_Cash">'[63]2. Forecast Drivers'!$E$243:$S$243</definedName>
    <definedName name="Equity_Size">#REF!</definedName>
    <definedName name="equity97">#REF!</definedName>
    <definedName name="equitydata">#REF!</definedName>
    <definedName name="EQUITYIRR">#REF!</definedName>
    <definedName name="equityupfront">#REF!</definedName>
    <definedName name="er">#REF!</definedName>
    <definedName name="Erai_level">[185]Level_qty!$B$8:$C$528</definedName>
    <definedName name="ert">'[112]Capex-fixed'!#REF!</definedName>
    <definedName name="ESC">#REF!</definedName>
    <definedName name="Esc_AGExp">[186]Assumptions!$B$4</definedName>
    <definedName name="Esc_Coal">[162]Assumptions!$B$6</definedName>
    <definedName name="Esc_DomGas">[162]Assumptions!$B$8</definedName>
    <definedName name="Esc_EmpExp">[162]Assumptions!$B$3</definedName>
    <definedName name="Esc_LNGas">[162]Assumptions!$B$9</definedName>
    <definedName name="Esc_Oil">[162]Assumptions!$B$7</definedName>
    <definedName name="Esc_OtherVarCharge">[162]Assumptions!$B$10</definedName>
    <definedName name="Esc_RMExp">[186]Assumptions!$B$5</definedName>
    <definedName name="EscAGExp">#REF!</definedName>
    <definedName name="EscCoal">#REF!</definedName>
    <definedName name="EscDomGas">#REF!</definedName>
    <definedName name="EscEmpExp">#REF!</definedName>
    <definedName name="EscLNGas">#REF!</definedName>
    <definedName name="EscOil">#REF!</definedName>
    <definedName name="EscOtherIncome">#REF!</definedName>
    <definedName name="EscOtherVarCharge">#REF!</definedName>
    <definedName name="EscRMExp">#REF!</definedName>
    <definedName name="etc" hidden="1">#REF!</definedName>
    <definedName name="ETRAS" localSheetId="10">#REF!</definedName>
    <definedName name="ETRAS">#REF!</definedName>
    <definedName name="EUHQ">#REF!</definedName>
    <definedName name="EURO">#REF!</definedName>
    <definedName name="Europe_Average">[87]List_ratios!#REF!</definedName>
    <definedName name="EUROPEAN_HQ">#REF!</definedName>
    <definedName name="ev.Calculation" hidden="1">2</definedName>
    <definedName name="ev.Initialized" hidden="1">FALSE</definedName>
    <definedName name="eva">#REF!</definedName>
    <definedName name="EVIS">[113]ECURE!$A$1:$K$68</definedName>
    <definedName name="ewrdwe">'[164]TB APJ'!$B$196</definedName>
    <definedName name="ex" localSheetId="10">#REF!</definedName>
    <definedName name="ex">#N/A</definedName>
    <definedName name="ex_rate">#REF!</definedName>
    <definedName name="EXA">#REF!</definedName>
    <definedName name="EXC">#REF!</definedName>
    <definedName name="Excel_BuiltIn_Print_Area_0">#REF!</definedName>
    <definedName name="Excel_BuiltIn_Print_Area_3">[187]EPS!#REF!</definedName>
    <definedName name="Excel_BuiltIn_Print_Area_3_1">#REF!</definedName>
    <definedName name="ExcelData\Tax\Tax3cd.xls">#REF!</definedName>
    <definedName name="exch">'[112]Capex-fixed'!#REF!</definedName>
    <definedName name="excise">'[129]Operating Statistics'!#REF!</definedName>
    <definedName name="exfactcost">'[184]HI-TARGE'!#REF!</definedName>
    <definedName name="EXGRATIA">#REF!</definedName>
    <definedName name="EXH">#REF!</definedName>
    <definedName name="EXHXV.1">[188]mancount!#REF!</definedName>
    <definedName name="EXHXVII.2">[188]PRESFMS!#REF!</definedName>
    <definedName name="Exit_Price">[121]Summary!#REF!</definedName>
    <definedName name="exit101">#REF!</definedName>
    <definedName name="EXITYEAR">#REF!</definedName>
    <definedName name="EXP">#REF!</definedName>
    <definedName name="exp_rec_99">#REF!</definedName>
    <definedName name="Expected_balance" localSheetId="10">'[59]Excess Calc'!#REF!</definedName>
    <definedName name="Expected_balance">#REF!</definedName>
    <definedName name="ExpectedGrowthbysector">'[189]10-city points'!#REF!</definedName>
    <definedName name="ExpectedMarketSize">'[189]10-city points'!#REF!</definedName>
    <definedName name="EXPENSES" localSheetId="10">#REF!</definedName>
    <definedName name="Expenses">#REF!</definedName>
    <definedName name="expensesc">'[38]NOTES '!#REF!</definedName>
    <definedName name="expensesp">'[38]NOTES '!#REF!</definedName>
    <definedName name="ExportFile">#N/A</definedName>
    <definedName name="Exreco">#REF!</definedName>
    <definedName name="Extra_Pay">#REF!</definedName>
    <definedName name="ExtraOrdItem">'[63]2. Forecast Drivers'!$E$157:$S$157</definedName>
    <definedName name="extrckcost">'[112]Capex-fixed'!#REF!</definedName>
    <definedName name="F" localSheetId="10" hidden="1">{#N/A,#N/A,FALSE,"COMP"}</definedName>
    <definedName name="F" hidden="1">'[33]SCH 10'!#REF!</definedName>
    <definedName name="F_C_PC">#REF!</definedName>
    <definedName name="F_Patel">#REF!</definedName>
    <definedName name="F1_Server">"Server Name"</definedName>
    <definedName name="F1_Server_1">"HK-CILLIN"</definedName>
    <definedName name="F1_Server_2">""</definedName>
    <definedName name="F1_Server_3">""</definedName>
    <definedName name="F1_Server_4">""</definedName>
    <definedName name="F1_Server_5">""</definedName>
    <definedName name="F1_Service">"Service "</definedName>
    <definedName name="F1_Service_1">"InterScan NT"</definedName>
    <definedName name="F1_Service_2">""</definedName>
    <definedName name="F1_Service_3">""</definedName>
    <definedName name="F1_Service_4">""</definedName>
    <definedName name="F1_Service_5">""</definedName>
    <definedName name="F1_virus_1">"1"</definedName>
    <definedName name="F1_virus_2">""</definedName>
    <definedName name="F1_virus_3">""</definedName>
    <definedName name="F1_virus_4">""</definedName>
    <definedName name="F1_virus_5">""</definedName>
    <definedName name="F3_Machine">"Machine Name"</definedName>
    <definedName name="F3_Machine_1">""</definedName>
    <definedName name="F3_Machine_2">""</definedName>
    <definedName name="F3_Machine_3">""</definedName>
    <definedName name="F3_Machine_4">""</definedName>
    <definedName name="F3_Machine_5">""</definedName>
    <definedName name="F3_Virus_1">""</definedName>
    <definedName name="F3_Virus_2">""</definedName>
    <definedName name="F3_Virus_3">""</definedName>
    <definedName name="F3_Virus_4">""</definedName>
    <definedName name="F3_Virus_5">""</definedName>
    <definedName name="FA" localSheetId="10">#REF!</definedName>
    <definedName name="FA">'[190]Fixed Assets Top Sheet- Consol'!$E$10</definedName>
    <definedName name="FA_A_PeakBal">[39]TR_FA!$G$29:$G$33</definedName>
    <definedName name="FA_B_TotalInv">[39]TR_FA!$G$42:$G$46</definedName>
    <definedName name="FA_C_TotalInv">[39]TR_FA!$E$55:$E$59</definedName>
    <definedName name="FA_D_TotalInv">[39]TR_FA!$E$68:$E$72</definedName>
    <definedName name="FA_E_PeakBalInv">[39]TR_FA!$F$81:$F$85</definedName>
    <definedName name="FA_Hist">'[63]2. Forecast Drivers'!$E$78:$S$78</definedName>
    <definedName name="FA_SCHEDULE" localSheetId="1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_SCHEDULE"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C">[118]Facility!$C$1</definedName>
    <definedName name="fac_hw">[149]factors!$C$6</definedName>
    <definedName name="fac_loc">[149]factors!$C$8</definedName>
    <definedName name="fac_sw">[149]factors!$C$7</definedName>
    <definedName name="fake">#REF!</definedName>
    <definedName name="Fatty_Acids__Price__Rs___Unit">'[71]EVA Calculations'!#REF!</definedName>
    <definedName name="Fatty_Acids__Volume__Units">'[71]EVA Calculations'!#REF!</definedName>
    <definedName name="Fatty_Alcohols__Price__Rs___Unit">'[71]EVA Calculations'!#REF!</definedName>
    <definedName name="FAX">#REF!</definedName>
    <definedName name="FBClass">#REF!</definedName>
    <definedName name="fbdfhsh">#REF!</definedName>
    <definedName name="FBT.Amt">[39]IT_DDTP!$H$30:$H$35</definedName>
    <definedName name="FBT.FormulaOfS">[39]IT_DDTP!$S$30:$S$35</definedName>
    <definedName name="FBTSection">[191]Lists!$A$61:$A$63</definedName>
    <definedName name="FBValBIF1.ValueOfFBIf1OfSchFBIisNo">[39]FRINGE_BENEFIT_INFO!$J$43</definedName>
    <definedName name="FBValBIF2N.ValueOfFBIf2OfSchFBIisNo">[39]FRINGE_BENEFIT_INFO!$J$45</definedName>
    <definedName name="FBValBIF2Y.ValueOfFBIf2OfSchFBIisYes">[39]FRINGE_BENEFIT_INFO!$J$44</definedName>
    <definedName name="FC">'[146]Assumption-II'!$S$5</definedName>
    <definedName name="FCF">'[63]3. Results'!$F$218:$AD$218</definedName>
    <definedName name="fco">[192]fco!$B$1:$AF$1</definedName>
    <definedName name="FCode" hidden="1">#REF!</definedName>
    <definedName name="fdafa" localSheetId="10" hidden="1">{#N/A,#N/A,FALSE,"COVER1.XLS ";#N/A,#N/A,FALSE,"RACT1.XLS";#N/A,#N/A,FALSE,"RACT2.XLS";#N/A,#N/A,FALSE,"ECCMP";#N/A,#N/A,FALSE,"WELDER.XLS"}</definedName>
    <definedName name="fdafa" hidden="1">{#N/A,#N/A,FALSE,"COVER1.XLS ";#N/A,#N/A,FALSE,"RACT1.XLS";#N/A,#N/A,FALSE,"RACT2.XLS";#N/A,#N/A,FALSE,"ECCMP";#N/A,#N/A,FALSE,"WELDER.XLS"}</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fd" localSheetId="10" hidden="1">{#N/A,#N/A,FALSE,"COVER.XLS";#N/A,#N/A,FALSE,"RACT1.XLS";#N/A,#N/A,FALSE,"RACT2.XLS";#N/A,#N/A,FALSE,"ECCMP";#N/A,#N/A,FALSE,"WELDER.XLS"}</definedName>
    <definedName name="fdfd" hidden="1">{#N/A,#N/A,FALSE,"COVER.XLS";#N/A,#N/A,FALSE,"RACT1.XLS";#N/A,#N/A,FALSE,"RACT2.XLS";#N/A,#N/A,FALSE,"ECCMP";#N/A,#N/A,FALSE,"WELDER.XLS"}</definedName>
    <definedName name="fdfdgdgd">#REF!</definedName>
    <definedName name="fdiccapgain">'[193]VIR CG'!#REF!</definedName>
    <definedName name="fdsfdsf">#REF!</definedName>
    <definedName name="fdwfcw" localSheetId="10" hidden="1">{#N/A,#N/A,FALSE,"COVER.XLS";#N/A,#N/A,FALSE,"RACT1.XLS";#N/A,#N/A,FALSE,"RACT2.XLS";#N/A,#N/A,FALSE,"ECCMP";#N/A,#N/A,FALSE,"WELDER.XLS"}</definedName>
    <definedName name="fdwfcw" hidden="1">{#N/A,#N/A,FALSE,"COVER.XLS";#N/A,#N/A,FALSE,"RACT1.XLS";#N/A,#N/A,FALSE,"RACT2.XLS";#N/A,#N/A,FALSE,"ECCMP";#N/A,#N/A,FALSE,"WELDER.XLS"}</definedName>
    <definedName name="fdxfds">#REF!</definedName>
    <definedName name="feas" localSheetId="10" hidden="1">{#N/A,#N/A,FALSE,"str_title";#N/A,#N/A,FALSE,"SUM";#N/A,#N/A,FALSE,"Scope";#N/A,#N/A,FALSE,"PIE-Jn";#N/A,#N/A,FALSE,"PIE-Jn_Hz";#N/A,#N/A,FALSE,"Liq_Plan";#N/A,#N/A,FALSE,"S_Curve";#N/A,#N/A,FALSE,"Liq_Prof";#N/A,#N/A,FALSE,"Man_Pwr";#N/A,#N/A,FALSE,"Man_Prof"}</definedName>
    <definedName name="feas" hidden="1">{#N/A,#N/A,FALSE,"str_title";#N/A,#N/A,FALSE,"SUM";#N/A,#N/A,FALSE,"Scope";#N/A,#N/A,FALSE,"PIE-Jn";#N/A,#N/A,FALSE,"PIE-Jn_Hz";#N/A,#N/A,FALSE,"Liq_Plan";#N/A,#N/A,FALSE,"S_Curve";#N/A,#N/A,FALSE,"Liq_Prof";#N/A,#N/A,FALSE,"Man_Pwr";#N/A,#N/A,FALSE,"Man_Prof"}</definedName>
    <definedName name="FEDTAX">'[109]MN T.B.'!$J$26</definedName>
    <definedName name="FEF">#REF!</definedName>
    <definedName name="FERMENTATION_LOSS">#REF!</definedName>
    <definedName name="FF">#REF!</definedName>
    <definedName name="FFA">'[63]2. Forecast Drivers'!$D$136</definedName>
    <definedName name="FFAPPCOLNAME1_1">[60]CRITERIA1!$F$1</definedName>
    <definedName name="FFAPPCOLNAME2_1">[60]CRITERIA1!$F$2</definedName>
    <definedName name="FFAPPCOLNAME3_1">[60]CRITERIA1!$F$3</definedName>
    <definedName name="FFAPPCOLNAME4_1">[60]CRITERIA1!$F$4</definedName>
    <definedName name="FFAPPCOLNAME5_1">[60]CRITERIA1!$F$5</definedName>
    <definedName name="FFAPPCOLNAME6_1">[60]CRITERIA1!$F$6</definedName>
    <definedName name="FFAPPCOLNAME7_1">[60]CRITERIA1!$F$7</definedName>
    <definedName name="FFAPPCOLNAME8_1">[60]CRITERIA1!$F$8</definedName>
    <definedName name="FFF">#REF!</definedName>
    <definedName name="ffff">#REF!</definedName>
    <definedName name="fffff">'[160]ANNX -II'!$B$80:$K$97</definedName>
    <definedName name="ffffffffff">'[160]ANNX -II'!$A$6:$V$37</definedName>
    <definedName name="fffffffffffffff" hidden="1">#REF!</definedName>
    <definedName name="FFFYYJ" hidden="1">#REF!</definedName>
    <definedName name="ffgf">'[112]Capex-fixed'!#REF!</definedName>
    <definedName name="FFSEGMENT1_1">[60]CRITERIA1!$D$1</definedName>
    <definedName name="FFSEGMENT2_1">[60]CRITERIA1!$D$2</definedName>
    <definedName name="FFSEGMENT3_1">[60]CRITERIA1!$D$3</definedName>
    <definedName name="FFSEGMENT4_1">[60]CRITERIA1!$D$4</definedName>
    <definedName name="FFSEGMENT5_1">[60]CRITERIA1!$D$5</definedName>
    <definedName name="FFSEGMENT6_1">[60]CRITERIA1!$D$6</definedName>
    <definedName name="FFSEGMENT7_1">[60]CRITERIA1!$D$7</definedName>
    <definedName name="FFSEGMENT8_1">[60]CRITERIA1!$D$8</definedName>
    <definedName name="FFSEGSEPARATOR1">[60]CRITERIA1!$B$17</definedName>
    <definedName name="fg">#REF!</definedName>
    <definedName name="fgdgchjgd">#REF!</definedName>
    <definedName name="fgff">'[112]Capex-fixed'!#REF!</definedName>
    <definedName name="Fgoods">#REF!</definedName>
    <definedName name="fgvdata">#REF!</definedName>
    <definedName name="Fhandling">[62]Assumptions!$D$61</definedName>
    <definedName name="FHandling_Base">#REF!</definedName>
    <definedName name="FHandling_SEN">#REF!</definedName>
    <definedName name="FHDFDFH" hidden="1">#REF!</definedName>
    <definedName name="FIELDNAMECOLUMN1">[60]CRITERIA1!$B$26</definedName>
    <definedName name="FIELDNAMEROW1">[60]CRITERIA1!$B$25</definedName>
    <definedName name="Figure_1_Comment">""</definedName>
    <definedName name="Figure_1_Head">"Virus Entry Point Analysis ( Server )"</definedName>
    <definedName name="Figure_2_Head">"Overall Score"</definedName>
    <definedName name="Figure_3_Comment">""</definedName>
    <definedName name="Figure_3_Head">"Virus Entry Point Analysis ( Client )"</definedName>
    <definedName name="Figure_4_Comment">" 
"</definedName>
    <definedName name="Figure_4_Head">"Daily Virus Count"</definedName>
    <definedName name="Figure_5_Comment">" 
"</definedName>
    <definedName name="Figure_5_Head">"Virus Type Analysis"</definedName>
    <definedName name="Figure_6_Comment">" 
"</definedName>
    <definedName name="Figure_6_Head">"Common Viruses"</definedName>
    <definedName name="Figure_7_Comment">" 
"</definedName>
    <definedName name="Figure_7_Head">"Virus Source Analysis"</definedName>
    <definedName name="Figure_8_Comment">" 
"</definedName>
    <definedName name="Figure_8_Head">"Virus Destination Analysis"</definedName>
    <definedName name="FileServer">"File Server"</definedName>
    <definedName name="FileServer_Grade">"C"</definedName>
    <definedName name="fill" hidden="1">'[194]Sheet3 (2)'!$A$60:$A$76</definedName>
    <definedName name="FIN" localSheetId="10">#REF!</definedName>
    <definedName name="Fin">[152]Lrnet_Inftch!#REF!</definedName>
    <definedName name="final_true">[82]Assumptions!$A$2</definedName>
    <definedName name="FINALPBT">[39]BP!$P$6</definedName>
    <definedName name="FinCharge">[162]Assumptions!$B$25</definedName>
    <definedName name="fine">#REF!</definedName>
    <definedName name="FIRE">#N/A</definedName>
    <definedName name="First_Loss_Macro">[195]Macro1!$B$2</definedName>
    <definedName name="First_payment_due">'[80]FITZ MORT 94'!$C$10</definedName>
    <definedName name="FIRSTDATAROW1">[60]CRITERIA1!$B$27</definedName>
    <definedName name="FirstYear" localSheetId="10">[77]Introduction!#REF!</definedName>
    <definedName name="FIRSTYEAR">'[196]ADAMYA FINAL SHEET'!#REF!</definedName>
    <definedName name="fix" localSheetId="1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x"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xedAssets" localSheetId="1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Assets"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LAG7A7B7C">[39]BP!$P$4</definedName>
    <definedName name="FLEASES">'[68]YE-SW2'!$IM$8159</definedName>
    <definedName name="FNDNAM1">[60]CRITERIA1!$B$12</definedName>
    <definedName name="FNDUSERID1">[60]CRITERIA1!$B$15</definedName>
    <definedName name="FOMR3CD..10">#REF!</definedName>
    <definedName name="FORECAST" localSheetId="10">#REF!</definedName>
    <definedName name="forecast">#REF!</definedName>
    <definedName name="Foreclosure_Costs">[121]Summary!#REF!</definedName>
    <definedName name="forecourt_staff_urban">#REF!</definedName>
    <definedName name="FOREX">[62]Assumptions!$C$241</definedName>
    <definedName name="Forex_Base">#REF!</definedName>
    <definedName name="Forex_SEN">#REF!</definedName>
    <definedName name="FORM3CD..1">#REF!</definedName>
    <definedName name="FORM3CD..11">#REF!</definedName>
    <definedName name="FORM3CD..2">#REF!</definedName>
    <definedName name="FORM3CD..3">#REF!</definedName>
    <definedName name="FORM3CD..4">#REF!</definedName>
    <definedName name="FORM3CD..5">#REF!</definedName>
    <definedName name="FORM3CD..6">#REF!</definedName>
    <definedName name="FORM3CD..7">#REF!</definedName>
    <definedName name="FORM3CD..8">#REF!</definedName>
    <definedName name="FORM3CD..9">#REF!</definedName>
    <definedName name="FORM4B1" localSheetId="10" hidden="1">{#N/A,#N/A,TRUE,"Cover";#N/A,#N/A,TRUE,"Results-Summ";#N/A,#N/A,TRUE,"Top10-FP";#N/A,#N/A,TRUE,"3MthFor";#N/A,#N/A,TRUE,"Bus-Dev";#N/A,#N/A,TRUE,"Top5-Dai";#N/A,#N/A,TRUE,"Top5-ICR";#N/A,#N/A,TRUE,"Top5-EFats";#N/A,#N/A,TRUE,"Top5-OP"}</definedName>
    <definedName name="FORM4B1" hidden="1">{#N/A,#N/A,TRUE,"Cover";#N/A,#N/A,TRUE,"Results-Summ";#N/A,#N/A,TRUE,"Top10-FP";#N/A,#N/A,TRUE,"3MthFor";#N/A,#N/A,TRUE,"Bus-Dev";#N/A,#N/A,TRUE,"Top5-Dai";#N/A,#N/A,TRUE,"Top5-ICR";#N/A,#N/A,TRUE,"Top5-EFats";#N/A,#N/A,TRUE,"Top5-OP"}</definedName>
    <definedName name="Format" localSheetId="10">#REF!</definedName>
    <definedName name="Format">#REF!</definedName>
    <definedName name="Format_1">#REF!</definedName>
    <definedName name="FormatStringTable">[130]ReportsParameters!$A$50:$E$55</definedName>
    <definedName name="FORMIV_">#REF!</definedName>
    <definedName name="FormulaOfQ">[39]IT_DDTP!$T$4:$T$9</definedName>
    <definedName name="FormulaOfQF">[39]IT_DDTP!$T$30:$T$35</definedName>
    <definedName name="FormulaOfSat">[39]IT_DDTP!$U$4:$U$9</definedName>
    <definedName name="FormulaOfSATF">[39]IT_DDTP!$U$30:$U$35</definedName>
    <definedName name="FormulaofSI">[39]SI!$L$12:$L$21</definedName>
    <definedName name="FORMV">#REF!</definedName>
    <definedName name="FOUR">'[197]CAPITAL (2)'!#REF!</definedName>
    <definedName name="fr" hidden="1">#REF!</definedName>
    <definedName name="FRAN">#REF!</definedName>
    <definedName name="FRANCE">#REF!</definedName>
    <definedName name="freaetfa"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freaetfa"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FREIGHT">#REF!</definedName>
    <definedName name="fresh_debt_calc">'[65]FUNDING REQT_11.2'!$E$49</definedName>
    <definedName name="fresh_debt_pasted">'[65]FUNDING REQT_11.2'!$E$50</definedName>
    <definedName name="fresh_rtl_check">[198]Assumptions!$A$93</definedName>
    <definedName name="fresh_rtl_copy">[198]Assumptions!$C$92</definedName>
    <definedName name="fresh_rtl_paste">[198]Assumptions!$C$93</definedName>
    <definedName name="FRGHT">[199]TB9899!#REF!</definedName>
    <definedName name="fsa" localSheetId="10" hidden="1">{#N/A,#N/A,FALSE,"str_title";#N/A,#N/A,FALSE,"SUM";#N/A,#N/A,FALSE,"Scope";#N/A,#N/A,FALSE,"PIE-Jn";#N/A,#N/A,FALSE,"PIE-Jn_Hz";#N/A,#N/A,FALSE,"Liq_Plan";#N/A,#N/A,FALSE,"S_Curve";#N/A,#N/A,FALSE,"Liq_Prof";#N/A,#N/A,FALSE,"Man_Pwr";#N/A,#N/A,FALSE,"Man_Prof"}</definedName>
    <definedName name="fsa" hidden="1">{#N/A,#N/A,FALSE,"str_title";#N/A,#N/A,FALSE,"SUM";#N/A,#N/A,FALSE,"Scope";#N/A,#N/A,FALSE,"PIE-Jn";#N/A,#N/A,FALSE,"PIE-Jn_Hz";#N/A,#N/A,FALSE,"Liq_Plan";#N/A,#N/A,FALSE,"S_Curve";#N/A,#N/A,FALSE,"Liq_Prof";#N/A,#N/A,FALSE,"Man_Pwr";#N/A,#N/A,FALSE,"Man_Prof"}</definedName>
    <definedName name="fsa_coal_esc">[200]Assumptions!$D$46</definedName>
    <definedName name="fsd">#REF!</definedName>
    <definedName name="FSI.BusinessIncome">[39]FSI!$F$8:$F$12</definedName>
    <definedName name="FSI.CapGainIncome">[39]FSI!$G$8:$G$12</definedName>
    <definedName name="FSI.IncomeFromHP">[39]FSI!$E$8:$E$12</definedName>
    <definedName name="FSI.OtherSourceIncome">[39]FSI!$H$8:$H$12</definedName>
    <definedName name="FSI.TotalIncome">[39]FSI!$I$8:$I$12</definedName>
    <definedName name="FSI.TotalIncomeGTotal">[39]FSI!$I$13</definedName>
    <definedName name="FSI.TotalIncomeOutIndia">[39]FSI!$I$16</definedName>
    <definedName name="FSI.TotalIncomeOutIndiaDTAAAppli">[39]FSI!$I$17</definedName>
    <definedName name="fspsubscribersperE1">#REF!</definedName>
    <definedName name="fssdzfzsdffzsdf">#REF!</definedName>
    <definedName name="FST">#REF!</definedName>
    <definedName name="FT">#REF!</definedName>
    <definedName name="FTZA10.DedFromUndertaking">'[39]10A'!$F$11:$F$11</definedName>
    <definedName name="FTZA10.TotalDedUs10Sub">'[39]10A'!$H$12</definedName>
    <definedName name="FUEL">[62]Assumptions!$D$59</definedName>
    <definedName name="Fuel_Base">#REF!</definedName>
    <definedName name="Fuel_Exp_CY">#REF!</definedName>
    <definedName name="Fuel_Exp_EY">#REF!</definedName>
    <definedName name="Fuel_Exp_PY">#REF!</definedName>
    <definedName name="FUEL_SEN">#REF!</definedName>
    <definedName name="full">#REF!</definedName>
    <definedName name="Full_Print">#REF!</definedName>
    <definedName name="FULLCOMPANY">#REF!</definedName>
    <definedName name="FUNCTIONALCURRENCY1">[60]CRITERIA1!$B$33</definedName>
    <definedName name="fund">#REF!</definedName>
    <definedName name="Fund_Summary">#REF!</definedName>
    <definedName name="FUNDFLOW">#REF!</definedName>
    <definedName name="FURNITURE___FIXTURE">#REF!</definedName>
    <definedName name="Furnitures">#REF!</definedName>
    <definedName name="Future_Options">'[63]2. Forecast Drivers'!$D$146</definedName>
    <definedName name="Fx" localSheetId="10">[62]Input!$D$38</definedName>
    <definedName name="fx">'[201]Model- As is'!$F$3</definedName>
    <definedName name="Fx_Base">#REF!</definedName>
    <definedName name="Fx_SEN">#REF!</definedName>
    <definedName name="fx_usd">[139]Assumptions!$C$37</definedName>
    <definedName name="fxsgd">[42]Assumptions!#REF!</definedName>
    <definedName name="fxus">[42]Assumptions!#REF!</definedName>
    <definedName name="FY" localSheetId="10">'[63]2. Forecast Drivers'!$E$340</definedName>
    <definedName name="FY">#REF!</definedName>
    <definedName name="FYEnd" localSheetId="10">[77]Introduction!#REF!</definedName>
    <definedName name="FYEND">#REF!</definedName>
    <definedName name="FYMonths">[130]ReportsParameters!$B$42</definedName>
    <definedName name="g" localSheetId="10" hidden="1">[202]SUMMARY!$E$64:$H$64</definedName>
    <definedName name="g">#REF!</definedName>
    <definedName name="g_1">[39]Calculator!$Q$9</definedName>
    <definedName name="g_1F">[39]Calculator!$Q$15</definedName>
    <definedName name="g_2">[39]Calculator!$Q$10</definedName>
    <definedName name="g_2F">[39]Calculator!$Q$16</definedName>
    <definedName name="g_3">[39]Calculator!$Q$11</definedName>
    <definedName name="g_3F">[39]Calculator!$Q$17</definedName>
    <definedName name="g_4">[39]Calculator!$Q$12</definedName>
    <definedName name="g_4F">[39]Calculator!$Q$18</definedName>
    <definedName name="g_5">[39]Calculator!$Q$13</definedName>
    <definedName name="g_5F">[39]Calculator!$Q$19</definedName>
    <definedName name="G_Dang">#REF!</definedName>
    <definedName name="gaga">#REF!</definedName>
    <definedName name="gahZh">#REF!</definedName>
    <definedName name="gajkahuah">#REF!</definedName>
    <definedName name="gasgdskhdu">#REF!,#REF!</definedName>
    <definedName name="gbdsg" localSheetId="10" hidden="1">{#N/A,#N/A,FALSE,"str_title";#N/A,#N/A,FALSE,"SUM";#N/A,#N/A,FALSE,"Scope";#N/A,#N/A,FALSE,"PIE-Jn";#N/A,#N/A,FALSE,"PIE-Jn_Hz";#N/A,#N/A,FALSE,"Liq_Plan";#N/A,#N/A,FALSE,"S_Curve";#N/A,#N/A,FALSE,"Liq_Prof";#N/A,#N/A,FALSE,"Man_Pwr";#N/A,#N/A,FALSE,"Man_Prof"}</definedName>
    <definedName name="gbdsg" hidden="1">{#N/A,#N/A,FALSE,"str_title";#N/A,#N/A,FALSE,"SUM";#N/A,#N/A,FALSE,"Scope";#N/A,#N/A,FALSE,"PIE-Jn";#N/A,#N/A,FALSE,"PIE-Jn_Hz";#N/A,#N/A,FALSE,"Liq_Plan";#N/A,#N/A,FALSE,"S_Curve";#N/A,#N/A,FALSE,"Liq_Prof";#N/A,#N/A,FALSE,"Man_Pwr";#N/A,#N/A,FALSE,"Man_Prof"}</definedName>
    <definedName name="GDF" localSheetId="10" hidden="1">{#N/A,#N/A,FALSE,"COMP"}</definedName>
    <definedName name="GDF" hidden="1">{#N/A,#N/A,FALSE,"COMP"}</definedName>
    <definedName name="GDFA" localSheetId="10" hidden="1">{#N/A,#N/A,FALSE,"COMP"}</definedName>
    <definedName name="GDFA" hidden="1">{#N/A,#N/A,FALSE,"COMP"}</definedName>
    <definedName name="gdgfg">#REF!,#REF!</definedName>
    <definedName name="GDTubecost">'[112]Capex-fixed'!#REF!</definedName>
    <definedName name="genandadmin">#REF!</definedName>
    <definedName name="General_Inputs_Target">'[203]A-General'!#REF!</definedName>
    <definedName name="GERM">#REF!</definedName>
    <definedName name="GERMANY">#REF!</definedName>
    <definedName name="gf">#REF!</definedName>
    <definedName name="gfff">'[204]Factors-overall'!#REF!</definedName>
    <definedName name="gfg">#REF!</definedName>
    <definedName name="gfjh">'[112]Capex-fixed'!#REF!</definedName>
    <definedName name="gg" localSheetId="10" hidden="1">{#N/A,#N/A,FALSE,"COVER1.XLS ";#N/A,#N/A,FALSE,"RACT1.XLS";#N/A,#N/A,FALSE,"RACT2.XLS";#N/A,#N/A,FALSE,"ECCMP";#N/A,#N/A,FALSE,"WELDER.XLS"}</definedName>
    <definedName name="gg" hidden="1">{#N/A,#N/A,FALSE,"COVER1.XLS ";#N/A,#N/A,FALSE,"RACT1.XLS";#N/A,#N/A,FALSE,"RACT2.XLS";#N/A,#N/A,FALSE,"ECCMP";#N/A,#N/A,FALSE,"WELDER.XLS"}</definedName>
    <definedName name="GG6_">#REF!</definedName>
    <definedName name="ggfcgf">'[112]Capex-fixed'!#REF!</definedName>
    <definedName name="GGG" localSheetId="1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GGG">GGG</definedName>
    <definedName name="ggggg" localSheetId="1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ggggg"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gggggg">'[160]ANNX -II'!$X$20:$AG$41</definedName>
    <definedName name="gh" hidden="1">#REF!</definedName>
    <definedName name="ghghgh">'[112]Capex-fixed'!#REF!</definedName>
    <definedName name="ghh" hidden="1">#REF!</definedName>
    <definedName name="ghhfh">#REF!</definedName>
    <definedName name="GHHHHHH">#REF!</definedName>
    <definedName name="ghjjkh">'[112]Capex-fixed'!#REF!</definedName>
    <definedName name="Giftlogo">#REF!</definedName>
    <definedName name="Giftnonlogo1">#REF!</definedName>
    <definedName name="Giftnonlogo2">#REF!</definedName>
    <definedName name="GINPUT">[110]Financials!#REF!</definedName>
    <definedName name="GIpipecost">'[112]Capex-fixed'!#REF!</definedName>
    <definedName name="GIpipelength">'[112]Capex-fixed'!#REF!</definedName>
    <definedName name="GITA_DANG">#REF!</definedName>
    <definedName name="Glycerine__Price__Rs___Unit">'[71]EVA Calculations'!#REF!</definedName>
    <definedName name="Glycerine__Volume__Units">'[71]EVA Calculations'!#REF!</definedName>
    <definedName name="goatrial">#REF!</definedName>
    <definedName name="GoCallbackImpact">[110]!GoCallbackImpact</definedName>
    <definedName name="GoDCFValuation">[110]!GoDCFValuation</definedName>
    <definedName name="GoFixedTelAcqCosts">[110]!GoFixedTelAcqCosts</definedName>
    <definedName name="GoFixedTelBusMarket">[110]!GoFixedTelBusMarket</definedName>
    <definedName name="GoFixedTelHanMarket">[110]!GoFixedTelHanMarket</definedName>
    <definedName name="GoFixedTelHanRev">[110]!GoFixedTelHanRev</definedName>
    <definedName name="GoFixedTelMarketAss">[110]!GoFixedTelMarketAss</definedName>
    <definedName name="GoFixedTelPrices">[110]!GoFixedTelPrices</definedName>
    <definedName name="GoFixedTelResMarket">[110]!GoFixedTelResMarket</definedName>
    <definedName name="GoHanADCRev">[110]!GoHanADCRev</definedName>
    <definedName name="GoHanComputerRev">[110]!GoHanComputerRev</definedName>
    <definedName name="GoHanDataRev">[110]!GoHanDataRev</definedName>
    <definedName name="GoHanFinancials">[110]!GoHanFinancials</definedName>
    <definedName name="GoHanIMSRev">[110]!GoHanIMSRev</definedName>
    <definedName name="GoHanINSRev">[110]!GoHanINSRev</definedName>
    <definedName name="GoHanInternetRev">[110]!GoHanInternetRev</definedName>
    <definedName name="GoHanLLRev">[110]!GoHanLLRev</definedName>
    <definedName name="GoHanPagingRev">[110]!GoHanPagingRev</definedName>
    <definedName name="GoHanSettlementRev">[110]!GoHanSettlementRev</definedName>
    <definedName name="GoHanTotalRev">[110]!GoHanTotalRev</definedName>
    <definedName name="GoHanVASRev">[110]!GoHanVASRev</definedName>
    <definedName name="GoIntercoHanCosts">[110]!GoIntercoHanCosts</definedName>
    <definedName name="GoIntercoHanRev">[110]!GoIntercoHanRev</definedName>
    <definedName name="GoIntercoHanVolume">[110]!GoIntercoHanVolume</definedName>
    <definedName name="GoMobileOne">[110]!GoMobileOne</definedName>
    <definedName name="GoMobTelBusMarket">[110]!GoMobTelBusMarket</definedName>
    <definedName name="GoMobTelHanMarket">[110]!GoMobTelHanMarket</definedName>
    <definedName name="GoMobTelHanMarketShare">[110]!GoMobTelHanMarketShare</definedName>
    <definedName name="GoMobTelHanPriceAss">[110]!GoMobTelHanPriceAss</definedName>
    <definedName name="GoMobTelHanRev">[110]!GoMobTelHanRev</definedName>
    <definedName name="GoMobTelMarketAss">[110]!GoMobTelMarketAss</definedName>
    <definedName name="GoMobTelPrices">[110]!GoMobTelPrices</definedName>
    <definedName name="GoMobTelResMarket">[110]!GoMobTelResMarket</definedName>
    <definedName name="GOODWILL">#REF!</definedName>
    <definedName name="GOODWILL為替">[205]AFFI内訳!#REF!</definedName>
    <definedName name="gopi" localSheetId="10" hidden="1">{#N/A,#N/A,FALSE,"consu_cover";#N/A,#N/A,FALSE,"consu_strategy";#N/A,#N/A,FALSE,"consu_flow";#N/A,#N/A,FALSE,"Summary_reqmt";#N/A,#N/A,FALSE,"field_ppg";#N/A,#N/A,FALSE,"ppg_shop";#N/A,#N/A,FALSE,"strl";#N/A,#N/A,FALSE,"tankages";#N/A,#N/A,FALSE,"gases"}</definedName>
    <definedName name="gopi" hidden="1">{#N/A,#N/A,FALSE,"consu_cover";#N/A,#N/A,FALSE,"consu_strategy";#N/A,#N/A,FALSE,"consu_flow";#N/A,#N/A,FALSE,"Summary_reqmt";#N/A,#N/A,FALSE,"field_ppg";#N/A,#N/A,FALSE,"ppg_shop";#N/A,#N/A,FALSE,"strl";#N/A,#N/A,FALSE,"tankages";#N/A,#N/A,FALSE,"gases"}</definedName>
    <definedName name="GoScenarios">[110]!GoScenarios</definedName>
    <definedName name="GoTelMarketShareAss">[110]!GoTelMarketShareAss</definedName>
    <definedName name="GoTotalCosts">[110]!GoTotalCosts</definedName>
    <definedName name="gouke">#REF!</definedName>
    <definedName name="GPCatchup">[66]Assumptions!$C$54</definedName>
    <definedName name="gr" localSheetId="10" hidden="1">{#N/A,#N/A,FALSE,"COVER.XLS";#N/A,#N/A,FALSE,"RACT1.XLS";#N/A,#N/A,FALSE,"RACT2.XLS";#N/A,#N/A,FALSE,"ECCMP";#N/A,#N/A,FALSE,"WELDER.XLS"}</definedName>
    <definedName name="gr" hidden="1">{#N/A,#N/A,FALSE,"COVER.XLS";#N/A,#N/A,FALSE,"RACT1.XLS";#N/A,#N/A,FALSE,"RACT2.XLS";#N/A,#N/A,FALSE,"ECCMP";#N/A,#N/A,FALSE,"WELDER.XLS"}</definedName>
    <definedName name="Grade">"C"</definedName>
    <definedName name="Grade_Level">"Grade "</definedName>
    <definedName name="Grand_Total">#REF!</definedName>
    <definedName name="GROBAL_RENTAL">#REF!</definedName>
    <definedName name="gross_block_99">#REF!</definedName>
    <definedName name="Gross_Margin___Rs_M">#REF!</definedName>
    <definedName name="gross_sales">#REF!</definedName>
    <definedName name="gross_sales_98">#REF!</definedName>
    <definedName name="gross_sales_99">#REF!</definedName>
    <definedName name="GrossFA">[87]List_ratios!#REF!</definedName>
    <definedName name="GROSSPFT">#REF!</definedName>
    <definedName name="Group">#REF!</definedName>
    <definedName name="Group4">[26]!Group4</definedName>
    <definedName name="GroupData">#REF!</definedName>
    <definedName name="Grouped">'[206]trial (2)'!$B$173:$C$228</definedName>
    <definedName name="groupings">#REF!</definedName>
    <definedName name="Growth">#REF!</definedName>
    <definedName name="GRPDATA">[207]consol!$A$1:$G$386</definedName>
    <definedName name="gsfds" localSheetId="1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gs" localSheetId="10" hidden="1">{#N/A,#N/A,FALSE,"str_title";#N/A,#N/A,FALSE,"SUM";#N/A,#N/A,FALSE,"Scope";#N/A,#N/A,FALSE,"PIE-Jn";#N/A,#N/A,FALSE,"PIE-Jn_Hz";#N/A,#N/A,FALSE,"Liq_Plan";#N/A,#N/A,FALSE,"S_Curve";#N/A,#N/A,FALSE,"Liq_Prof";#N/A,#N/A,FALSE,"Man_Pwr";#N/A,#N/A,FALSE,"Man_Prof"}</definedName>
    <definedName name="gsgs" hidden="1">{#N/A,#N/A,FALSE,"str_title";#N/A,#N/A,FALSE,"SUM";#N/A,#N/A,FALSE,"Scope";#N/A,#N/A,FALSE,"PIE-Jn";#N/A,#N/A,FALSE,"PIE-Jn_Hz";#N/A,#N/A,FALSE,"Liq_Plan";#N/A,#N/A,FALSE,"S_Curve";#N/A,#N/A,FALSE,"Liq_Prof";#N/A,#N/A,FALSE,"Man_Pwr";#N/A,#N/A,FALSE,"Man_Prof"}</definedName>
    <definedName name="gshjgshgs">#REF!</definedName>
    <definedName name="gt" localSheetId="10" hidden="1">{#N/A,#N/A,FALSE,"str_title";#N/A,#N/A,FALSE,"SUM";#N/A,#N/A,FALSE,"Scope";#N/A,#N/A,FALSE,"PIE-Jn";#N/A,#N/A,FALSE,"PIE-Jn_Hz";#N/A,#N/A,FALSE,"Liq_Plan";#N/A,#N/A,FALSE,"S_Curve";#N/A,#N/A,FALSE,"Liq_Prof";#N/A,#N/A,FALSE,"Man_Pwr";#N/A,#N/A,FALSE,"Man_Prof"}</definedName>
    <definedName name="gt" hidden="1">{#N/A,#N/A,FALSE,"str_title";#N/A,#N/A,FALSE,"SUM";#N/A,#N/A,FALSE,"Scope";#N/A,#N/A,FALSE,"PIE-Jn";#N/A,#N/A,FALSE,"PIE-Jn_Hz";#N/A,#N/A,FALSE,"Liq_Plan";#N/A,#N/A,FALSE,"S_Curve";#N/A,#N/A,FALSE,"Liq_Prof";#N/A,#N/A,FALSE,"Man_Pwr";#N/A,#N/A,FALSE,"Man_Prof"}</definedName>
    <definedName name="GTAX1">[39]Calculator!$AK$48</definedName>
    <definedName name="GTAX3">[39]Calculator!$AK$50</definedName>
    <definedName name="GTAX4">[39]Calculator!$AK$51</definedName>
    <definedName name="GTAX5">[39]Calculator!$AK$52</definedName>
    <definedName name="GTLS">[39]Calculator!$D$26</definedName>
    <definedName name="Guangzhou" localSheetId="10">{"Client Name or Project Name"}</definedName>
    <definedName name="Guangzhou">{"Client Name or Project Name"}</definedName>
    <definedName name="gurudhan" hidden="1">#REF!</definedName>
    <definedName name="GW_Amort">'[63]2. Forecast Drivers'!$E$83:$S$83</definedName>
    <definedName name="GW_Bal">'[63]2. Forecast Drivers'!$E$84:$S$84</definedName>
    <definedName name="GW_Cash">'[63]2. Forecast Drivers'!$E$82:$S$82</definedName>
    <definedName name="GW_Cum">'[63]3. Results'!$E$181:$S$181</definedName>
    <definedName name="GW_Init">'[63]2. Forecast Drivers'!$D$85</definedName>
    <definedName name="GW_Writeoff">'[63]2. Forecast Drivers'!$E$244:$S$244</definedName>
    <definedName name="GWTable">'[114]GW-Bud'!$A$11:$Y$133</definedName>
    <definedName name="GWYUID1">[60]CRITERIA1!$B$13</definedName>
    <definedName name="gydgdg">#REF!,#REF!</definedName>
    <definedName name="Gyoshu1">[208]業種小分類!$A$1:$O$142</definedName>
    <definedName name="Gyoshu2">[208]業種大分類!$A$1:$O$16</definedName>
    <definedName name="gytuy">#REF!</definedName>
    <definedName name="h" localSheetId="10" hidden="1">[202]SUMMARY!$E$64:$H$64</definedName>
    <definedName name="h">#REF!</definedName>
    <definedName name="h_1">[39]Calculator!$R$9</definedName>
    <definedName name="h_1F">[39]Calculator!$R$15</definedName>
    <definedName name="h_2">[39]Calculator!$R$10</definedName>
    <definedName name="h_2F">[39]Calculator!$R$16</definedName>
    <definedName name="h_3">[39]Calculator!$R$11</definedName>
    <definedName name="h_3F">[39]Calculator!$R$17</definedName>
    <definedName name="h_4">[39]Calculator!$R$12</definedName>
    <definedName name="h_4F">[39]Calculator!$R$18</definedName>
    <definedName name="h_5">[39]Calculator!$R$13</definedName>
    <definedName name="h_5F">[39]Calculator!$R$19</definedName>
    <definedName name="hahshuis">#REF!</definedName>
    <definedName name="hai">'[209]Dept-Grade-22-02-02(FINAL)'!$G$10:$AS$645</definedName>
    <definedName name="Haifu_Execute">[210]!Haifu_Execute</definedName>
    <definedName name="Haifu_Execute2" localSheetId="10">'Depreciation Schedule'!Haifu_Execute2</definedName>
    <definedName name="Haifu_Execute2">Haifu_Execute2</definedName>
    <definedName name="Haifu_NumberEdit">[210]!Haifu_NumberEdit</definedName>
    <definedName name="Haifu_NumberEdit2" localSheetId="10">'Depreciation Schedule'!Haifu_NumberEdit2</definedName>
    <definedName name="Haifu_NumberEdit2">Haifu_NumberEdit2</definedName>
    <definedName name="halol">[211]HALOL!$A$10:$D$182</definedName>
    <definedName name="hap" localSheetId="10" hidden="1">{#N/A,#N/A,FALSE,"COVER1.XLS ";#N/A,#N/A,FALSE,"RACT1.XLS";#N/A,#N/A,FALSE,"RACT2.XLS";#N/A,#N/A,FALSE,"ECCMP";#N/A,#N/A,FALSE,"WELDER.XLS"}</definedName>
    <definedName name="hap" hidden="1">{#N/A,#N/A,FALSE,"COVER1.XLS ";#N/A,#N/A,FALSE,"RACT1.XLS";#N/A,#N/A,FALSE,"RACT2.XLS";#N/A,#N/A,FALSE,"ECCMP";#N/A,#N/A,FALSE,"WELDER.XLS"}</definedName>
    <definedName name="hardsurfacecutcost">'[112]Capex-fixed'!#REF!</definedName>
    <definedName name="HArea">#REF!</definedName>
    <definedName name="hasnain">#REF!</definedName>
    <definedName name="HCost">#REF!</definedName>
    <definedName name="HDFC">'[16]HDFC-278'!$E$25</definedName>
    <definedName name="hdhdjh">#REF!</definedName>
    <definedName name="HDP">[113]HDP!$A$1:$M$68</definedName>
    <definedName name="HDPE40mmcost">'[112]Capex-fixed'!#REF!</definedName>
    <definedName name="head">#REF!</definedName>
    <definedName name="Header" localSheetId="10">#REF!</definedName>
    <definedName name="Header">#REF!</definedName>
    <definedName name="Header_Row">ROW(#REF!)</definedName>
    <definedName name="Header1" hidden="1">IF(COUNTA(#REF!)=0,0,INDEX(#REF!,MATCH(ROW(#REF!),#REF!,TRUE)))+1</definedName>
    <definedName name="Header2" hidden="1">#REF!-1 &amp; "." &amp; MAX(1,COUNTA(INDEX(#REF!,MATCH(#REF!-1,#REF!,FALSE)):#REF!))</definedName>
    <definedName name="Header3Find" hidden="1">MID(#REF!,1,FIND(".",#REF!,1))&amp;MID(#REF!,FIND(".",#REF!,1)+1,LEN(#REF!))-1</definedName>
    <definedName name="heading">[38]INFO!$B$2</definedName>
    <definedName name="HeadOfficeTable">'[114]Head Office-Bud'!$A$11:$Y$133</definedName>
    <definedName name="headquarters">#REF!</definedName>
    <definedName name="HEATING_LOSS_CONF.BISC.">#REF!</definedName>
    <definedName name="hgbh" localSheetId="10" hidden="1">{#N/A,#N/A,FALSE,"COVER1.XLS ";#N/A,#N/A,FALSE,"RACT1.XLS";#N/A,#N/A,FALSE,"RACT2.XLS";#N/A,#N/A,FALSE,"ECCMP";#N/A,#N/A,FALSE,"WELDER.XLS"}</definedName>
    <definedName name="hgbh" hidden="1">{#N/A,#N/A,FALSE,"COVER1.XLS ";#N/A,#N/A,FALSE,"RACT1.XLS";#N/A,#N/A,FALSE,"RACT2.XLS";#N/A,#N/A,FALSE,"ECCMP";#N/A,#N/A,FALSE,"WELDER.XLS"}</definedName>
    <definedName name="hgtfhdh">'[212]04REL'!#REF!</definedName>
    <definedName name="hh" localSheetId="10" hidden="1">{#N/A,#N/A,TRUE,"Sheet1"}</definedName>
    <definedName name="hh" hidden="1">{#N/A,#N/A,TRUE,"Sheet1"}</definedName>
    <definedName name="hhh" localSheetId="10"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hhh"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hhhuh">#REF!</definedName>
    <definedName name="hHzhzh">#REF!</definedName>
    <definedName name="HiddenRows" hidden="1">#REF!</definedName>
    <definedName name="hifac">'[178]Factor- cables'!$B$29</definedName>
    <definedName name="High">'[63]2. Forecast Drivers'!$D$18</definedName>
    <definedName name="HIRE_1">#REF!</definedName>
    <definedName name="HIRE_2">#REF!</definedName>
    <definedName name="HIRE_3">#REF!</definedName>
    <definedName name="HIRE_4">#REF!</definedName>
    <definedName name="HIRE_MAIN">#REF!</definedName>
    <definedName name="HistForc">#REF!</definedName>
    <definedName name="hjkbu">'[112]Capex-fixed'!#REF!</definedName>
    <definedName name="HK">#REF!</definedName>
    <definedName name="hkbhi">'[112]Capex-fixed'!#REF!</definedName>
    <definedName name="hmpl_paste">[65]Sensitivity!$C$33</definedName>
    <definedName name="hn.ExtDb" hidden="1">FALSE</definedName>
    <definedName name="hn.ModelType" hidden="1">"DEAL"</definedName>
    <definedName name="hn.ModelVersion" hidden="1">1</definedName>
    <definedName name="hn.NoUpload" hidden="1">0</definedName>
    <definedName name="HNG">#REF!</definedName>
    <definedName name="ho" hidden="1">[24]SUMMARY!$E$64:$H$64</definedName>
    <definedName name="HOLL">#REF!</definedName>
    <definedName name="HOLLAND">#REF!</definedName>
    <definedName name="HOTEL_ASSETS">'[109]MN T.B.'!$A$66:$H$112</definedName>
    <definedName name="HOTEL_ERN">'[109]MN T.B.'!$A$13:$H$65</definedName>
    <definedName name="HOTEL_LIAB">'[109]MN T.B.'!$A$115:$H$157</definedName>
    <definedName name="HOTEL1">'[109]MN T.B.'!$A$5:$H$156</definedName>
    <definedName name="HP.AddrDetail1">#REF!</definedName>
    <definedName name="HP.AddrDetail2">#REF!</definedName>
    <definedName name="HP.AddrDetail3">#REF!</definedName>
    <definedName name="HP.AddrDetail4">#REF!</definedName>
    <definedName name="HP.AddrDetail5">#REF!</definedName>
    <definedName name="HP.AddrDetail6">#REF!</definedName>
    <definedName name="HP.AddrDetail7">#REF!</definedName>
    <definedName name="HP.AddrDetail8">#REF!</definedName>
    <definedName name="HP.AddrDetail9">#REF!</definedName>
    <definedName name="HP.AnnualLetableValue1">#REF!</definedName>
    <definedName name="HP.AnnualLetableValue2">#REF!</definedName>
    <definedName name="HP.AnnualLetableValue3">#REF!</definedName>
    <definedName name="HP.AnnualLetableValue4">#REF!</definedName>
    <definedName name="HP.AnnualLetableValue5">#REF!</definedName>
    <definedName name="HP.AnnualLetableValue6">#REF!</definedName>
    <definedName name="HP.AnnualLetableValue7">#REF!</definedName>
    <definedName name="HP.AnnualLetableValue8">#REF!</definedName>
    <definedName name="HP.AnnualLetableValue9">#REF!</definedName>
    <definedName name="HP.BalanceALV1">#REF!</definedName>
    <definedName name="HP.BalanceALV2">#REF!</definedName>
    <definedName name="HP.BalanceALV3">#REF!</definedName>
    <definedName name="HP.BalanceALV4">#REF!</definedName>
    <definedName name="HP.BalanceALV5">#REF!</definedName>
    <definedName name="HP.BalanceALV6">#REF!</definedName>
    <definedName name="HP.BalanceALV7">#REF!</definedName>
    <definedName name="HP.BalanceALV8">#REF!</definedName>
    <definedName name="HP.BalanceALV9">#REF!</definedName>
    <definedName name="hp.BFUnabsorbedDeprSetoff1">'[39]CYLA BFLA'!$F$20</definedName>
    <definedName name="HP.CityOrTownOrDistrict1">#REF!</definedName>
    <definedName name="HP.CityOrTownOrDistrict2">#REF!</definedName>
    <definedName name="HP.CityOrTownOrDistrict3">#REF!</definedName>
    <definedName name="HP.CityOrTownOrDistrict4">#REF!</definedName>
    <definedName name="HP.CityOrTownOrDistrict5">#REF!</definedName>
    <definedName name="HP.CityOrTownOrDistrict6">#REF!</definedName>
    <definedName name="HP.CityOrTownOrDistrict7">#REF!</definedName>
    <definedName name="HP.CityOrTownOrDistrict8">#REF!</definedName>
    <definedName name="HP.CityOrTownOrDistrict9">#REF!</definedName>
    <definedName name="HP.Co.NameA1">#REF!</definedName>
    <definedName name="HP.Co.NameA2">#REF!</definedName>
    <definedName name="HP.Co.NameA3">#REF!</definedName>
    <definedName name="HP.Co.NameA4">#REF!</definedName>
    <definedName name="HP.Co.NameA5">#REF!</definedName>
    <definedName name="HP.Co.NameA6">#REF!</definedName>
    <definedName name="HP.Co.NameA7">#REF!</definedName>
    <definedName name="HP.Co.NameA8">#REF!</definedName>
    <definedName name="HP.Co.NameA9">#REF!</definedName>
    <definedName name="HP.Co.NameB1">#REF!</definedName>
    <definedName name="HP.Co.NameB2">#REF!</definedName>
    <definedName name="HP.Co.NameB3">#REF!</definedName>
    <definedName name="HP.Co.NameB4">#REF!</definedName>
    <definedName name="HP.Co.NameB5">#REF!</definedName>
    <definedName name="HP.Co.NameB6">#REF!</definedName>
    <definedName name="HP.Co.NameB7">#REF!</definedName>
    <definedName name="HP.Co.NameB8">#REF!</definedName>
    <definedName name="HP.Co.NameB9">#REF!</definedName>
    <definedName name="HP.Co.NameC1">#REF!</definedName>
    <definedName name="HP.Co.NameC2">#REF!</definedName>
    <definedName name="HP.Co.NameC3">#REF!</definedName>
    <definedName name="HP.Co.NameC4">#REF!</definedName>
    <definedName name="HP.Co.NameC5">#REF!</definedName>
    <definedName name="HP.Co.NameC6">#REF!</definedName>
    <definedName name="HP.Co.NameC7">#REF!</definedName>
    <definedName name="HP.Co.NameC8">#REF!</definedName>
    <definedName name="HP.Co.NameC9">#REF!</definedName>
    <definedName name="HP.Co.NameD1">#REF!</definedName>
    <definedName name="HP.Co.NameD2">#REF!</definedName>
    <definedName name="HP.Co.NameD3">#REF!</definedName>
    <definedName name="HP.Co.NameD4">#REF!</definedName>
    <definedName name="HP.Co.NameD5">#REF!</definedName>
    <definedName name="HP.Co.NameD6">#REF!</definedName>
    <definedName name="HP.Co.NameD7">#REF!</definedName>
    <definedName name="HP.Co.NameD8">#REF!</definedName>
    <definedName name="HP.Co.NameD9">#REF!</definedName>
    <definedName name="HP.Co.NameE1">#REF!</definedName>
    <definedName name="HP.Co.NameE2">#REF!</definedName>
    <definedName name="HP.Co.NameE3">#REF!</definedName>
    <definedName name="HP.Co.NameE4">#REF!</definedName>
    <definedName name="HP.Co.NameE5">#REF!</definedName>
    <definedName name="HP.Co.NameE6">#REF!</definedName>
    <definedName name="HP.Co.NameE7">#REF!</definedName>
    <definedName name="HP.Co.NameE8">#REF!</definedName>
    <definedName name="HP.Co.NameE9">#REF!</definedName>
    <definedName name="HP.Co.PanA1">#REF!</definedName>
    <definedName name="HP.Co.PanA2">#REF!</definedName>
    <definedName name="HP.Co.PanA3">#REF!</definedName>
    <definedName name="HP.Co.PanA4">#REF!</definedName>
    <definedName name="HP.Co.PanA5">#REF!</definedName>
    <definedName name="HP.Co.PanA6">#REF!</definedName>
    <definedName name="HP.Co.PanA7">#REF!</definedName>
    <definedName name="HP.Co.PanA8">#REF!</definedName>
    <definedName name="HP.Co.PanA9">#REF!</definedName>
    <definedName name="HP.Co.PanB1">#REF!</definedName>
    <definedName name="HP.Co.PanB2">#REF!</definedName>
    <definedName name="HP.Co.PanB3">#REF!</definedName>
    <definedName name="HP.Co.PanB4">#REF!</definedName>
    <definedName name="HP.Co.PanB5">#REF!</definedName>
    <definedName name="HP.Co.PanB6">#REF!</definedName>
    <definedName name="HP.Co.PanB7">#REF!</definedName>
    <definedName name="HP.Co.PanB8">#REF!</definedName>
    <definedName name="HP.Co.PanB9">#REF!</definedName>
    <definedName name="HP.Co.PanC1">#REF!</definedName>
    <definedName name="HP.Co.PanC2">#REF!</definedName>
    <definedName name="HP.Co.PanC3">#REF!</definedName>
    <definedName name="HP.Co.PanC4">#REF!</definedName>
    <definedName name="HP.Co.PanC5">#REF!</definedName>
    <definedName name="HP.Co.PanC6">#REF!</definedName>
    <definedName name="HP.Co.PanC7">#REF!</definedName>
    <definedName name="HP.Co.PanC8">#REF!</definedName>
    <definedName name="HP.Co.PanC9">#REF!</definedName>
    <definedName name="HP.Co.PanD1">#REF!</definedName>
    <definedName name="HP.Co.PanD2">#REF!</definedName>
    <definedName name="HP.Co.PanD3">#REF!</definedName>
    <definedName name="HP.Co.PanD4">#REF!</definedName>
    <definedName name="HP.Co.PanD5">#REF!</definedName>
    <definedName name="HP.Co.PanD6">#REF!</definedName>
    <definedName name="HP.Co.PanD7">#REF!</definedName>
    <definedName name="HP.Co.PanD8">#REF!</definedName>
    <definedName name="HP.Co.PanD9">#REF!</definedName>
    <definedName name="HP.Co.PanE1">#REF!</definedName>
    <definedName name="HP.Co.PanE2">#REF!</definedName>
    <definedName name="HP.Co.PanE3">#REF!</definedName>
    <definedName name="HP.Co.PanE4">#REF!</definedName>
    <definedName name="HP.Co.PanE5">#REF!</definedName>
    <definedName name="HP.Co.PanE6">#REF!</definedName>
    <definedName name="HP.Co.PanE7">#REF!</definedName>
    <definedName name="HP.Co.PanE8">#REF!</definedName>
    <definedName name="HP.Co.PanE9">#REF!</definedName>
    <definedName name="HP.Co.ShareA1">#REF!</definedName>
    <definedName name="HP.Co.ShareA2">#REF!</definedName>
    <definedName name="HP.Co.ShareA3">#REF!</definedName>
    <definedName name="HP.Co.ShareA4">#REF!</definedName>
    <definedName name="HP.Co.ShareA5">#REF!</definedName>
    <definedName name="HP.Co.ShareA6">#REF!</definedName>
    <definedName name="HP.Co.ShareA7">#REF!</definedName>
    <definedName name="HP.Co.ShareA8">#REF!</definedName>
    <definedName name="HP.Co.ShareA9">#REF!</definedName>
    <definedName name="HP.Co.ShareB1">#REF!</definedName>
    <definedName name="HP.Co.ShareB2">#REF!</definedName>
    <definedName name="HP.Co.ShareB3">#REF!</definedName>
    <definedName name="HP.Co.ShareB4">#REF!</definedName>
    <definedName name="HP.Co.ShareB5">#REF!</definedName>
    <definedName name="HP.Co.ShareB6">#REF!</definedName>
    <definedName name="HP.Co.ShareB7">#REF!</definedName>
    <definedName name="HP.Co.ShareB8">#REF!</definedName>
    <definedName name="HP.Co.ShareB9">#REF!</definedName>
    <definedName name="HP.Co.ShareC1">#REF!</definedName>
    <definedName name="HP.Co.ShareC2">#REF!</definedName>
    <definedName name="HP.Co.ShareC3">#REF!</definedName>
    <definedName name="HP.Co.ShareC4">#REF!</definedName>
    <definedName name="HP.Co.ShareC5">#REF!</definedName>
    <definedName name="HP.Co.ShareC6">#REF!</definedName>
    <definedName name="HP.Co.ShareC7">#REF!</definedName>
    <definedName name="HP.Co.ShareC8">#REF!</definedName>
    <definedName name="HP.Co.ShareC9">#REF!</definedName>
    <definedName name="HP.Co.ShareD1">#REF!</definedName>
    <definedName name="HP.Co.ShareD2">#REF!</definedName>
    <definedName name="HP.Co.ShareD3">#REF!</definedName>
    <definedName name="HP.Co.ShareD4">#REF!</definedName>
    <definedName name="HP.Co.ShareD5">#REF!</definedName>
    <definedName name="HP.Co.ShareD6">#REF!</definedName>
    <definedName name="HP.Co.ShareD7">#REF!</definedName>
    <definedName name="HP.Co.ShareD8">#REF!</definedName>
    <definedName name="HP.Co.ShareD9">#REF!</definedName>
    <definedName name="HP.Co.ShareE1">#REF!</definedName>
    <definedName name="HP.Co.ShareE2">#REF!</definedName>
    <definedName name="HP.Co.ShareE3">#REF!</definedName>
    <definedName name="HP.Co.ShareE4">#REF!</definedName>
    <definedName name="HP.Co.ShareE5">#REF!</definedName>
    <definedName name="HP.Co.ShareE6">#REF!</definedName>
    <definedName name="HP.Co.ShareE7">#REF!</definedName>
    <definedName name="HP.Co.ShareE8">#REF!</definedName>
    <definedName name="HP.Co.ShareE9">#REF!</definedName>
    <definedName name="HP.CoOwnedYN1">#REF!</definedName>
    <definedName name="HP.CoOwnedYN2">#REF!</definedName>
    <definedName name="HP.CoOwnedYN3">#REF!</definedName>
    <definedName name="HP.CoOwnedYN4">#REF!</definedName>
    <definedName name="HP.CoOwnedYN5">#REF!</definedName>
    <definedName name="HP.CoOwnedYN6">#REF!</definedName>
    <definedName name="HP.CoOwnedYN7">#REF!</definedName>
    <definedName name="HP.CoOwnedYN8">#REF!</definedName>
    <definedName name="HP.CoOwnedYN9">#REF!</definedName>
    <definedName name="HP.ifLetOut1">#REF!</definedName>
    <definedName name="HP.ifLetOut2">#REF!</definedName>
    <definedName name="HP.ifLetOut3">#REF!</definedName>
    <definedName name="HP.ifLetOut4">#REF!</definedName>
    <definedName name="HP.ifLetOut5">#REF!</definedName>
    <definedName name="HP.ifLetOut6">#REF!</definedName>
    <definedName name="HP.ifLetOut7">#REF!</definedName>
    <definedName name="HP.ifLetOut8">#REF!</definedName>
    <definedName name="HP.ifLetOut9">#REF!</definedName>
    <definedName name="hp.IncOfCurYrAfterSetOff2">'[39]CYLA BFLA'!$H$6</definedName>
    <definedName name="hp.IncOfCurYrUnderThatHead2">'[39]CYLA BFLA'!$D$6</definedName>
    <definedName name="HP.IncomeOfHP1">#REF!</definedName>
    <definedName name="HP.IncomeOfHP2">#REF!</definedName>
    <definedName name="HP.IncomeOfHP3">#REF!</definedName>
    <definedName name="HP.IncomeOfHP4">#REF!</definedName>
    <definedName name="HP.IncomeOfHP5">#REF!</definedName>
    <definedName name="HP.IncomeOfHP6">#REF!</definedName>
    <definedName name="HP.IncomeOfHP7">#REF!</definedName>
    <definedName name="HP.IncomeOfHP8">#REF!</definedName>
    <definedName name="HP.IncomeOfHP9">#REF!</definedName>
    <definedName name="HP.IntOnBorwCap1">#REF!</definedName>
    <definedName name="HP.IntOnBorwCap2">#REF!</definedName>
    <definedName name="HP.IntOnBorwCap3">#REF!</definedName>
    <definedName name="HP.IntOnBorwCap4">#REF!</definedName>
    <definedName name="HP.IntOnBorwCap5">#REF!</definedName>
    <definedName name="HP.IntOnBorwCap6">#REF!</definedName>
    <definedName name="HP.IntOnBorwCap7">#REF!</definedName>
    <definedName name="HP.IntOnBorwCap8">#REF!</definedName>
    <definedName name="HP.IntOnBorwCap9">#REF!</definedName>
    <definedName name="HP.LocalTaxes1">#REF!</definedName>
    <definedName name="HP.LocalTaxes2">#REF!</definedName>
    <definedName name="HP.LocalTaxes3">#REF!</definedName>
    <definedName name="HP.LocalTaxes4">#REF!</definedName>
    <definedName name="HP.LocalTaxes5">#REF!</definedName>
    <definedName name="HP.LocalTaxes6">#REF!</definedName>
    <definedName name="HP.LocalTaxes7">#REF!</definedName>
    <definedName name="HP.LocalTaxes8">#REF!</definedName>
    <definedName name="HP.LocalTaxes9">#REF!</definedName>
    <definedName name="HP.NameofTenant1">#REF!</definedName>
    <definedName name="HP.NameofTenant2">#REF!</definedName>
    <definedName name="HP.NameofTenant3">#REF!</definedName>
    <definedName name="HP.NameofTenant4">#REF!</definedName>
    <definedName name="HP.NameofTenant5">#REF!</definedName>
    <definedName name="HP.NameofTenant6">#REF!</definedName>
    <definedName name="HP.NameofTenant7">#REF!</definedName>
    <definedName name="HP.NameofTenant8">#REF!</definedName>
    <definedName name="HP.NameofTenant9">#REF!</definedName>
    <definedName name="HP.PANofTenant1">#REF!</definedName>
    <definedName name="HP.PANofTenant2">#REF!</definedName>
    <definedName name="HP.PANofTenant3">#REF!</definedName>
    <definedName name="HP.PANofTenant4">#REF!</definedName>
    <definedName name="HP.PANofTenant5">#REF!</definedName>
    <definedName name="HP.PANofTenant6">#REF!</definedName>
    <definedName name="HP.PANofTenant7">#REF!</definedName>
    <definedName name="HP.PANofTenant8">#REF!</definedName>
    <definedName name="HP.PANofTenant9">#REF!</definedName>
    <definedName name="HP.PinCode1">#REF!</definedName>
    <definedName name="HP.PinCode2">#REF!</definedName>
    <definedName name="HP.PinCode3">#REF!</definedName>
    <definedName name="HP.PinCode4">#REF!</definedName>
    <definedName name="HP.PinCode5">#REF!</definedName>
    <definedName name="HP.PinCode6">#REF!</definedName>
    <definedName name="HP.PinCode7">#REF!</definedName>
    <definedName name="HP.PinCode8">#REF!</definedName>
    <definedName name="HP.PinCode9">#REF!</definedName>
    <definedName name="HP.RentArearsSec25BAfter30pcDeduct">#REF!</definedName>
    <definedName name="HP.RentNotRealized1">#REF!</definedName>
    <definedName name="HP.RentNotRealized2">#REF!</definedName>
    <definedName name="HP.RentNotRealized3">#REF!</definedName>
    <definedName name="HP.RentNotRealized4">#REF!</definedName>
    <definedName name="HP.RentNotRealized5">#REF!</definedName>
    <definedName name="HP.RentNotRealized6">#REF!</definedName>
    <definedName name="HP.RentNotRealized7">#REF!</definedName>
    <definedName name="HP.RentNotRealized8">#REF!</definedName>
    <definedName name="HP.RentNotRealized9">#REF!</definedName>
    <definedName name="HP.RentOfEarlierYrSec25AandAA">#REF!</definedName>
    <definedName name="HP.SharePercent1">#REF!</definedName>
    <definedName name="HP.SharePercent2">#REF!</definedName>
    <definedName name="HP.SharePercent3">#REF!</definedName>
    <definedName name="HP.SharePercent4">#REF!</definedName>
    <definedName name="HP.SharePercent5">#REF!</definedName>
    <definedName name="HP.SharePercent6">#REF!</definedName>
    <definedName name="HP.SharePercent7">#REF!</definedName>
    <definedName name="HP.SharePercent8">#REF!</definedName>
    <definedName name="HP.SharePercent9">#REF!</definedName>
    <definedName name="HP.StateCode1">#REF!</definedName>
    <definedName name="HP.StateCode2">#REF!</definedName>
    <definedName name="HP.StateCode3">#REF!</definedName>
    <definedName name="HP.StateCode4">#REF!</definedName>
    <definedName name="HP.StateCode5">#REF!</definedName>
    <definedName name="HP.StateCode6">#REF!</definedName>
    <definedName name="HP.StateCode7">#REF!</definedName>
    <definedName name="HP.StateCode8">#REF!</definedName>
    <definedName name="HP.StateCode9">#REF!</definedName>
    <definedName name="HP.ThirtyPercentOfBalance1">#REF!</definedName>
    <definedName name="HP.ThirtyPercentOfBalance2">#REF!</definedName>
    <definedName name="HP.ThirtyPercentOfBalance3">#REF!</definedName>
    <definedName name="HP.ThirtyPercentOfBalance4">#REF!</definedName>
    <definedName name="HP.ThirtyPercentOfBalance5">#REF!</definedName>
    <definedName name="HP.ThirtyPercentOfBalance6">#REF!</definedName>
    <definedName name="HP.ThirtyPercentOfBalance7">#REF!</definedName>
    <definedName name="HP.ThirtyPercentOfBalance8">#REF!</definedName>
    <definedName name="HP.ThirtyPercentOfBalance9">#REF!</definedName>
    <definedName name="HP.TotalDeduct1">#REF!</definedName>
    <definedName name="HP.TotalDeduct2">#REF!</definedName>
    <definedName name="HP.TotalDeduct3">#REF!</definedName>
    <definedName name="HP.TotalDeduct4">#REF!</definedName>
    <definedName name="HP.TotalDeduct5">#REF!</definedName>
    <definedName name="HP.TotalDeduct6">#REF!</definedName>
    <definedName name="HP.TotalDeduct7">#REF!</definedName>
    <definedName name="HP.TotalDeduct8">#REF!</definedName>
    <definedName name="HP.TotalDeduct9">#REF!</definedName>
    <definedName name="HP.TotalIncomeChargeableUnHP">#REF!</definedName>
    <definedName name="HP.TotalUnrealizedAndTax1">#REF!</definedName>
    <definedName name="HP.TotalUnrealizedAndTax2">#REF!</definedName>
    <definedName name="HP.TotalUnrealizedAndTax3">#REF!</definedName>
    <definedName name="HP.TotalUnrealizedAndTax4">#REF!</definedName>
    <definedName name="HP.TotalUnrealizedAndTax5">#REF!</definedName>
    <definedName name="HP.TotalUnrealizedAndTax6">#REF!</definedName>
    <definedName name="HP.TotalUnrealizedAndTax7">#REF!</definedName>
    <definedName name="HP.TotalUnrealizedAndTax8">#REF!</definedName>
    <definedName name="HP.TotalUnrealizedAndTax9">#REF!</definedName>
    <definedName name="HP1_">#REF!</definedName>
    <definedName name="HPexp">#REF!</definedName>
    <definedName name="hpincome.bf">'[39]CYLA BFLA'!$AF$11</definedName>
    <definedName name="hpincome.bp">'[39]CYLA BFLA'!$AB$11</definedName>
    <definedName name="hpincome.hp">'[39]CYLA BFLA'!$X$11</definedName>
    <definedName name="hpincome.ih">'[39]CYLA BFLA'!$Q$11</definedName>
    <definedName name="hpincome.os">'[39]CYLA BFLA'!$T$11</definedName>
    <definedName name="hpincome.rem">'[39]CYLA BFLA'!$AO$15</definedName>
    <definedName name="hploss.aftbfl">'[39]CYLA BFLA'!$AH$11</definedName>
    <definedName name="hploss.bf">'[39]CYLA BFLA'!$AE$11</definedName>
    <definedName name="hploss.bfadj">'[39]CYLA BFLA'!$AG$11</definedName>
    <definedName name="hploss.bp">'[39]CYLA BFLA'!$AD$11</definedName>
    <definedName name="hploss.hp">'[39]CYLA BFLA'!$Z$11</definedName>
    <definedName name="hploss.ih">'[39]CYLA BFLA'!$R$11</definedName>
    <definedName name="hploss.os">'[39]CYLA BFLA'!$V$11</definedName>
    <definedName name="hploss.unabs">'[39]CYLA BFLA'!$AN$15</definedName>
    <definedName name="hploss1.unabs">'[39]CYLA BFLA'!$F$53</definedName>
    <definedName name="HPNL">#REF!</definedName>
    <definedName name="hprptfrm.size">#REF!</definedName>
    <definedName name="hprptfrm1">#REF!</definedName>
    <definedName name="hprptfrm2">#REF!</definedName>
    <definedName name="hprptfrm3">#REF!</definedName>
    <definedName name="hprptfrm4">#REF!</definedName>
    <definedName name="hprptfrm5">#REF!</definedName>
    <definedName name="hprptfrm6">#REF!</definedName>
    <definedName name="hprptfrm7">#REF!</definedName>
    <definedName name="hprptfrm8">#REF!</definedName>
    <definedName name="hprptfrm9">#REF!</definedName>
    <definedName name="HQOTHER">[113]HQ!$A$1:$K$68</definedName>
    <definedName name="HR">[26]!HR</definedName>
    <definedName name="HSArea">'[85]Ver 1'!#REF!</definedName>
    <definedName name="hshhxuhxu">#REF!</definedName>
    <definedName name="ht" localSheetId="10" hidden="1">{"'August 2000'!$A$1:$J$101"}</definedName>
    <definedName name="ht" hidden="1">{"'August 2000'!$A$1:$J$101"}</definedName>
    <definedName name="HTML_CodePage" hidden="1">1252</definedName>
    <definedName name="HTML_Control" localSheetId="10" hidden="1">{"'rcpl ref.no.'!$A$1:$D$10","'rcpl ref.no.'!$A$1:$D$10"}</definedName>
    <definedName name="HTML_Control" hidden="1">{"'Sheet1'!$A$4386:$N$4591"}</definedName>
    <definedName name="HTML_Control_1" localSheetId="10" hidden="1">{"'August 2000'!$A$1:$J$101"}</definedName>
    <definedName name="HTML_Control_1" hidden="1">{"'August 2000'!$A$1:$J$101"}</definedName>
    <definedName name="HTML_CONTROL_15" localSheetId="10" hidden="1">{"'August 2000'!$A$1:$J$101"}</definedName>
    <definedName name="HTML_CONTROL_15" hidden="1">{"'August 2000'!$A$1:$J$101"}</definedName>
    <definedName name="HTML_CONTROL_16" localSheetId="10" hidden="1">{"'August 2000'!$A$1:$J$101"}</definedName>
    <definedName name="HTML_CONTROL_16" hidden="1">{"'August 2000'!$A$1:$J$101"}</definedName>
    <definedName name="HTML_CONTROL_19" localSheetId="10" hidden="1">{"'August 2000'!$A$1:$J$101"}</definedName>
    <definedName name="HTML_CONTROL_19" hidden="1">{"'August 2000'!$A$1:$J$101"}</definedName>
    <definedName name="HTML_Control_2" localSheetId="10" hidden="1">{"'August 2000'!$A$1:$J$101"}</definedName>
    <definedName name="HTML_Control_2" hidden="1">{"'August 2000'!$A$1:$J$101"}</definedName>
    <definedName name="HTML_control_3" localSheetId="10" hidden="1">{"'August 2000'!$A$1:$J$101"}</definedName>
    <definedName name="HTML_control_3" hidden="1">{"'August 2000'!$A$1:$J$101"}</definedName>
    <definedName name="HTML_control1" localSheetId="10" hidden="1">{"'August 2000'!$A$1:$J$101"}</definedName>
    <definedName name="HTML_control1" hidden="1">{"'August 2000'!$A$1:$J$101"}</definedName>
    <definedName name="HTML_control1_1" localSheetId="10" hidden="1">{"'August 2000'!$A$1:$J$101"}</definedName>
    <definedName name="HTML_control1_1" hidden="1">{"'August 2000'!$A$1:$J$101"}</definedName>
    <definedName name="HTML_control1_2" localSheetId="10" hidden="1">{"'August 2000'!$A$1:$J$101"}</definedName>
    <definedName name="HTML_control1_2" hidden="1">{"'August 2000'!$A$1:$J$101"}</definedName>
    <definedName name="HTML_Description" hidden="1">""</definedName>
    <definedName name="HTML_Email" hidden="1">""</definedName>
    <definedName name="HTML_Header" localSheetId="10" hidden="1">"rcpl ref.no."</definedName>
    <definedName name="HTML_Header" hidden="1">"Sheet1"</definedName>
    <definedName name="HTML_LastUpdate" localSheetId="10" hidden="1">"12/6/2001"</definedName>
    <definedName name="HTML_LastUpdate" hidden="1">"7/1/03"</definedName>
    <definedName name="HTML_LineAfter" hidden="1">FALSE</definedName>
    <definedName name="HTML_LineBefore" hidden="1">FALSE</definedName>
    <definedName name="HTML_Name" localSheetId="10" hidden="1">"RIL"</definedName>
    <definedName name="HTML_Name" hidden="1">"m.p.raval"</definedName>
    <definedName name="HTML_OBDlg2" hidden="1">TRUE</definedName>
    <definedName name="HTML_OBDlg3" hidden="1">TRUE</definedName>
    <definedName name="HTML_OBDlg4" hidden="1">TRUE</definedName>
    <definedName name="HTML_OS" hidden="1">0</definedName>
    <definedName name="HTML_PathFile" localSheetId="10" hidden="1">"C:\My Documents\MyHTML.htm"</definedName>
    <definedName name="HTML_PathFile" hidden="1">"A:\MyHTML.htm"</definedName>
    <definedName name="HTML_PathFileMac" hidden="1">"Macintosh HD:HomePageStuff:New_Home_Page:datafile:ctryprem.html"</definedName>
    <definedName name="HTML_Title" localSheetId="10" hidden="1">"REF NO"</definedName>
    <definedName name="HTML_Title" hidden="1">"SGSDaily Progress Report Piyaj toDharoi Pipeline"</definedName>
    <definedName name="hu" hidden="1">#REF!</definedName>
    <definedName name="huy" localSheetId="10" hidden="1">{"'Sheet1'!$L$16"}</definedName>
    <definedName name="huy" hidden="1">{"'Sheet1'!$L$16"}</definedName>
    <definedName name="hvdc.avlblty">'[84]PPT Inputs'!$C$27</definedName>
    <definedName name="hw_sh">[149]factors!$C$3</definedName>
    <definedName name="hwfac">[213]FACTORS!$B$5</definedName>
    <definedName name="HWSheet">1</definedName>
    <definedName name="I" localSheetId="10">#REF!</definedName>
    <definedName name="i">#REF!</definedName>
    <definedName name="I00292_">'[51]TB APJ'!#REF!</definedName>
    <definedName name="I00294_">'[51]TB APJ'!$B$372</definedName>
    <definedName name="I00295_">'[51]TB APJ'!$B$373</definedName>
    <definedName name="I00296_">'[51]TB APJ'!$B$374</definedName>
    <definedName name="I00297_">'[51]TB APJ'!$B$375</definedName>
    <definedName name="I00298_">'[51]TB APJ'!#REF!</definedName>
    <definedName name="I00299_">'[51]TB APJ'!#REF!</definedName>
    <definedName name="I00300_">'[51]TB APJ'!#REF!</definedName>
    <definedName name="I00301_">'[51]TB APJ'!$B$147</definedName>
    <definedName name="I00302_">'[51]TB APJ'!$B$148</definedName>
    <definedName name="I00313_">'[51]TB APJ'!#REF!</definedName>
    <definedName name="I00316_">'[51]TB APJ'!#REF!</definedName>
    <definedName name="I00318_">'[51]TB APJ'!$B$149</definedName>
    <definedName name="I00319_">'[51]TB APJ'!$B$376</definedName>
    <definedName name="I00320_">'[51]TB APJ'!#REF!</definedName>
    <definedName name="I00321_">'[51]TB APJ'!$B$150</definedName>
    <definedName name="I00322_">'[51]TB APJ'!$B$378</definedName>
    <definedName name="I00324_">'[51]TB APJ'!$B$379</definedName>
    <definedName name="I00326_">'[51]TB APJ'!#REF!</definedName>
    <definedName name="I00327_">'[51]TB APJ'!$B$151</definedName>
    <definedName name="I00328_">'[51]TB APJ'!$B$152</definedName>
    <definedName name="I00329_">'[51]TB APJ'!#REF!</definedName>
    <definedName name="I00330_">'[51]TB APJ'!$B$240</definedName>
    <definedName name="I00331_">'[51]TB APJ'!#REF!</definedName>
    <definedName name="I00332_">'[51]TB APJ'!#REF!</definedName>
    <definedName name="I00333_">'[51]TB APJ'!$B$153</definedName>
    <definedName name="I00334_">'[51]TB APJ'!#REF!</definedName>
    <definedName name="I00335_">'[51]TB APJ'!#REF!</definedName>
    <definedName name="I00336_">'[51]TB APJ'!$B$154</definedName>
    <definedName name="I00337_">'[51]TB APJ'!#REF!</definedName>
    <definedName name="I00338_">'[51]TB APJ'!$B$234</definedName>
    <definedName name="I00340_">'[51]TB APJ'!#REF!</definedName>
    <definedName name="I00341_">'[51]TB APJ'!#REF!</definedName>
    <definedName name="I00342_">'[51]TB APJ'!#REF!</definedName>
    <definedName name="I00343_">'[51]TB APJ'!$B$236</definedName>
    <definedName name="I00344_">'[51]TB APJ'!$B$237</definedName>
    <definedName name="I00345_">'[51]TB APJ'!$B$155</definedName>
    <definedName name="I00348_">'[51]TB APJ'!$B$156</definedName>
    <definedName name="I00349_">'[51]TB APJ'!$B$157</definedName>
    <definedName name="I00350_">'[51]TB APJ'!$B$158</definedName>
    <definedName name="I00351_">'[51]TB APJ'!$B$159</definedName>
    <definedName name="I00363_">'[51]TB APJ'!$B$160</definedName>
    <definedName name="I00364_">'[51]TB APJ'!$B$161</definedName>
    <definedName name="I00365_">'[47]TB APJ'!$B$109</definedName>
    <definedName name="I0250_">'[51]TB APJ'!$B$162</definedName>
    <definedName name="I0251_">'[51]TB APJ'!$B$163</definedName>
    <definedName name="I0254_">'[51]TB APJ'!$B$164</definedName>
    <definedName name="I0260_">'[51]TB APJ'!$B$165</definedName>
    <definedName name="I0261_">'[51]TB APJ'!$B$383</definedName>
    <definedName name="I0263_">'[51]TB APJ'!$B$166</definedName>
    <definedName name="I0264_">'[51]TB APJ'!$B$238</definedName>
    <definedName name="I0265_">'[51]TB APJ'!$B$167</definedName>
    <definedName name="I0267_">'[51]TB APJ'!$B$168</definedName>
    <definedName name="I0268_">'[51]TB APJ'!#REF!</definedName>
    <definedName name="I0269_">'[51]TB APJ'!$B$385</definedName>
    <definedName name="I0270_">'[51]TB APJ'!$B$169</definedName>
    <definedName name="I0274_">'[51]TB APJ'!#REF!</definedName>
    <definedName name="I0275_">'[51]TB APJ'!$B$170</definedName>
    <definedName name="I0276_">'[51]TB APJ'!$B$171</definedName>
    <definedName name="I0277_">'[51]TB APJ'!$B$386</definedName>
    <definedName name="I0281_">'[51]TB APJ'!$B$387</definedName>
    <definedName name="I0282_">'[51]TB APJ'!$B$172</definedName>
    <definedName name="I0283_">'[51]TB APJ'!$B$389</definedName>
    <definedName name="I0286_">'[51]TB APJ'!$B$173</definedName>
    <definedName name="I0287_">'[51]TB APJ'!$B$174</definedName>
    <definedName name="I0288_">'[51]TB APJ'!#REF!</definedName>
    <definedName name="I0289_">'[51]TB APJ'!$B$175</definedName>
    <definedName name="I0291_">'[51]TB APJ'!$B$176</definedName>
    <definedName name="IA80.TotSchedule80_IA">'[39]80_'!$I$8</definedName>
    <definedName name="IAfixed">'[112]Capex-fixed'!#REF!</definedName>
    <definedName name="iarea1">[214]Input!$B$10:$V$21,[214]Input!$B$28:$V$28,[214]Input!$B$32:$V$43,[214]Input!$B$57:$V$57,[214]Input!$B$66:$B$67,[214]Input!$B$75:$B$76,[214]Input!$C$66:$V$66,[214]Input!$B$69:$V$71,[214]Input!$C$75:$V$75,[214]Input!$B$78:$V$80,[214]Input!$B$111:$V$111,[214]Input!$C$113:$V$118,[214]Input!$B$113:$B$117,[214]Input!$B$44:$V$51,[214]Input!$B$84:$B$85,[214]Input!$C$84:$V$84,[214]Input!$C$87:$V$89,[214]Input!$B$93:$B$94,[214]Input!$C$93:$V$93</definedName>
    <definedName name="iarea2">[214]Input!$B$159:$D$159,[214]Input!$B$162:$D$162,[214]Input!$E$159:$K$159,[214]Input!$E$162:$K$162</definedName>
    <definedName name="iarea3">[214]Input!$C$96:$V$98,[214]Input!$B$102:$B$103,[214]Input!$C$102:$V$102,[214]Input!$C$105:$V$107,[214]Input!$B$123:$B$124,[214]Input!$C$123:$V$123,[214]Input!$B$132:$V$135,[214]Input!$B$139:$V$142</definedName>
    <definedName name="IB80.TotSchedule80_IB">'[39]80_'!$I$24</definedName>
    <definedName name="ic">5%</definedName>
    <definedName name="IC80.TotDeductInNorthEast">'[39]80_'!$I$38</definedName>
    <definedName name="IC80.TotSchedule80_IC">'[39]80_'!$I$39</definedName>
    <definedName name="icd">#REF!</definedName>
    <definedName name="icdrec">'[167]EMPLOYEE DESOSIT RECEIVED'!$C$343</definedName>
    <definedName name="ICEUR">#REF!</definedName>
    <definedName name="ICEURUSD">#REF!</definedName>
    <definedName name="icic">#REF!</definedName>
    <definedName name="idc">'[215]Debt Scheduling'!$E$49:$Q$49</definedName>
    <definedName name="IDC_34期A">#REF!</definedName>
    <definedName name="IDC_34期B">#REF!</definedName>
    <definedName name="IDC_35期A">#REF!</definedName>
    <definedName name="IDC_35期B">#REF!</definedName>
    <definedName name="IDC_36期A">#REF!</definedName>
    <definedName name="IDC_36期B">#REF!</definedName>
    <definedName name="idc_calc_2">#REF!</definedName>
    <definedName name="idc_copy">[65]LCE!$E$114:$BY$114</definedName>
    <definedName name="idc_copy_3">#REF!</definedName>
    <definedName name="IDC_Cost_Summary">#REF!</definedName>
    <definedName name="idc_diff">#REF!</definedName>
    <definedName name="IDC_DIFF_1">'[99]Capex Scheduling'!#REF!</definedName>
    <definedName name="idc_diff_2">#REF!</definedName>
    <definedName name="idc_p">'[215]Debt Scheduling'!$E$50:$Q$50</definedName>
    <definedName name="idc_past_2">#REF!</definedName>
    <definedName name="idc_paste" localSheetId="10">#REF!</definedName>
    <definedName name="idc_paste">[65]LCE!$E$117:$BY$117</definedName>
    <definedName name="idc_paste_3">#REF!</definedName>
    <definedName name="IdcDiff">'[99]Capex Scheduling'!#REF!</definedName>
    <definedName name="IDCDifference">'[99]Capex Scheduling'!#REF!</definedName>
    <definedName name="idcPaste1">'[99]Capex Scheduling'!$F$35:$W$35</definedName>
    <definedName name="idcupfrontcheck">'[82]Phasing+ Int'!$A$156</definedName>
    <definedName name="IDFC">#REF!</definedName>
    <definedName name="IDReference" hidden="1">"A1"</definedName>
    <definedName name="idu_bs">'[204]Factors-overall'!$B$23</definedName>
    <definedName name="idu_ts">'[204]Factors-overall'!$B$24</definedName>
    <definedName name="IHC">#REF!</definedName>
    <definedName name="II">#REF!</definedName>
    <definedName name="IK">#REF!</definedName>
    <definedName name="il">#REF!</definedName>
    <definedName name="IL___FS">#REF!</definedName>
    <definedName name="ILT">#REF!</definedName>
    <definedName name="ImageCleanupCost">[102]Assumptions!#REF!</definedName>
    <definedName name="IMMPRO">#REF!</definedName>
    <definedName name="IMPORTDFF1">[60]CRITERIA1!$B$36</definedName>
    <definedName name="ImportFile">#N/A</definedName>
    <definedName name="imprim1" localSheetId="1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imprim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Inc_BE_Cap_R">[121]Rollup!#REF!</definedName>
    <definedName name="Inc_BE_Occ_R">[121]Rollup!#REF!</definedName>
    <definedName name="inc_Cwip_move">#REF!</definedName>
    <definedName name="Inc_Proj_Cost">#REF!</definedName>
    <definedName name="INCOME">#REF!</definedName>
    <definedName name="income97">#REF!</definedName>
    <definedName name="increase">[127]data!$A$2:$A$101</definedName>
    <definedName name="increase_in_ospmaintenance">#REF!</definedName>
    <definedName name="INCREASED">[110]Financials!#REF!</definedName>
    <definedName name="increaseinhousesalary">#REF!</definedName>
    <definedName name="increaseoutsourcedsalary">#REF!</definedName>
    <definedName name="index">#REF!</definedName>
    <definedName name="Index_tab7">#REF!</definedName>
    <definedName name="Index_tab8">#REF!</definedName>
    <definedName name="Index_tab9">#REF!</definedName>
    <definedName name="India">[87]List_ratios!#REF!</definedName>
    <definedName name="INDIA_PLASTIC_in_KUSD">#REF!</definedName>
    <definedName name="INDIAN_RAYON_AND_INDUSTRIES_LIMITED">"ANNX1"</definedName>
    <definedName name="INETOTHER">[110]Financials!#REF!</definedName>
    <definedName name="INETPPE">[110]Financials!#REF!</definedName>
    <definedName name="inflind">#REF!</definedName>
    <definedName name="inflUS">#REF!</definedName>
    <definedName name="infra">#REF!</definedName>
    <definedName name="inhousemanpowerph1a">#REF!</definedName>
    <definedName name="inhousemanpowerph1b">#REF!</definedName>
    <definedName name="inhousemanpowerph2">#REF!</definedName>
    <definedName name="INI_CurMth">[216]Sheet1!$B$4</definedName>
    <definedName name="Ini_CurUnit">[216]Sheet1!$A$10</definedName>
    <definedName name="INPUT">#REF!</definedName>
    <definedName name="INPUT_AREA">#REF!</definedName>
    <definedName name="InputPO">#REF!</definedName>
    <definedName name="INR">#REF!</definedName>
    <definedName name="INS">#REF!</definedName>
    <definedName name="installationcost">'[112]Capex-fixed'!#REF!</definedName>
    <definedName name="INSTI">[217]Jun07!#REF!</definedName>
    <definedName name="Insulation_Volume">'[218]LTC-Insulation_Volume'!#REF!</definedName>
    <definedName name="Insurance" localSheetId="1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suranc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t" localSheetId="10">#REF!</definedName>
    <definedName name="INT">[118]Interest!$B$8</definedName>
    <definedName name="int_99">#REF!</definedName>
    <definedName name="Int_Diff">[219]CF!$D$43</definedName>
    <definedName name="Int_DSRA_Diff">[219]CF!$D$46</definedName>
    <definedName name="Int_Exp">'[63]2. Forecast Drivers'!$E$219:$S$219</definedName>
    <definedName name="Int_Inc">'[63]2. Forecast Drivers'!$E$214:$S$214</definedName>
    <definedName name="Int_on_cash_calc">[219]CF!$I$37:$AG$37</definedName>
    <definedName name="Int_on_cash_paste">'[219]P&amp;L'!$J$11:$AH$11</definedName>
    <definedName name="Int_on_DSRA_paste">'[219]P&amp;L'!$J$12:$AH$12</definedName>
    <definedName name="int_ph1">[220]Assump!$A$13</definedName>
    <definedName name="int_ph2">[220]Assump!$B$13</definedName>
    <definedName name="int_rate">[82]Sensitivity!$E$10</definedName>
    <definedName name="Intang_Amort">'[63]2. Forecast Drivers'!$E$90:$S$90</definedName>
    <definedName name="Intang_Bal">'[63]2. Forecast Drivers'!$E$91:$S$91</definedName>
    <definedName name="Intang_Cash">'[63]2. Forecast Drivers'!$E$89:$S$89</definedName>
    <definedName name="Intang_Init">'[63]2. Forecast Drivers'!$D$92</definedName>
    <definedName name="INTCAP">#REF!</definedName>
    <definedName name="integrated_cluste__link_MCN">#REF!</definedName>
    <definedName name="inter_bldng">#REF!</definedName>
    <definedName name="interco_bal_break_up">#REF!</definedName>
    <definedName name="Interest" localSheetId="10">IF('[80]FITZ MORT 94'!XFB1&lt;&gt;"",'[80]FITZ MORT 94'!XFD1*'Depreciation Schedule'!Periodic_rate,"")</definedName>
    <definedName name="Interest">IF('[80]FITZ MORT 94'!XFB1&lt;&gt;"",'[80]FITZ MORT 94'!XFD1*[0]!Periodic_rate,"")</definedName>
    <definedName name="interest_234_a_b_c">#REF!</definedName>
    <definedName name="Interest_on_Term_Loan___Subordinate_Loan">#REF!</definedName>
    <definedName name="Interest_Rate" localSheetId="10">#REF!</definedName>
    <definedName name="Interest_rate">#REF!</definedName>
    <definedName name="INTEREST1">[45]FINAL!$I$31:$N$45</definedName>
    <definedName name="InterestCaln">#REF!</definedName>
    <definedName name="InterestExpense">[129]Financials!$J$15:$R$15</definedName>
    <definedName name="InterestIncome">[129]Financials!$J$16:$R$16</definedName>
    <definedName name="InterestOnTermLoanBorrowingJuly">#REF!</definedName>
    <definedName name="InternetProtection">"Internet Protection"</definedName>
    <definedName name="InternetProtection_Grade">"C"</definedName>
    <definedName name="InterRegionShipCost">[102]Assumptions!#REF!</definedName>
    <definedName name="InterRegionShipPercent">[102]Assumptions!#REF!</definedName>
    <definedName name="intracirclegrowth">#REF!</definedName>
    <definedName name="IntraCityShipCost">[102]Assumptions!#REF!</definedName>
    <definedName name="IntraCityShipPercent">[102]Assumptions!#REF!</definedName>
    <definedName name="IntraRegionShipCost">[102]Assumptions!#REF!</definedName>
    <definedName name="IntraRegionShipPercent">[102]Assumptions!#REF!</definedName>
    <definedName name="IntRate_100">#REF!</definedName>
    <definedName name="IntRate_11">[162]Assumptions!$B$11</definedName>
    <definedName name="IntRate_12">[162]Assumptions!$B$12</definedName>
    <definedName name="IntRate_25">#REF!</definedName>
    <definedName name="IntRate_50">#REF!</definedName>
    <definedName name="IntRate_75">#REF!</definedName>
    <definedName name="IntRate_WC">[98]Assumptions!$B$16</definedName>
    <definedName name="IntRate_WC10">[162]Assumptions!$B$16</definedName>
    <definedName name="IntRate_WC11">[162]Assumptions!$B$17</definedName>
    <definedName name="IntRate_WC12">[162]Assumptions!$B$18</definedName>
    <definedName name="IntRate12">#REF!</definedName>
    <definedName name="IntRate13">#REF!</definedName>
    <definedName name="intratetl">#REF!</definedName>
    <definedName name="intratewc">#REF!</definedName>
    <definedName name="IntRateWC11">#REF!</definedName>
    <definedName name="IntRateWC12">#REF!</definedName>
    <definedName name="IntRateWC13">#REF!</definedName>
    <definedName name="intsch">#REF!</definedName>
    <definedName name="Intt_Charge_cY">#REF!,#REF!</definedName>
    <definedName name="Intt_Charge_cy_1">'[221]A 3.7'!$H$35,'[221]A 3.7'!$H$44</definedName>
    <definedName name="Intt_Charge_eY">#REF!,#REF!</definedName>
    <definedName name="Intt_Charge_ey_1">'[221]A 3.7'!$I$35,'[221]A 3.7'!$I$44</definedName>
    <definedName name="Intt_Charge_PY">#REF!,#REF!</definedName>
    <definedName name="Intt_Charge_py_1">'[221]A 3.7'!$G$35,'[221]A 3.7'!$G$44</definedName>
    <definedName name="INTT_MTH.">#REF!</definedName>
    <definedName name="Inv">'[63]2. Forecast Drivers'!$E$45:$S$45</definedName>
    <definedName name="Inv_Bal">'[63]2. Forecast Drivers'!$E$123:$S$123</definedName>
    <definedName name="Inv_Cap">'[63]3. Results'!$E$182:$AD$182</definedName>
    <definedName name="Inv_Cap_P2">'[63]2. Forecast Drivers'!$T$310:$AD$310</definedName>
    <definedName name="Inv_CapP_P2">'[63]2. Forecast Drivers'!$O$307:$AD$307</definedName>
    <definedName name="Inv_Cash">'[63]2. Forecast Drivers'!$E$122:$S$122</definedName>
    <definedName name="Invest" localSheetId="10">#REF!</definedName>
    <definedName name="invest">#REF!</definedName>
    <definedName name="Investment">#REF!</definedName>
    <definedName name="investmentsc">'[38]NOTES '!$F$45</definedName>
    <definedName name="investmentsp">'[38]NOTES '!$H$45</definedName>
    <definedName name="Investor_Summary">#REF!</definedName>
    <definedName name="InvoiceCategory">[58]ReasonCode!$S$2:$S$7</definedName>
    <definedName name="IOB">'[16]IOB-891'!$F$127</definedName>
    <definedName name="iop">'[112]Capex-fixed'!#REF!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"interior specialists"</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10" hidden="1">"06/26/2017 07:40:42"</definedName>
    <definedName name="IQ_NAMES_REVISION_DATE_" hidden="1">41791.5021180556</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39191.5891666667</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R" hidden="1">"c5517"</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1</definedName>
    <definedName name="IQB_BOOKMARK_LOCATION_0" hidden="1">#REF!</definedName>
    <definedName name="IQRAA10" hidden="1">"$AA$11"</definedName>
    <definedName name="IQRAA11" hidden="1">"$AA$12"</definedName>
    <definedName name="IQRAB11" hidden="1">"$AB$12"</definedName>
    <definedName name="IQRAC10" hidden="1">"$AC$11"</definedName>
    <definedName name="IQRAC11" hidden="1">"$AC$12"</definedName>
    <definedName name="IQRAD11" hidden="1">"$AD$12"</definedName>
    <definedName name="IQRAE10" hidden="1">"$AE$11"</definedName>
    <definedName name="IQRAE11" hidden="1">"$AE$12"</definedName>
    <definedName name="IQRAF11" hidden="1">"$AF$12"</definedName>
    <definedName name="IQRAF1709" hidden="1">"$AF$1710"</definedName>
    <definedName name="IQRAF23" hidden="1">"$AF$24"</definedName>
    <definedName name="IQRAF864" hidden="1">"$AF$865"</definedName>
    <definedName name="IQRAG10" hidden="1">"$AG$11"</definedName>
    <definedName name="IQRAI10" hidden="1">"$AI$11"</definedName>
    <definedName name="IQRAK10" hidden="1">"$AK$11"</definedName>
    <definedName name="IQRAM10" hidden="1">"$AM$11"</definedName>
    <definedName name="IQRAO10" hidden="1">"$AO$11"</definedName>
    <definedName name="IQRAQ10" hidden="1">"$AQ$11"</definedName>
    <definedName name="IQRAS10" hidden="1">"$AS$11"</definedName>
    <definedName name="IQRAU10" hidden="1">"$AU$11"</definedName>
    <definedName name="IQRAU1709" hidden="1">"$AU$1710"</definedName>
    <definedName name="IQRAU23" hidden="1">"$AU$24"</definedName>
    <definedName name="IQRAU864" hidden="1">"$AU$865"</definedName>
    <definedName name="IQRAW10" hidden="1">"$AW$11"</definedName>
    <definedName name="IQRAY10" hidden="1">"$AY$11"</definedName>
    <definedName name="IQRAZ865" hidden="1">"$AZ$866:$AZ$1624"</definedName>
    <definedName name="IQRB1709" hidden="1">"$B$1710"</definedName>
    <definedName name="IQRB23" hidden="1">"$B$24"</definedName>
    <definedName name="IQRB24" hidden="1">"$B$25:$B$780"</definedName>
    <definedName name="IQRB864" hidden="1">"$B$865"</definedName>
    <definedName name="IQRBA10" hidden="1">"$BA$11"</definedName>
    <definedName name="IQRBetaAC13" hidden="1">#REF!</definedName>
    <definedName name="IQRBetaAC14" hidden="1">#REF!</definedName>
    <definedName name="IQRBetaAL14" hidden="1">#REF!</definedName>
    <definedName name="IQRBetaAU13" hidden="1">#REF!</definedName>
    <definedName name="IQRBetaAU14" hidden="1">#REF!</definedName>
    <definedName name="IQRBetaB13" hidden="1">#REF!</definedName>
    <definedName name="IQRBetaB14" hidden="1">#REF!</definedName>
    <definedName name="IQRBetaBD13" hidden="1">#REF!</definedName>
    <definedName name="IQRBetaBD14" hidden="1">#REF!</definedName>
    <definedName name="IQRBetaBM13" hidden="1">#REF!</definedName>
    <definedName name="IQRBetaBM14" hidden="1">#REF!</definedName>
    <definedName name="IQRBetaBV13" hidden="1">#REF!</definedName>
    <definedName name="IQRBetaBV14" hidden="1">#REF!</definedName>
    <definedName name="IQRBetaCE13" hidden="1">#REF!</definedName>
    <definedName name="IQRBetaCE14" hidden="1">#REF!</definedName>
    <definedName name="IQRBetaCN13" hidden="1">#REF!</definedName>
    <definedName name="IQRBetaCN14" hidden="1">#REF!</definedName>
    <definedName name="IQRBetaCW13" hidden="1">#REF!</definedName>
    <definedName name="IQRBetaCW14" hidden="1">#REF!</definedName>
    <definedName name="IQRBetaDF13" hidden="1">#REF!</definedName>
    <definedName name="IQRBetaDF14" hidden="1">#REF!</definedName>
    <definedName name="IQRBetaDO13" hidden="1">#REF!</definedName>
    <definedName name="IQRBetaDO14" hidden="1">#REF!</definedName>
    <definedName name="IQRBetaDX13" hidden="1">#REF!</definedName>
    <definedName name="IQRBetaDX14" hidden="1">#REF!</definedName>
    <definedName name="IQRBetaEG13" hidden="1">#REF!</definedName>
    <definedName name="IQRBetaEG14" hidden="1">#REF!</definedName>
    <definedName name="IQRBetaEP13" hidden="1">#REF!</definedName>
    <definedName name="IQRBetaEP14" hidden="1">#REF!</definedName>
    <definedName name="IQRBetaEY13" hidden="1">#REF!</definedName>
    <definedName name="IQRBetaEY14" hidden="1">#REF!</definedName>
    <definedName name="IQRBetaFH13" hidden="1">#REF!</definedName>
    <definedName name="IQRBetaFH14" hidden="1">#REF!</definedName>
    <definedName name="IQRBetaFQ13" hidden="1">#REF!</definedName>
    <definedName name="IQRBetaFQ14" hidden="1">#REF!</definedName>
    <definedName name="IQRBetaK13" hidden="1">#REF!</definedName>
    <definedName name="IQRBetaK14" hidden="1">#REF!</definedName>
    <definedName name="IQRBetaT13" hidden="1">#REF!</definedName>
    <definedName name="IQRBetaT14" hidden="1">#REF!</definedName>
    <definedName name="IQRBJ1709" hidden="1">"$BJ$1710"</definedName>
    <definedName name="IQRBJ23" hidden="1">"$BJ$24"</definedName>
    <definedName name="IQRBJ864" hidden="1">"$BJ$865"</definedName>
    <definedName name="IQRBY1709" hidden="1">"$BY$1710"</definedName>
    <definedName name="IQRBY23" hidden="1">"$BY$24"</definedName>
    <definedName name="IQRBY864" hidden="1">"$BY$865"</definedName>
    <definedName name="IQRC23" hidden="1">"$C$24:$C$778"</definedName>
    <definedName name="IQRC24" hidden="1">"$C$25:$C$779"</definedName>
    <definedName name="IQRCapStruA5" hidden="1">#REF!</definedName>
    <definedName name="IQRCapStruA6" hidden="1">#REF!</definedName>
    <definedName name="IQRCapStruA7" hidden="1">#REF!</definedName>
    <definedName name="IQRCapStruA8" hidden="1">#REF!</definedName>
    <definedName name="IQRCapStruAG5" hidden="1">#REF!</definedName>
    <definedName name="IQRCapStruAG6" hidden="1">#REF!</definedName>
    <definedName name="IQRCapStruAG7" hidden="1">#REF!</definedName>
    <definedName name="IQRCapStruAG8" hidden="1">#REF!</definedName>
    <definedName name="IQRCapStruAO5" hidden="1">#REF!</definedName>
    <definedName name="IQRCapStruAO6" hidden="1">#REF!</definedName>
    <definedName name="IQRCapStruAO7" hidden="1">#REF!</definedName>
    <definedName name="IQRCapStruAO8" hidden="1">#REF!</definedName>
    <definedName name="IQRCapStruAW5" hidden="1">#REF!</definedName>
    <definedName name="IQRCapStruAW6" hidden="1">#REF!</definedName>
    <definedName name="IQRCapStruAW7" hidden="1">#REF!</definedName>
    <definedName name="IQRCapStruAW8" hidden="1">#REF!</definedName>
    <definedName name="IQRCapStruBE5" hidden="1">#REF!</definedName>
    <definedName name="IQRCapStruBE6" hidden="1">#REF!</definedName>
    <definedName name="IQRCapStruBE7" hidden="1">#REF!</definedName>
    <definedName name="IQRCapStruBE8" hidden="1">#REF!</definedName>
    <definedName name="IQRCapStruBM5" hidden="1">#REF!</definedName>
    <definedName name="IQRCapStruBM6" hidden="1">#REF!</definedName>
    <definedName name="IQRCapStruBM7" hidden="1">#REF!</definedName>
    <definedName name="IQRCapStruBM8" hidden="1">#REF!</definedName>
    <definedName name="IQRCapStruBU5" hidden="1">#REF!</definedName>
    <definedName name="IQRCapStruBU6" hidden="1">#REF!</definedName>
    <definedName name="IQRCapStruBU7" hidden="1">#REF!</definedName>
    <definedName name="IQRCapStruBU8" hidden="1">#REF!</definedName>
    <definedName name="IQRCapStruCC5" hidden="1">#REF!</definedName>
    <definedName name="IQRCapStruCC6" hidden="1">#REF!</definedName>
    <definedName name="IQRCapStruCC7" hidden="1">#REF!</definedName>
    <definedName name="IQRCapStruCC8" hidden="1">#REF!</definedName>
    <definedName name="IQRCapStruCK5" hidden="1">#REF!</definedName>
    <definedName name="IQRCapStruCK6" hidden="1">#REF!</definedName>
    <definedName name="IQRCapStruCK7" hidden="1">#REF!</definedName>
    <definedName name="IQRCapStruCK8" hidden="1">#REF!</definedName>
    <definedName name="IQRCapStruCS5" hidden="1">#REF!</definedName>
    <definedName name="IQRCapStruCS6" hidden="1">#REF!</definedName>
    <definedName name="IQRCapStruCS7" hidden="1">#REF!</definedName>
    <definedName name="IQRCapStruCS8" hidden="1">#REF!</definedName>
    <definedName name="IQRCapStruDA5" hidden="1">#REF!</definedName>
    <definedName name="IQRCapStruDA6" hidden="1">#REF!</definedName>
    <definedName name="IQRCapStruDA7" hidden="1">#REF!</definedName>
    <definedName name="IQRCapStruDA8" hidden="1">#REF!</definedName>
    <definedName name="IQRCapStruDI5" hidden="1">#REF!</definedName>
    <definedName name="IQRCapStruDI6" hidden="1">#REF!</definedName>
    <definedName name="IQRCapStruDI7" hidden="1">#REF!</definedName>
    <definedName name="IQRCapStruDI8" hidden="1">#REF!</definedName>
    <definedName name="IQRCapStruDQ5" hidden="1">#REF!</definedName>
    <definedName name="IQRCapStruDQ6" hidden="1">#REF!</definedName>
    <definedName name="IQRCapStruDQ7" hidden="1">#REF!</definedName>
    <definedName name="IQRCapStruDQ8" hidden="1">#REF!</definedName>
    <definedName name="IQRCapStruDY5" hidden="1">#REF!</definedName>
    <definedName name="IQRCapStruDY6" hidden="1">#REF!</definedName>
    <definedName name="IQRCapStruDY7" hidden="1">#REF!</definedName>
    <definedName name="IQRCapStruDY8" hidden="1">#REF!</definedName>
    <definedName name="IQRCapStruEG5" hidden="1">#REF!</definedName>
    <definedName name="IQRCapStruEG6" hidden="1">#REF!</definedName>
    <definedName name="IQRCapStruEG7" hidden="1">#REF!</definedName>
    <definedName name="IQRCapStruEG8" hidden="1">#REF!</definedName>
    <definedName name="IQRCapStruEO5" hidden="1">#REF!</definedName>
    <definedName name="IQRCapStruEO6" hidden="1">#REF!</definedName>
    <definedName name="IQRCapStruEO7" hidden="1">#REF!</definedName>
    <definedName name="IQRCapStruEO8" hidden="1">#REF!</definedName>
    <definedName name="IQRCapStruEW5" hidden="1">#REF!</definedName>
    <definedName name="IQRCapStruEW6" hidden="1">#REF!</definedName>
    <definedName name="IQRCapStruEW7" hidden="1">#REF!</definedName>
    <definedName name="IQRCapStruEW8" hidden="1">#REF!</definedName>
    <definedName name="IQRCapStruI5" hidden="1">#REF!</definedName>
    <definedName name="IQRCapStruI6" hidden="1">#REF!</definedName>
    <definedName name="IQRCapStruI7" hidden="1">#REF!</definedName>
    <definedName name="IQRCapStruI8" hidden="1">#REF!</definedName>
    <definedName name="IQRCapStruQ5" hidden="1">#REF!</definedName>
    <definedName name="IQRCapStruQ6" hidden="1">#REF!</definedName>
    <definedName name="IQRCapStruQ7" hidden="1">#REF!</definedName>
    <definedName name="IQRCapStruQ8" hidden="1">#REF!</definedName>
    <definedName name="IQRCapStruY5" hidden="1">#REF!</definedName>
    <definedName name="IQRCapStruY6" hidden="1">#REF!</definedName>
    <definedName name="IQRCapStruY7" hidden="1">#REF!</definedName>
    <definedName name="IQRCapStruY8" hidden="1">#REF!</definedName>
    <definedName name="IQRCN1709" hidden="1">"$CN$1710"</definedName>
    <definedName name="IQRCN23" hidden="1">"$CN$24"</definedName>
    <definedName name="IQRCN864" hidden="1">"$CN$865"</definedName>
    <definedName name="IQRCompsPLAAN67" hidden="1">#REF!</definedName>
    <definedName name="IQRD10" hidden="1">"$D$11"</definedName>
    <definedName name="IQRD23" hidden="1">"$D$24:$D$778"</definedName>
    <definedName name="IQRD24" hidden="1">"$D$25:$D$779"</definedName>
    <definedName name="IQRDC1709" hidden="1">"$DC$1710"</definedName>
    <definedName name="IQRDC23" hidden="1">"$DC$24"</definedName>
    <definedName name="IQRDC864" hidden="1">"$DC$865"</definedName>
    <definedName name="IQRDR23" hidden="1">"$DR$24"</definedName>
    <definedName name="IQRDR864" hidden="1">"$DR$865"</definedName>
    <definedName name="IQRE23" hidden="1">"$E$24:$E$778"</definedName>
    <definedName name="IQRE24" hidden="1">"$E$25:$E$779"</definedName>
    <definedName name="IQREG23" hidden="1">"$EG$24"</definedName>
    <definedName name="IQREG864" hidden="1">"$EG$865"</definedName>
    <definedName name="IQREV23" hidden="1">"$EV$24"</definedName>
    <definedName name="IQREV864" hidden="1">"$EV$865"</definedName>
    <definedName name="IQRExchangerateAC9" hidden="1">#REF!</definedName>
    <definedName name="IQRExchangerateAF9" hidden="1">#REF!</definedName>
    <definedName name="IQRExchangerateAI9" hidden="1">#REF!</definedName>
    <definedName name="IQRExchangerateAL9" hidden="1">#REF!</definedName>
    <definedName name="IQRExchangerateAO9" hidden="1">#REF!</definedName>
    <definedName name="IQRExchangerateAR9" hidden="1">#REF!</definedName>
    <definedName name="IQRExchangerateAU9" hidden="1">#REF!</definedName>
    <definedName name="IQRExchangerateAX9" hidden="1">#REF!</definedName>
    <definedName name="IQRExchangerateB8" hidden="1">#REF!</definedName>
    <definedName name="IQRExchangerateB9" hidden="1">#REF!</definedName>
    <definedName name="IQRExchangerateBA9" hidden="1">#REF!</definedName>
    <definedName name="IQRExchangerateBD9" hidden="1">#REF!</definedName>
    <definedName name="IQRExchangerateBG9" hidden="1">#REF!</definedName>
    <definedName name="IQRExchangerateE9" hidden="1">#REF!</definedName>
    <definedName name="IQRExchangerateH9" hidden="1">#REF!</definedName>
    <definedName name="IQRExchangerateK9" hidden="1">#REF!</definedName>
    <definedName name="IQRExchangerateN9" hidden="1">#REF!</definedName>
    <definedName name="IQRExchangerateQ9" hidden="1">#REF!</definedName>
    <definedName name="IQRExchangerateT9" hidden="1">#REF!</definedName>
    <definedName name="IQRExchangerateW9" hidden="1">#REF!</definedName>
    <definedName name="IQRExchangerateZ9" hidden="1">#REF!</definedName>
    <definedName name="IQRF23" hidden="1">"$F$24:$F$778"</definedName>
    <definedName name="IQRF24" hidden="1">"$F$25:$F$779"</definedName>
    <definedName name="IQRFK23" hidden="1">"$FK$24"</definedName>
    <definedName name="IQRFK864" hidden="1">"$FK$865"</definedName>
    <definedName name="IQRFZ23" hidden="1">"$FZ$24"</definedName>
    <definedName name="IQRFZ864" hidden="1">"$FZ$865"</definedName>
    <definedName name="IQRG23" hidden="1">"$G$24:$G$778"</definedName>
    <definedName name="IQRG24" hidden="1">"$G$25:$G$779"</definedName>
    <definedName name="IQRGO23" hidden="1">"$GO$24"</definedName>
    <definedName name="IQRGO864" hidden="1">"$GO$865"</definedName>
    <definedName name="IQRGS6AF1365" hidden="1">#REF!</definedName>
    <definedName name="IQRGS6AF1366" hidden="1">#REF!</definedName>
    <definedName name="IQRGS6AF1709" hidden="1">#REF!</definedName>
    <definedName name="IQRGS6AF1710" hidden="1">#REF!</definedName>
    <definedName name="IQRGS6AF2210" hidden="1">#REF!</definedName>
    <definedName name="IQRGS6AF23" hidden="1">#REF!</definedName>
    <definedName name="IQRGS6AF24" hidden="1">#REF!</definedName>
    <definedName name="IQRGS6AF25" hidden="1">#REF!</definedName>
    <definedName name="IQRGS6AF2710" hidden="1">#REF!</definedName>
    <definedName name="IQRGS6AF2711" hidden="1">#REF!</definedName>
    <definedName name="IQRGS6AF2712" hidden="1">#REF!</definedName>
    <definedName name="IQRGS6AF864" hidden="1">#REF!</definedName>
    <definedName name="IQRGS6AF865" hidden="1">#REF!</definedName>
    <definedName name="IQRGS6AH1366" hidden="1">#REF!</definedName>
    <definedName name="IQRGS6AH24" hidden="1">#REF!</definedName>
    <definedName name="IQRGS6AH2712" hidden="1">#REF!</definedName>
    <definedName name="IQRGS6AU1365" hidden="1">#REF!</definedName>
    <definedName name="IQRGS6AU1366" hidden="1">#REF!</definedName>
    <definedName name="IQRGS6AU1709" hidden="1">#REF!</definedName>
    <definedName name="IQRGS6AU1710" hidden="1">#REF!</definedName>
    <definedName name="IQRGS6AU2210" hidden="1">#REF!</definedName>
    <definedName name="IQRGS6AU23" hidden="1">#REF!</definedName>
    <definedName name="IQRGS6AU24" hidden="1">#REF!</definedName>
    <definedName name="IQRGS6AU25" hidden="1">#REF!</definedName>
    <definedName name="IQRGS6AU2710" hidden="1">#REF!</definedName>
    <definedName name="IQRGS6AU2711" hidden="1">#REF!</definedName>
    <definedName name="IQRGS6AU2712" hidden="1">#REF!</definedName>
    <definedName name="IQRGS6AU864" hidden="1">#REF!</definedName>
    <definedName name="IQRGS6AU865" hidden="1">#REF!</definedName>
    <definedName name="IQRGS6AX1366" hidden="1">#REF!</definedName>
    <definedName name="IQRGS6AX24" hidden="1">#REF!</definedName>
    <definedName name="IQRGS6AX2712" hidden="1">#REF!</definedName>
    <definedName name="IQRGS6B1365" hidden="1">#REF!</definedName>
    <definedName name="IQRGS6B1366" hidden="1">#REF!</definedName>
    <definedName name="IQRGS6B1709" hidden="1">#REF!</definedName>
    <definedName name="IQRGS6B1710" hidden="1">#REF!</definedName>
    <definedName name="IQRGS6B2210" hidden="1">#REF!</definedName>
    <definedName name="IQRGS6B23" hidden="1">#REF!</definedName>
    <definedName name="IQRGS6B24" hidden="1">#REF!</definedName>
    <definedName name="IQRGS6B25" hidden="1">#REF!</definedName>
    <definedName name="IQRGS6B2710" hidden="1">#REF!</definedName>
    <definedName name="IQRGS6B2711" hidden="1">#REF!</definedName>
    <definedName name="IQRGS6B2712" hidden="1">#REF!</definedName>
    <definedName name="IQRGS6B864" hidden="1">#REF!</definedName>
    <definedName name="IQRGS6B865" hidden="1">#REF!</definedName>
    <definedName name="IQRGS6BetasheetAC24" hidden="1">#REF!</definedName>
    <definedName name="IQRGS6BetasheetAD24" hidden="1">#REF!</definedName>
    <definedName name="IQRGS6BetasheetAF1366" hidden="1">#REF!</definedName>
    <definedName name="IQRGS6BetasheetAF24" hidden="1">#REF!</definedName>
    <definedName name="IQRGS6BetasheetAF2712" hidden="1">#REF!</definedName>
    <definedName name="IQRGS6BetasheetAL24" hidden="1">#REF!</definedName>
    <definedName name="IQRGS6BetasheetAN24" hidden="1">#REF!</definedName>
    <definedName name="IQRGS6BetasheetAP1366" hidden="1">#REF!</definedName>
    <definedName name="IQRGS6BetasheetAP24" hidden="1">#REF!</definedName>
    <definedName name="IQRGS6BetasheetAU24" hidden="1">#REF!</definedName>
    <definedName name="IQRGS6BetasheetAX24" hidden="1">#REF!</definedName>
    <definedName name="IQRGS6BetasheetAZ1366" hidden="1">#REF!</definedName>
    <definedName name="IQRGS6BetasheetAZ24" hidden="1">#REF!</definedName>
    <definedName name="IQRGS6BetasheetB1366" hidden="1">#REF!</definedName>
    <definedName name="IQRGS6BetasheetB24" hidden="1">#REF!</definedName>
    <definedName name="IQRGS6BetasheetB2712" hidden="1">#REF!</definedName>
    <definedName name="IQRGS6BetasheetBD24" hidden="1">#REF!</definedName>
    <definedName name="IQRGS6BetasheetBH24" hidden="1">#REF!</definedName>
    <definedName name="IQRGS6BetasheetBJ1366" hidden="1">#REF!</definedName>
    <definedName name="IQRGS6BetasheetBJ24" hidden="1">#REF!</definedName>
    <definedName name="IQRGS6BetasheetBM24" hidden="1">#REF!</definedName>
    <definedName name="IQRGS6BetasheetBR24" hidden="1">#REF!</definedName>
    <definedName name="IQRGS6BetasheetBT1366" hidden="1">#REF!</definedName>
    <definedName name="IQRGS6BetasheetBT24" hidden="1">#REF!</definedName>
    <definedName name="IQRGS6BetasheetBV24" hidden="1">#REF!</definedName>
    <definedName name="IQRGS6BetasheetCB24" hidden="1">#REF!</definedName>
    <definedName name="IQRGS6BetasheetCD24" hidden="1">#REF!</definedName>
    <definedName name="IQRGS6BetasheetCE24" hidden="1">#REF!</definedName>
    <definedName name="IQRGS6BetasheetCL24" hidden="1">#REF!</definedName>
    <definedName name="IQRGS6BetasheetCN24" hidden="1">#REF!</definedName>
    <definedName name="IQRGS6BetasheetCV24" hidden="1">#REF!</definedName>
    <definedName name="IQRGS6BetasheetCW24" hidden="1">#REF!</definedName>
    <definedName name="IQRGS6BetasheetCX24" hidden="1">#REF!</definedName>
    <definedName name="IQRGS6BetasheetDF24" hidden="1">#REF!</definedName>
    <definedName name="IQRGS6BetasheetDH24" hidden="1">#REF!</definedName>
    <definedName name="IQRGS6BetasheetDO24" hidden="1">#REF!</definedName>
    <definedName name="IQRGS6BetasheetDP24" hidden="1">#REF!</definedName>
    <definedName name="IQRGS6BetasheetDR24" hidden="1">#REF!</definedName>
    <definedName name="IQRGS6BetasheetDX24" hidden="1">#REF!</definedName>
    <definedName name="IQRGS6BetasheetDZ24" hidden="1">#REF!</definedName>
    <definedName name="IQRGS6BetasheetEB24" hidden="1">#REF!</definedName>
    <definedName name="IQRGS6BetasheetEG24" hidden="1">#REF!</definedName>
    <definedName name="IQRGS6BetasheetEJ24" hidden="1">#REF!</definedName>
    <definedName name="IQRGS6BetasheetEL24" hidden="1">#REF!</definedName>
    <definedName name="IQRGS6BetasheetEP24" hidden="1">#REF!</definedName>
    <definedName name="IQRGS6BetasheetET24" hidden="1">#REF!</definedName>
    <definedName name="IQRGS6BetasheetEV24" hidden="1">#REF!</definedName>
    <definedName name="IQRGS6BetasheetEY24" hidden="1">#REF!</definedName>
    <definedName name="IQRGS6BetasheetFD24" hidden="1">#REF!</definedName>
    <definedName name="IQRGS6BetasheetFF24" hidden="1">#REF!</definedName>
    <definedName name="IQRGS6BetasheetFH24" hidden="1">#REF!</definedName>
    <definedName name="IQRGS6BetasheetFN24" hidden="1">#REF!</definedName>
    <definedName name="IQRGS6BetasheetFP24" hidden="1">#REF!</definedName>
    <definedName name="IQRGS6BetasheetFQ24" hidden="1">#REF!</definedName>
    <definedName name="IQRGS6BetasheetFX24" hidden="1">#REF!</definedName>
    <definedName name="IQRGS6BetasheetFZ24" hidden="1">#REF!</definedName>
    <definedName name="IQRGS6BetasheetGH24" hidden="1">#REF!</definedName>
    <definedName name="IQRGS6BetasheetGJ24" hidden="1">#REF!</definedName>
    <definedName name="IQRGS6BetasheetK24" hidden="1">#REF!</definedName>
    <definedName name="IQRGS6BetasheetL1366" hidden="1">#REF!</definedName>
    <definedName name="IQRGS6BetasheetL24" hidden="1">#REF!</definedName>
    <definedName name="IQRGS6BetasheetL2712" hidden="1">#REF!</definedName>
    <definedName name="IQRGS6BetasheetT24" hidden="1">#REF!</definedName>
    <definedName name="IQRGS6BetasheetV1366" hidden="1">#REF!</definedName>
    <definedName name="IQRGS6BetasheetV24" hidden="1">#REF!</definedName>
    <definedName name="IQRGS6BetasheetV2712" hidden="1">#REF!</definedName>
    <definedName name="IQRGS6Betashet1AH1366" hidden="1">#REF!</definedName>
    <definedName name="IQRGS6Betashet1AH2712" hidden="1">#REF!</definedName>
    <definedName name="IQRGS6Betashet1AX1366" hidden="1">#REF!</definedName>
    <definedName name="IQRGS6Betashet1AX2712" hidden="1">#REF!</definedName>
    <definedName name="IQRGS6Betashet1B1366" hidden="1">#REF!</definedName>
    <definedName name="IQRGS6Betashet1B2712" hidden="1">#REF!</definedName>
    <definedName name="IQRGS6Betashet1BN1366" hidden="1">#REF!</definedName>
    <definedName name="IQRGS6Betashet1CD1366" hidden="1">#REF!</definedName>
    <definedName name="IQRGS6Betashet1CT1366" hidden="1">#REF!</definedName>
    <definedName name="IQRGS6Betashet1DJ1366" hidden="1">#REF!</definedName>
    <definedName name="IQRGS6Betashet1R1366" hidden="1">#REF!</definedName>
    <definedName name="IQRGS6Betashet1R2712" hidden="1">#REF!</definedName>
    <definedName name="IQRGS6BetashetA1366" hidden="1">#REF!</definedName>
    <definedName name="IQRGS6BetashetAF1366" hidden="1">#REF!</definedName>
    <definedName name="IQRGS6BetashetAF24" hidden="1">#REF!</definedName>
    <definedName name="IQRGS6BetashetAF2712" hidden="1">#REF!</definedName>
    <definedName name="IQRGS6BetashetAH1366" hidden="1">#REF!</definedName>
    <definedName name="IQRGS6BetashetAH24" hidden="1">#REF!</definedName>
    <definedName name="IQRGS6BetashetAH2712" hidden="1">#REF!</definedName>
    <definedName name="IQRGS6BetashetAP1366" hidden="1">#REF!</definedName>
    <definedName name="IQRGS6BetashetAP24" hidden="1">#REF!</definedName>
    <definedName name="IQRGS6BetashetAX1366" hidden="1">#REF!</definedName>
    <definedName name="IQRGS6BetashetAX24" hidden="1">#REF!</definedName>
    <definedName name="IQRGS6BetashetAX2712" hidden="1">#REF!</definedName>
    <definedName name="IQRGS6BetashetAZ1366" hidden="1">#REF!</definedName>
    <definedName name="IQRGS6BetashetAZ24" hidden="1">#REF!</definedName>
    <definedName name="IQRGS6BetashetB1366" hidden="1">#REF!</definedName>
    <definedName name="IQRGS6BetashetB24" hidden="1">#REF!</definedName>
    <definedName name="IQRGS6BetashetB2712" hidden="1">#REF!</definedName>
    <definedName name="IQRGS6BetashetBJ1366" hidden="1">#REF!</definedName>
    <definedName name="IQRGS6BetashetBJ24" hidden="1">#REF!</definedName>
    <definedName name="IQRGS6BetashetBN1366" hidden="1">#REF!</definedName>
    <definedName name="IQRGS6BetashetBN24" hidden="1">#REF!</definedName>
    <definedName name="IQRGS6BetashetBT1366" hidden="1">#REF!</definedName>
    <definedName name="IQRGS6BetashetBT24" hidden="1">#REF!</definedName>
    <definedName name="IQRGS6BetashetCD1366" hidden="1">#REF!</definedName>
    <definedName name="IQRGS6BetashetCD24" hidden="1">#REF!</definedName>
    <definedName name="IQRGS6BetashetCT1366" hidden="1">#REF!</definedName>
    <definedName name="IQRGS6BetashetCT24" hidden="1">#REF!</definedName>
    <definedName name="IQRGS6BetashetDJ1366" hidden="1">#REF!</definedName>
    <definedName name="IQRGS6BetashetDJ24" hidden="1">#REF!</definedName>
    <definedName name="IQRGS6BetashetL1366" hidden="1">#REF!</definedName>
    <definedName name="IQRGS6BetashetL24" hidden="1">#REF!</definedName>
    <definedName name="IQRGS6BetashetL2712" hidden="1">#REF!</definedName>
    <definedName name="IQRGS6BetashetR1366" hidden="1">#REF!</definedName>
    <definedName name="IQRGS6BetashetR24" hidden="1">#REF!</definedName>
    <definedName name="IQRGS6BetashetR2712" hidden="1">#REF!</definedName>
    <definedName name="IQRGS6BetashetV1366" hidden="1">#REF!</definedName>
    <definedName name="IQRGS6BetashetV24" hidden="1">#REF!</definedName>
    <definedName name="IQRGS6BetashetV2712" hidden="1">#REF!</definedName>
    <definedName name="IQRGS6BJ1365" hidden="1">#REF!</definedName>
    <definedName name="IQRGS6BJ1366" hidden="1">#REF!</definedName>
    <definedName name="IQRGS6BJ1709" hidden="1">#REF!</definedName>
    <definedName name="IQRGS6BJ1710" hidden="1">#REF!</definedName>
    <definedName name="IQRGS6BJ2210" hidden="1">#REF!</definedName>
    <definedName name="IQRGS6BJ23" hidden="1">#REF!</definedName>
    <definedName name="IQRGS6BJ24" hidden="1">#REF!</definedName>
    <definedName name="IQRGS6BJ25" hidden="1">#REF!</definedName>
    <definedName name="IQRGS6BJ2710" hidden="1">#REF!</definedName>
    <definedName name="IQRGS6BJ2711" hidden="1">#REF!</definedName>
    <definedName name="IQRGS6BJ2712" hidden="1">#REF!</definedName>
    <definedName name="IQRGS6BJ864" hidden="1">#REF!</definedName>
    <definedName name="IQRGS6BJ865" hidden="1">#REF!</definedName>
    <definedName name="IQRGS6BN1366" hidden="1">#REF!</definedName>
    <definedName name="IQRGS6BN24" hidden="1">#REF!</definedName>
    <definedName name="IQRGS6BY1365" hidden="1">#REF!</definedName>
    <definedName name="IQRGS6BY1366" hidden="1">#REF!</definedName>
    <definedName name="IQRGS6BY1709" hidden="1">#REF!</definedName>
    <definedName name="IQRGS6BY1710" hidden="1">#REF!</definedName>
    <definedName name="IQRGS6BY2210" hidden="1">#REF!</definedName>
    <definedName name="IQRGS6BY23" hidden="1">#REF!</definedName>
    <definedName name="IQRGS6BY24" hidden="1">#REF!</definedName>
    <definedName name="IQRGS6BY25" hidden="1">#REF!</definedName>
    <definedName name="IQRGS6BY2710" hidden="1">#REF!</definedName>
    <definedName name="IQRGS6BY2711" hidden="1">#REF!</definedName>
    <definedName name="IQRGS6BY2712" hidden="1">#REF!</definedName>
    <definedName name="IQRGS6BY864" hidden="1">#REF!</definedName>
    <definedName name="IQRGS6BY865" hidden="1">#REF!</definedName>
    <definedName name="IQRGS6CD1366" hidden="1">#REF!</definedName>
    <definedName name="IQRGS6CD24" hidden="1">#REF!</definedName>
    <definedName name="IQRGS6CN1365" hidden="1">#REF!</definedName>
    <definedName name="IQRGS6CN1366" hidden="1">#REF!</definedName>
    <definedName name="IQRGS6CN1709" hidden="1">#REF!</definedName>
    <definedName name="IQRGS6CN1710" hidden="1">#REF!</definedName>
    <definedName name="IQRGS6CN2210" hidden="1">#REF!</definedName>
    <definedName name="IQRGS6CN23" hidden="1">#REF!</definedName>
    <definedName name="IQRGS6CN24" hidden="1">#REF!</definedName>
    <definedName name="IQRGS6CN25" hidden="1">#REF!</definedName>
    <definedName name="IQRGS6CN2710" hidden="1">#REF!</definedName>
    <definedName name="IQRGS6CN2711" hidden="1">#REF!</definedName>
    <definedName name="IQRGS6CN2712" hidden="1">#REF!</definedName>
    <definedName name="IQRGS6CN864" hidden="1">#REF!</definedName>
    <definedName name="IQRGS6CN865" hidden="1">#REF!</definedName>
    <definedName name="IQRGS6CT1366" hidden="1">#REF!</definedName>
    <definedName name="IQRGS6CT24" hidden="1">#REF!</definedName>
    <definedName name="IQRGS6DC1365" hidden="1">#REF!</definedName>
    <definedName name="IQRGS6DC1366" hidden="1">#REF!</definedName>
    <definedName name="IQRGS6DC1709" hidden="1">#REF!</definedName>
    <definedName name="IQRGS6DC1710" hidden="1">#REF!</definedName>
    <definedName name="IQRGS6DC2210" hidden="1">#REF!</definedName>
    <definedName name="IQRGS6DC23" hidden="1">#REF!</definedName>
    <definedName name="IQRGS6DC24" hidden="1">#REF!</definedName>
    <definedName name="IQRGS6DC25" hidden="1">#REF!</definedName>
    <definedName name="IQRGS6DC2710" hidden="1">#REF!</definedName>
    <definedName name="IQRGS6DC2711" hidden="1">#REF!</definedName>
    <definedName name="IQRGS6DC2712" hidden="1">#REF!</definedName>
    <definedName name="IQRGS6DC864" hidden="1">#REF!</definedName>
    <definedName name="IQRGS6DC865" hidden="1">#REF!</definedName>
    <definedName name="IQRGS6DJ1366" hidden="1">#REF!</definedName>
    <definedName name="IQRGS6DJ24" hidden="1">#REF!</definedName>
    <definedName name="IQRGS6DR1365" hidden="1">#REF!</definedName>
    <definedName name="IQRGS6DR1366" hidden="1">#REF!</definedName>
    <definedName name="IQRGS6DR23" hidden="1">#REF!</definedName>
    <definedName name="IQRGS6DR24" hidden="1">#REF!</definedName>
    <definedName name="IQRGS6DR25" hidden="1">#REF!</definedName>
    <definedName name="IQRGS6DR864" hidden="1">#REF!</definedName>
    <definedName name="IQRGS6DR865" hidden="1">#REF!</definedName>
    <definedName name="IQRGS6EG1365" hidden="1">#REF!</definedName>
    <definedName name="IQRGS6EG1366" hidden="1">#REF!</definedName>
    <definedName name="IQRGS6EG23" hidden="1">#REF!</definedName>
    <definedName name="IQRGS6EG24" hidden="1">#REF!</definedName>
    <definedName name="IQRGS6EG25" hidden="1">#REF!</definedName>
    <definedName name="IQRGS6EG864" hidden="1">#REF!</definedName>
    <definedName name="IQRGS6EG865" hidden="1">#REF!</definedName>
    <definedName name="IQRGS6EV1365" hidden="1">#REF!</definedName>
    <definedName name="IQRGS6EV1366" hidden="1">#REF!</definedName>
    <definedName name="IQRGS6EV23" hidden="1">#REF!</definedName>
    <definedName name="IQRGS6EV24" hidden="1">#REF!</definedName>
    <definedName name="IQRGS6EV25" hidden="1">#REF!</definedName>
    <definedName name="IQRGS6EV864" hidden="1">#REF!</definedName>
    <definedName name="IQRGS6EV865" hidden="1">#REF!</definedName>
    <definedName name="IQRGS6FK1365" hidden="1">#REF!</definedName>
    <definedName name="IQRGS6FK1366" hidden="1">#REF!</definedName>
    <definedName name="IQRGS6FK23" hidden="1">#REF!</definedName>
    <definedName name="IQRGS6FK24" hidden="1">#REF!</definedName>
    <definedName name="IQRGS6FK25" hidden="1">#REF!</definedName>
    <definedName name="IQRGS6FK864" hidden="1">#REF!</definedName>
    <definedName name="IQRGS6FK865" hidden="1">#REF!</definedName>
    <definedName name="IQRGS6FZ1365" hidden="1">#REF!</definedName>
    <definedName name="IQRGS6FZ1366" hidden="1">#REF!</definedName>
    <definedName name="IQRGS6FZ23" hidden="1">#REF!</definedName>
    <definedName name="IQRGS6FZ24" hidden="1">#REF!</definedName>
    <definedName name="IQRGS6FZ25" hidden="1">#REF!</definedName>
    <definedName name="IQRGS6FZ864" hidden="1">#REF!</definedName>
    <definedName name="IQRGS6FZ865" hidden="1">#REF!</definedName>
    <definedName name="IQRGS6GO1365" hidden="1">#REF!</definedName>
    <definedName name="IQRGS6GO1366" hidden="1">#REF!</definedName>
    <definedName name="IQRGS6GO23" hidden="1">#REF!</definedName>
    <definedName name="IQRGS6GO24" hidden="1">#REF!</definedName>
    <definedName name="IQRGS6GO25" hidden="1">#REF!</definedName>
    <definedName name="IQRGS6GO864" hidden="1">#REF!</definedName>
    <definedName name="IQRGS6GO865" hidden="1">#REF!</definedName>
    <definedName name="IQRGS6HD1365" hidden="1">#REF!</definedName>
    <definedName name="IQRGS6HD1366" hidden="1">#REF!</definedName>
    <definedName name="IQRGS6HD23" hidden="1">#REF!</definedName>
    <definedName name="IQRGS6HD24" hidden="1">#REF!</definedName>
    <definedName name="IQRGS6HD25" hidden="1">#REF!</definedName>
    <definedName name="IQRGS6HD864" hidden="1">#REF!</definedName>
    <definedName name="IQRGS6HD865" hidden="1">#REF!</definedName>
    <definedName name="IQRGS6HS1365" hidden="1">#REF!</definedName>
    <definedName name="IQRGS6HS1366" hidden="1">#REF!</definedName>
    <definedName name="IQRGS6HS23" hidden="1">#REF!</definedName>
    <definedName name="IQRGS6HS24" hidden="1">#REF!</definedName>
    <definedName name="IQRGS6HS25" hidden="1">#REF!</definedName>
    <definedName name="IQRGS6HS864" hidden="1">#REF!</definedName>
    <definedName name="IQRGS6HS865" hidden="1">#REF!</definedName>
    <definedName name="IQRGS6MktCapAC22" hidden="1">#REF!</definedName>
    <definedName name="IQRGS6MktCapAD15" hidden="1">#REF!</definedName>
    <definedName name="IQRGS6MktCapAE15" hidden="1">#REF!</definedName>
    <definedName name="IQRGS6MktCapAF15" hidden="1">#REF!</definedName>
    <definedName name="IQRGS6MktCapAG15" hidden="1">#REF!</definedName>
    <definedName name="IQRGS6MktCapAH15" hidden="1">#REF!</definedName>
    <definedName name="IQRGS6MktCapAK15" hidden="1">#REF!</definedName>
    <definedName name="IQRGS6MktCapAL15" hidden="1">#REF!</definedName>
    <definedName name="IQRGS6MktCapAL22" hidden="1">#REF!</definedName>
    <definedName name="IQRGS6MktCapAM15" hidden="1">#REF!</definedName>
    <definedName name="IQRGS6MktCapAN15" hidden="1">#REF!</definedName>
    <definedName name="IQRGS6MktCapAO15" hidden="1">#REF!</definedName>
    <definedName name="IQRGS6MktCapAP15" hidden="1">#REF!</definedName>
    <definedName name="IQRGS6MktCapAR15" hidden="1">#REF!</definedName>
    <definedName name="IQRGS6MktCapAS15" hidden="1">#REF!</definedName>
    <definedName name="IQRGS6MktCapAT15" hidden="1">#REF!</definedName>
    <definedName name="IQRGS6MktCapAU15" hidden="1">#REF!</definedName>
    <definedName name="IQRGS6MktCapAU22" hidden="1">#REF!</definedName>
    <definedName name="IQRGS6MktCapAV15" hidden="1">#REF!</definedName>
    <definedName name="IQRGS6MktCapAW15" hidden="1">#REF!</definedName>
    <definedName name="IQRGS6MktCapAX15" hidden="1">#REF!</definedName>
    <definedName name="IQRGS6MktCapAY15" hidden="1">#REF!</definedName>
    <definedName name="IQRGS6MktCapAZ15" hidden="1">#REF!</definedName>
    <definedName name="IQRGS6MktCapB15" hidden="1">#REF!</definedName>
    <definedName name="IQRGS6MktCapB22" hidden="1">#REF!</definedName>
    <definedName name="IQRGS6MktCapBA15" hidden="1">#REF!</definedName>
    <definedName name="IQRGS6MktCapBB15" hidden="1">#REF!</definedName>
    <definedName name="IQRGS6MktCapBC15" hidden="1">#REF!</definedName>
    <definedName name="IQRGS6MktCapBD15" hidden="1">#REF!</definedName>
    <definedName name="IQRGS6MktCapBD22" hidden="1">#REF!</definedName>
    <definedName name="IQRGS6MktCapBE15" hidden="1">#REF!</definedName>
    <definedName name="IQRGS6MktCapBF15" hidden="1">#REF!</definedName>
    <definedName name="IQRGS6MktCapBG15" hidden="1">#REF!</definedName>
    <definedName name="IQRGS6MktCapBH15" hidden="1">#REF!</definedName>
    <definedName name="IQRGS6MktCapBI15" hidden="1">#REF!</definedName>
    <definedName name="IQRGS6MktCapBJ15" hidden="1">#REF!</definedName>
    <definedName name="IQRGS6MktCapBK15" hidden="1">#REF!</definedName>
    <definedName name="IQRGS6MktCapBL15" hidden="1">#REF!</definedName>
    <definedName name="IQRGS6MktCapBM15" hidden="1">#REF!</definedName>
    <definedName name="IQRGS6MktCapBM22" hidden="1">#REF!</definedName>
    <definedName name="IQRGS6MktCapBN15" hidden="1">#REF!</definedName>
    <definedName name="IQRGS6MktCapBO15" hidden="1">#REF!</definedName>
    <definedName name="IQRGS6MktCapBP15" hidden="1">#REF!</definedName>
    <definedName name="IQRGS6MktCapBQ15" hidden="1">#REF!</definedName>
    <definedName name="IQRGS6MktCapBR15" hidden="1">#REF!</definedName>
    <definedName name="IQRGS6MktCapBS15" hidden="1">#REF!</definedName>
    <definedName name="IQRGS6MktCapBT15" hidden="1">#REF!</definedName>
    <definedName name="IQRGS6MktCapBU15" hidden="1">#REF!</definedName>
    <definedName name="IQRGS6MktCapBV15" hidden="1">#REF!</definedName>
    <definedName name="IQRGS6MktCapBV22" hidden="1">#REF!</definedName>
    <definedName name="IQRGS6MktCapBW15" hidden="1">#REF!</definedName>
    <definedName name="IQRGS6MktCapBX15" hidden="1">#REF!</definedName>
    <definedName name="IQRGS6MktCapBY15" hidden="1">#REF!</definedName>
    <definedName name="IQRGS6MktCapBZ15" hidden="1">#REF!</definedName>
    <definedName name="IQRGS6MktCapCA15" hidden="1">#REF!</definedName>
    <definedName name="IQRGS6MktCapCB15" hidden="1">#REF!</definedName>
    <definedName name="IQRGS6MktCapCC15" hidden="1">#REF!</definedName>
    <definedName name="IQRGS6MktCapCD15" hidden="1">#REF!</definedName>
    <definedName name="IQRGS6MktCapCE15" hidden="1">#REF!</definedName>
    <definedName name="IQRGS6MktCapCE22" hidden="1">#REF!</definedName>
    <definedName name="IQRGS6MktCapCF15" hidden="1">#REF!</definedName>
    <definedName name="IQRGS6MktCapCG15" hidden="1">#REF!</definedName>
    <definedName name="IQRGS6MktCapCH15" hidden="1">#REF!</definedName>
    <definedName name="IQRGS6MktCapCI15" hidden="1">#REF!</definedName>
    <definedName name="IQRGS6MktCapCJ15" hidden="1">#REF!</definedName>
    <definedName name="IQRGS6MktCapCK15" hidden="1">#REF!</definedName>
    <definedName name="IQRGS6MktCapCL15" hidden="1">#REF!</definedName>
    <definedName name="IQRGS6MktCapCM15" hidden="1">#REF!</definedName>
    <definedName name="IQRGS6MktCapCN15" hidden="1">#REF!</definedName>
    <definedName name="IQRGS6MktCapCN22" hidden="1">#REF!</definedName>
    <definedName name="IQRGS6MktCapCO15" hidden="1">#REF!</definedName>
    <definedName name="IQRGS6MktCapCP15" hidden="1">#REF!</definedName>
    <definedName name="IQRGS6MktCapCQ15" hidden="1">#REF!</definedName>
    <definedName name="IQRGS6MktCapCR15" hidden="1">#REF!</definedName>
    <definedName name="IQRGS6MktCapCS15" hidden="1">#REF!</definedName>
    <definedName name="IQRGS6MktCapCT15" hidden="1">#REF!</definedName>
    <definedName name="IQRGS6MktCapCU15" hidden="1">#REF!</definedName>
    <definedName name="IQRGS6MktCapCV15" hidden="1">#REF!</definedName>
    <definedName name="IQRGS6MktCapCW15" hidden="1">#REF!</definedName>
    <definedName name="IQRGS6MktCapCW22" hidden="1">#REF!</definedName>
    <definedName name="IQRGS6MktCapCX15" hidden="1">#REF!</definedName>
    <definedName name="IQRGS6MktCapCY15" hidden="1">#REF!</definedName>
    <definedName name="IQRGS6MktCapCZ15" hidden="1">#REF!</definedName>
    <definedName name="IQRGS6MktCapDA15" hidden="1">#REF!</definedName>
    <definedName name="IQRGS6MktCapDB15" hidden="1">#REF!</definedName>
    <definedName name="IQRGS6MktCapDC15" hidden="1">#REF!</definedName>
    <definedName name="IQRGS6MktCapDD15" hidden="1">#REF!</definedName>
    <definedName name="IQRGS6MktCapDE15" hidden="1">#REF!</definedName>
    <definedName name="IQRGS6MktCapDF15" hidden="1">#REF!</definedName>
    <definedName name="IQRGS6MktCapDF22" hidden="1">#REF!</definedName>
    <definedName name="IQRGS6MktCapDG15" hidden="1">#REF!</definedName>
    <definedName name="IQRGS6MktCapDH15" hidden="1">#REF!</definedName>
    <definedName name="IQRGS6MktCapDI15" hidden="1">#REF!</definedName>
    <definedName name="IQRGS6MktCapDJ15" hidden="1">#REF!</definedName>
    <definedName name="IQRGS6MktCapDK15" hidden="1">#REF!</definedName>
    <definedName name="IQRGS6MktCapDL15" hidden="1">#REF!</definedName>
    <definedName name="IQRGS6MktCapDM15" hidden="1">#REF!</definedName>
    <definedName name="IQRGS6MktCapDN15" hidden="1">#REF!</definedName>
    <definedName name="IQRGS6MktCapDO15" hidden="1">#REF!</definedName>
    <definedName name="IQRGS6MktCapDO22" hidden="1">#REF!</definedName>
    <definedName name="IQRGS6MktCapDP15" hidden="1">#REF!</definedName>
    <definedName name="IQRGS6MktCapDQ15" hidden="1">#REF!</definedName>
    <definedName name="IQRGS6MktCapDR15" hidden="1">#REF!</definedName>
    <definedName name="IQRGS6MktCapDS15" hidden="1">#REF!</definedName>
    <definedName name="IQRGS6MktCapDT15" hidden="1">#REF!</definedName>
    <definedName name="IQRGS6MktCapDU15" hidden="1">#REF!</definedName>
    <definedName name="IQRGS6MktCapDV15" hidden="1">#REF!</definedName>
    <definedName name="IQRGS6MktCapDW15" hidden="1">#REF!</definedName>
    <definedName name="IQRGS6MktCapDX15" hidden="1">#REF!</definedName>
    <definedName name="IQRGS6MktCapDX22" hidden="1">#REF!</definedName>
    <definedName name="IQRGS6MktCapDY15" hidden="1">#REF!</definedName>
    <definedName name="IQRGS6MktCapDZ15" hidden="1">#REF!</definedName>
    <definedName name="IQRGS6MktCapEA15" hidden="1">#REF!</definedName>
    <definedName name="IQRGS6MktCapEB15" hidden="1">#REF!</definedName>
    <definedName name="IQRGS6MktCapEC15" hidden="1">#REF!</definedName>
    <definedName name="IQRGS6MktCapED15" hidden="1">#REF!</definedName>
    <definedName name="IQRGS6MktCapEE15" hidden="1">#REF!</definedName>
    <definedName name="IQRGS6MktCapEF15" hidden="1">#REF!</definedName>
    <definedName name="IQRGS6MktCapEG15" hidden="1">#REF!</definedName>
    <definedName name="IQRGS6MktCapEG22" hidden="1">#REF!</definedName>
    <definedName name="IQRGS6MktCapEH15" hidden="1">#REF!</definedName>
    <definedName name="IQRGS6MktCapEI15" hidden="1">#REF!</definedName>
    <definedName name="IQRGS6MktCapEJ15" hidden="1">#REF!</definedName>
    <definedName name="IQRGS6MktCapEK15" hidden="1">#REF!</definedName>
    <definedName name="IQRGS6MktCapEL15" hidden="1">#REF!</definedName>
    <definedName name="IQRGS6MktCapEM15" hidden="1">#REF!</definedName>
    <definedName name="IQRGS6MktCapEN15" hidden="1">#REF!</definedName>
    <definedName name="IQRGS6MktCapEO15" hidden="1">#REF!</definedName>
    <definedName name="IQRGS6MktCapEP15" hidden="1">#REF!</definedName>
    <definedName name="IQRGS6MktCapEP22" hidden="1">#REF!</definedName>
    <definedName name="IQRGS6MktCapEQ15" hidden="1">#REF!</definedName>
    <definedName name="IQRGS6MktCapER15" hidden="1">#REF!</definedName>
    <definedName name="IQRGS6MktCapES15" hidden="1">#REF!</definedName>
    <definedName name="IQRGS6MktCapET15" hidden="1">#REF!</definedName>
    <definedName name="IQRGS6MktCapEU15" hidden="1">#REF!</definedName>
    <definedName name="IQRGS6MktCapEV15" hidden="1">#REF!</definedName>
    <definedName name="IQRGS6MktCapEW15" hidden="1">#REF!</definedName>
    <definedName name="IQRGS6MktCapEX15" hidden="1">#REF!</definedName>
    <definedName name="IQRGS6MktCapEY22" hidden="1">#REF!</definedName>
    <definedName name="IQRGS6MktCapFH22" hidden="1">#REF!</definedName>
    <definedName name="IQRGS6MktCapFQ22" hidden="1">#REF!</definedName>
    <definedName name="IQRGS6MktCapI15" hidden="1">#REF!</definedName>
    <definedName name="IQRGS6MktCapJ15" hidden="1">#REF!</definedName>
    <definedName name="IQRGS6MktCapK22" hidden="1">#REF!</definedName>
    <definedName name="IQRGS6MktCapP15" hidden="1">#REF!</definedName>
    <definedName name="IQRGS6MktCapQ15" hidden="1">#REF!</definedName>
    <definedName name="IQRGS6MktCapR15" hidden="1">#REF!</definedName>
    <definedName name="IQRGS6MktCapT22" hidden="1">#REF!</definedName>
    <definedName name="IQRGS6MktCapW15" hidden="1">#REF!</definedName>
    <definedName name="IQRGS6MktCapX15" hidden="1">#REF!</definedName>
    <definedName name="IQRGS6MktCapY15" hidden="1">#REF!</definedName>
    <definedName name="IQRGS6MktCapZ15" hidden="1">#REF!</definedName>
    <definedName name="IQRGS6Q1365" hidden="1">#REF!</definedName>
    <definedName name="IQRGS6Q1366" hidden="1">#REF!</definedName>
    <definedName name="IQRGS6Q1709" hidden="1">#REF!</definedName>
    <definedName name="IQRGS6Q1710" hidden="1">#REF!</definedName>
    <definedName name="IQRGS6Q2210" hidden="1">#REF!</definedName>
    <definedName name="IQRGS6Q23" hidden="1">#REF!</definedName>
    <definedName name="IQRGS6Q24" hidden="1">#REF!</definedName>
    <definedName name="IQRGS6Q25" hidden="1">#REF!</definedName>
    <definedName name="IQRGS6Q2710" hidden="1">#REF!</definedName>
    <definedName name="IQRGS6Q2711" hidden="1">#REF!</definedName>
    <definedName name="IQRGS6Q2712" hidden="1">#REF!</definedName>
    <definedName name="IQRGS6Q864" hidden="1">#REF!</definedName>
    <definedName name="IQRGS6Q865" hidden="1">#REF!</definedName>
    <definedName name="IQRGS6R1366" hidden="1">#REF!</definedName>
    <definedName name="IQRGS6R2712" hidden="1">#REF!</definedName>
    <definedName name="IQRH10" hidden="1">"$H$11:$H$24"</definedName>
    <definedName name="IQRH11" hidden="1">"$H$12:$H$21"</definedName>
    <definedName name="IQRHD23" hidden="1">"$HD$24"</definedName>
    <definedName name="IQRHD864" hidden="1">"$HD$865"</definedName>
    <definedName name="IQRHS23" hidden="1">"$HS$24"</definedName>
    <definedName name="IQRHS864" hidden="1">"$HS$865"</definedName>
    <definedName name="IQRM10" hidden="1">"$M$11:$M$24"</definedName>
    <definedName name="IQRM11" hidden="1">"$M$12:$M$25"</definedName>
    <definedName name="IQRMktCapAH14" hidden="1">#REF!</definedName>
    <definedName name="IQRMktCapAH15" hidden="1">#REF!</definedName>
    <definedName name="IQRMktCapAH16" hidden="1">#REF!</definedName>
    <definedName name="IQRMktCapAP14" hidden="1">#REF!</definedName>
    <definedName name="IQRMktCapAP15" hidden="1">#REF!</definedName>
    <definedName name="IQRMktCapAP16" hidden="1">#REF!</definedName>
    <definedName name="IQRMktCapAX14" hidden="1">#REF!</definedName>
    <definedName name="IQRMktCapAX15" hidden="1">#REF!</definedName>
    <definedName name="IQRMktCapAX16" hidden="1">#REF!</definedName>
    <definedName name="IQRMktCapB14" hidden="1">#REF!</definedName>
    <definedName name="IQRMktCapB15" hidden="1">#REF!</definedName>
    <definedName name="IQRMktCapB16" hidden="1">#REF!</definedName>
    <definedName name="IQRMktCapBF14" hidden="1">#REF!</definedName>
    <definedName name="IQRMktCapBF15" hidden="1">#REF!</definedName>
    <definedName name="IQRMktCapBF16" hidden="1">#REF!</definedName>
    <definedName name="IQRMktCapBN14" hidden="1">#REF!</definedName>
    <definedName name="IQRMktCapBN15" hidden="1">#REF!</definedName>
    <definedName name="IQRMktCapBN16" hidden="1">#REF!</definedName>
    <definedName name="IQRMktCapBV14" hidden="1">#REF!</definedName>
    <definedName name="IQRMktCapBV15" hidden="1">#REF!</definedName>
    <definedName name="IQRMktCapBV16" hidden="1">#REF!</definedName>
    <definedName name="IQRMktCapCD14" hidden="1">#REF!</definedName>
    <definedName name="IQRMktCapCD15" hidden="1">#REF!</definedName>
    <definedName name="IQRMktCapCD16" hidden="1">#REF!</definedName>
    <definedName name="IQRMktCapCL14" hidden="1">#REF!</definedName>
    <definedName name="IQRMktCapCL15" hidden="1">#REF!</definedName>
    <definedName name="IQRMktCapCL16" hidden="1">#REF!</definedName>
    <definedName name="IQRMktCapCT14" hidden="1">#REF!</definedName>
    <definedName name="IQRMktCapCT15" hidden="1">#REF!</definedName>
    <definedName name="IQRMktCapCT16" hidden="1">#REF!</definedName>
    <definedName name="IQRMktCapDB14" hidden="1">#REF!</definedName>
    <definedName name="IQRMktCapDB15" hidden="1">#REF!</definedName>
    <definedName name="IQRMktCapDB16" hidden="1">#REF!</definedName>
    <definedName name="IQRMktCapDJ14" hidden="1">#REF!</definedName>
    <definedName name="IQRMktCapDJ15" hidden="1">#REF!</definedName>
    <definedName name="IQRMktCapDJ16" hidden="1">#REF!</definedName>
    <definedName name="IQRMktCapDR14" hidden="1">#REF!</definedName>
    <definedName name="IQRMktCapDR15" hidden="1">#REF!</definedName>
    <definedName name="IQRMktCapDR16" hidden="1">#REF!</definedName>
    <definedName name="IQRMktCapDZ14" hidden="1">#REF!</definedName>
    <definedName name="IQRMktCapDZ15" hidden="1">#REF!</definedName>
    <definedName name="IQRMktCapDZ16" hidden="1">#REF!</definedName>
    <definedName name="IQRMktCapEH14" hidden="1">#REF!</definedName>
    <definedName name="IQRMktCapEH15" hidden="1">#REF!</definedName>
    <definedName name="IQRMktCapEH16" hidden="1">#REF!</definedName>
    <definedName name="IQRMktCapEP14" hidden="1">#REF!</definedName>
    <definedName name="IQRMktCapEP15" hidden="1">#REF!</definedName>
    <definedName name="IQRMktCapEP16" hidden="1">#REF!</definedName>
    <definedName name="IQRMktCapEX14" hidden="1">#REF!</definedName>
    <definedName name="IQRMktCapEX15" hidden="1">#REF!</definedName>
    <definedName name="IQRMktCapEX16" hidden="1">#REF!</definedName>
    <definedName name="IQRMktCapJ14" hidden="1">#REF!</definedName>
    <definedName name="IQRMktCapJ15" hidden="1">#REF!</definedName>
    <definedName name="IQRMktCapJ16" hidden="1">#REF!</definedName>
    <definedName name="IQRMktCapR14" hidden="1">#REF!</definedName>
    <definedName name="IQRMktCapR15" hidden="1">#REF!</definedName>
    <definedName name="IQRMktCapR16" hidden="1">#REF!</definedName>
    <definedName name="IQRMktCapZ14" hidden="1">#REF!</definedName>
    <definedName name="IQRMktCapZ15" hidden="1">#REF!</definedName>
    <definedName name="IQRMktCapZ16" hidden="1">#REF!</definedName>
    <definedName name="IQRN11" hidden="1">"$N$12:$N$16"</definedName>
    <definedName name="IQRO10" hidden="1">"$O$11:$O$24"</definedName>
    <definedName name="IQRO11" hidden="1">"$O$12"</definedName>
    <definedName name="IQRP11" hidden="1">"$P$12"</definedName>
    <definedName name="IQRPrefShareAA6" hidden="1">#REF!</definedName>
    <definedName name="IQRPrefShareAC6" hidden="1">#REF!</definedName>
    <definedName name="IQRPrefShareAE6" hidden="1">#REF!</definedName>
    <definedName name="IQRPrefShareAG6" hidden="1">#REF!</definedName>
    <definedName name="IQRPrefShareAI6" hidden="1">#REF!</definedName>
    <definedName name="IQRPrefShareAK6" hidden="1">#REF!</definedName>
    <definedName name="IQRPrefShareAM6" hidden="1">#REF!</definedName>
    <definedName name="IQRPrefShareAO6" hidden="1">#REF!</definedName>
    <definedName name="IQRPrefShareAQ6" hidden="1">#REF!</definedName>
    <definedName name="IQRPrefShareAS6" hidden="1">#REF!</definedName>
    <definedName name="IQRPrefShareAU6" hidden="1">#REF!</definedName>
    <definedName name="IQRPrefShareAW6" hidden="1">#REF!</definedName>
    <definedName name="IQRPrefShareAY6" hidden="1">#REF!</definedName>
    <definedName name="IQRPrefShareB6" hidden="1">#REF!</definedName>
    <definedName name="IQRPrefShareBA6" hidden="1">#REF!</definedName>
    <definedName name="IQRPrefShareBC6" hidden="1">#REF!</definedName>
    <definedName name="IQRPrefShareQ5" hidden="1">#REF!</definedName>
    <definedName name="IQRPrefShareQ6" hidden="1">#REF!</definedName>
    <definedName name="IQRPrefShareS6" hidden="1">#REF!</definedName>
    <definedName name="IQRPrefShareU6" hidden="1">#REF!</definedName>
    <definedName name="IQRPrefShareW6" hidden="1">#REF!</definedName>
    <definedName name="IQRPrefShareY6" hidden="1">#REF!</definedName>
    <definedName name="IQRQ10" hidden="1">"$Q$11:$Q$15"</definedName>
    <definedName name="IQRQ11" hidden="1">"$Q$12"</definedName>
    <definedName name="IQRQ1709" hidden="1">"$Q$1710"</definedName>
    <definedName name="IQRQ23" hidden="1">"$Q$24"</definedName>
    <definedName name="IQRQ864" hidden="1">"$Q$865"</definedName>
    <definedName name="IQRR11" hidden="1">"$R$12"</definedName>
    <definedName name="IQRS10" hidden="1">"$S$11"</definedName>
    <definedName name="IQRS11" hidden="1">"$S$12"</definedName>
    <definedName name="IQRSheet1A6" hidden="1">#REF!</definedName>
    <definedName name="IQRSheet1A7" hidden="1">#REF!</definedName>
    <definedName name="IQRSheet1A8" hidden="1">#REF!</definedName>
    <definedName name="IQRSheet1A9" hidden="1">#REF!</definedName>
    <definedName name="IQRSheet1AG8" hidden="1">#REF!</definedName>
    <definedName name="IQRSheet1AO8" hidden="1">#REF!</definedName>
    <definedName name="IQRSheet1AW8" hidden="1">#REF!</definedName>
    <definedName name="IQRSheet1B6" hidden="1">#REF!</definedName>
    <definedName name="IQRSheet1B7" hidden="1">#REF!</definedName>
    <definedName name="IQRSheet1B8" hidden="1">#REF!</definedName>
    <definedName name="IQRSheet1BE8" hidden="1">#REF!</definedName>
    <definedName name="IQRSheet1BM8" hidden="1">#REF!</definedName>
    <definedName name="IQRSheet1BU8" hidden="1">#REF!</definedName>
    <definedName name="IQRSheet1CB8" hidden="1">#REF!</definedName>
    <definedName name="IQRSheet1CC8" hidden="1">#REF!</definedName>
    <definedName name="IQRSheet1CJ8" hidden="1">#REF!</definedName>
    <definedName name="IQRSheet1CK8" hidden="1">#REF!</definedName>
    <definedName name="IQRSheet1CR8" hidden="1">#REF!</definedName>
    <definedName name="IQRSheet1CS8" hidden="1">#REF!</definedName>
    <definedName name="IQRSheet1CZ8" hidden="1">#REF!</definedName>
    <definedName name="IQRSheet1DA8" hidden="1">#REF!</definedName>
    <definedName name="IQRSheet1DH8" hidden="1">#REF!</definedName>
    <definedName name="IQRSheet1DI8" hidden="1">#REF!</definedName>
    <definedName name="IQRSheet1DP8" hidden="1">#REF!</definedName>
    <definedName name="IQRSheet1DQ8" hidden="1">#REF!</definedName>
    <definedName name="IQRSheet1DX8" hidden="1">#REF!</definedName>
    <definedName name="IQRSheet1DY8" hidden="1">#REF!</definedName>
    <definedName name="IQRSheet1EF8" hidden="1">#REF!</definedName>
    <definedName name="IQRSheet1EG8" hidden="1">#REF!</definedName>
    <definedName name="IQRSheet1EN8" hidden="1">#REF!</definedName>
    <definedName name="IQRSheet1EO8" hidden="1">#REF!</definedName>
    <definedName name="IQRSheet1EV8" hidden="1">#REF!</definedName>
    <definedName name="IQRSheet1EW8" hidden="1">#REF!</definedName>
    <definedName name="IQRSheet1I8" hidden="1">#REF!</definedName>
    <definedName name="IQRSheet1Q8" hidden="1">#REF!</definedName>
    <definedName name="IQRSheet1Y8" hidden="1">#REF!</definedName>
    <definedName name="IQRT11" hidden="1">"$T$12"</definedName>
    <definedName name="IQRTradingVolA6" hidden="1">#REF!</definedName>
    <definedName name="IQRTradingVolA7" hidden="1">#REF!</definedName>
    <definedName name="IQRTradingVolA8" hidden="1">#REF!</definedName>
    <definedName name="IQRTradingVolAA10" hidden="1">#REF!</definedName>
    <definedName name="IQRTradingVolAA6" hidden="1">#REF!</definedName>
    <definedName name="IQRTradingVolAA7" hidden="1">#REF!</definedName>
    <definedName name="IQRTradingVolAA8" hidden="1">#REF!</definedName>
    <definedName name="IQRTradingVolAA9" hidden="1">#REF!</definedName>
    <definedName name="IQRTradingVolAB11" hidden="1">#REF!</definedName>
    <definedName name="IQRTradingVolAB6" hidden="1">#REF!</definedName>
    <definedName name="IQRTradingVolAB7" hidden="1">#REF!</definedName>
    <definedName name="IQRTradingVolAB8" hidden="1">#REF!</definedName>
    <definedName name="IQRTradingVolAB9" hidden="1">#REF!</definedName>
    <definedName name="IQRTradingVolAC10" hidden="1">#REF!</definedName>
    <definedName name="IQRTradingVolAC6" hidden="1">#REF!</definedName>
    <definedName name="IQRTradingVolAC7" hidden="1">#REF!</definedName>
    <definedName name="IQRTradingVolAC8" hidden="1">#REF!</definedName>
    <definedName name="IQRTradingVolAC9" hidden="1">#REF!</definedName>
    <definedName name="IQRTradingVolAD11" hidden="1">#REF!</definedName>
    <definedName name="IQRTradingVolAD6" hidden="1">#REF!</definedName>
    <definedName name="IQRTradingVolAD7" hidden="1">#REF!</definedName>
    <definedName name="IQRTradingVolAD8" hidden="1">#REF!</definedName>
    <definedName name="IQRTradingVolAD9" hidden="1">#REF!</definedName>
    <definedName name="IQRTradingVolAE10" hidden="1">#REF!</definedName>
    <definedName name="IQRTradingVolAE6" hidden="1">#REF!</definedName>
    <definedName name="IQRTradingVolAE7" hidden="1">#REF!</definedName>
    <definedName name="IQRTradingVolAE8" hidden="1">#REF!</definedName>
    <definedName name="IQRTradingVolAE9" hidden="1">#REF!</definedName>
    <definedName name="IQRTradingVolAF11" hidden="1">#REF!</definedName>
    <definedName name="IQRTradingVolAF6" hidden="1">#REF!</definedName>
    <definedName name="IQRTradingVolAF7" hidden="1">#REF!</definedName>
    <definedName name="IQRTradingVolAF8" hidden="1">#REF!</definedName>
    <definedName name="IQRTradingVolAF9" hidden="1">#REF!</definedName>
    <definedName name="IQRTradingVolAG10" hidden="1">#REF!</definedName>
    <definedName name="IQRTradingVolAG6" hidden="1">#REF!</definedName>
    <definedName name="IQRTradingVolAG7" hidden="1">#REF!</definedName>
    <definedName name="IQRTradingVolAG8" hidden="1">#REF!</definedName>
    <definedName name="IQRTradingVolAG9" hidden="1">#REF!</definedName>
    <definedName name="IQRTradingVolAH11" hidden="1">#REF!</definedName>
    <definedName name="IQRTradingVolAH6" hidden="1">#REF!</definedName>
    <definedName name="IQRTradingVolAH7" hidden="1">#REF!</definedName>
    <definedName name="IQRTradingVolAH8" hidden="1">#REF!</definedName>
    <definedName name="IQRTradingVolAH9" hidden="1">#REF!</definedName>
    <definedName name="IQRTradingVolAI10" hidden="1">#REF!</definedName>
    <definedName name="IQRTradingVolAI6" hidden="1">#REF!</definedName>
    <definedName name="IQRTradingVolAI7" hidden="1">#REF!</definedName>
    <definedName name="IQRTradingVolAI8" hidden="1">#REF!</definedName>
    <definedName name="IQRTradingVolAI9" hidden="1">#REF!</definedName>
    <definedName name="IQRTradingVolAJ11" hidden="1">#REF!</definedName>
    <definedName name="IQRTradingVolAJ6" hidden="1">#REF!</definedName>
    <definedName name="IQRTradingVolAJ7" hidden="1">#REF!</definedName>
    <definedName name="IQRTradingVolAJ8" hidden="1">#REF!</definedName>
    <definedName name="IQRTradingVolAJ9" hidden="1">#REF!</definedName>
    <definedName name="IQRTradingVolAK10" hidden="1">#REF!</definedName>
    <definedName name="IQRTradingVolAK6" hidden="1">#REF!</definedName>
    <definedName name="IQRTradingVolAK7" hidden="1">#REF!</definedName>
    <definedName name="IQRTradingVolAK8" hidden="1">#REF!</definedName>
    <definedName name="IQRTradingVolAK9" hidden="1">#REF!</definedName>
    <definedName name="IQRTradingVolAL11" hidden="1">#REF!</definedName>
    <definedName name="IQRTradingVolAL6" hidden="1">#REF!</definedName>
    <definedName name="IQRTradingVolAL7" hidden="1">#REF!</definedName>
    <definedName name="IQRTradingVolAL8" hidden="1">#REF!</definedName>
    <definedName name="IQRTradingVolAL9" hidden="1">#REF!</definedName>
    <definedName name="IQRTradingVolAM10" hidden="1">#REF!</definedName>
    <definedName name="IQRTradingVolAM6" hidden="1">#REF!</definedName>
    <definedName name="IQRTradingVolAM7" hidden="1">#REF!</definedName>
    <definedName name="IQRTradingVolAM8" hidden="1">#REF!</definedName>
    <definedName name="IQRTradingVolAM9" hidden="1">#REF!</definedName>
    <definedName name="IQRTradingVolAN11" hidden="1">#REF!</definedName>
    <definedName name="IQRTradingVolAN6" hidden="1">#REF!</definedName>
    <definedName name="IQRTradingVolAN7" hidden="1">#REF!</definedName>
    <definedName name="IQRTradingVolAN8" hidden="1">#REF!</definedName>
    <definedName name="IQRTradingVolAN9" hidden="1">#REF!</definedName>
    <definedName name="IQRTradingVolAO10" hidden="1">#REF!</definedName>
    <definedName name="IQRTradingVolAO8" hidden="1">#REF!</definedName>
    <definedName name="IQRTradingVolAO9" hidden="1">#REF!</definedName>
    <definedName name="IQRTradingVolAR8" hidden="1">#REF!</definedName>
    <definedName name="IQRTradingVolAR9" hidden="1">#REF!</definedName>
    <definedName name="IQRTradingVolAU8" hidden="1">#REF!</definedName>
    <definedName name="IQRTradingVolAU9" hidden="1">#REF!</definedName>
    <definedName name="IQRTradingVolAX8" hidden="1">#REF!</definedName>
    <definedName name="IQRTradingVolAX9" hidden="1">#REF!</definedName>
    <definedName name="IQRTradingVolB10" hidden="1">#REF!</definedName>
    <definedName name="IQRTradingVolB11" hidden="1">#REF!</definedName>
    <definedName name="IQRTradingVolB6" hidden="1">#REF!</definedName>
    <definedName name="IQRTradingVolB7" hidden="1">#REF!</definedName>
    <definedName name="IQRTradingVolB8" hidden="1">#REF!</definedName>
    <definedName name="IQRTradingVolB9" hidden="1">#REF!</definedName>
    <definedName name="IQRTradingVolBA8" hidden="1">#REF!</definedName>
    <definedName name="IQRTradingVolBA9" hidden="1">#REF!</definedName>
    <definedName name="IQRTradingVolBD8" hidden="1">#REF!</definedName>
    <definedName name="IQRTradingVolBD9" hidden="1">#REF!</definedName>
    <definedName name="IQRTradingVolBG8" hidden="1">#REF!</definedName>
    <definedName name="IQRTradingVolBG9" hidden="1">#REF!</definedName>
    <definedName name="IQRTradingVolC6" hidden="1">#REF!</definedName>
    <definedName name="IQRTradingVolC7" hidden="1">#REF!</definedName>
    <definedName name="IQRTradingVolC8" hidden="1">#REF!</definedName>
    <definedName name="IQRTradingVolD11" hidden="1">#REF!</definedName>
    <definedName name="IQRTradingVolD6" hidden="1">#REF!</definedName>
    <definedName name="IQRTradingVolD7" hidden="1">#REF!</definedName>
    <definedName name="IQRTradingVolD8" hidden="1">#REF!</definedName>
    <definedName name="IQRTradingVolD9" hidden="1">#REF!</definedName>
    <definedName name="IQRTradingVolE10" hidden="1">#REF!</definedName>
    <definedName name="IQRTradingVolE6" hidden="1">#REF!</definedName>
    <definedName name="IQRTradingVolE7" hidden="1">#REF!</definedName>
    <definedName name="IQRTradingVolE8" hidden="1">#REF!</definedName>
    <definedName name="IQRTradingVolE9" hidden="1">#REF!</definedName>
    <definedName name="IQRTradingVolF11" hidden="1">#REF!</definedName>
    <definedName name="IQRTradingVolF6" hidden="1">#REF!</definedName>
    <definedName name="IQRTradingVolF7" hidden="1">#REF!</definedName>
    <definedName name="IQRTradingVolF8" hidden="1">#REF!</definedName>
    <definedName name="IQRTradingVolF9" hidden="1">#REF!</definedName>
    <definedName name="IQRTradingVolG10" hidden="1">#REF!</definedName>
    <definedName name="IQRTradingVolG6" hidden="1">#REF!</definedName>
    <definedName name="IQRTradingVolG7" hidden="1">#REF!</definedName>
    <definedName name="IQRTradingVolG8" hidden="1">#REF!</definedName>
    <definedName name="IQRTradingVolG9" hidden="1">#REF!</definedName>
    <definedName name="IQRTradingVolH11" hidden="1">#REF!</definedName>
    <definedName name="IQRTradingVolH6" hidden="1">#REF!</definedName>
    <definedName name="IQRTradingVolH7" hidden="1">#REF!</definedName>
    <definedName name="IQRTradingVolH8" hidden="1">#REF!</definedName>
    <definedName name="IQRTradingVolH9" hidden="1">#REF!</definedName>
    <definedName name="IQRTradingVolI10" hidden="1">#REF!</definedName>
    <definedName name="IQRTradingVolI6" hidden="1">#REF!</definedName>
    <definedName name="IQRTradingVolI7" hidden="1">#REF!</definedName>
    <definedName name="IQRTradingVolI8" hidden="1">#REF!</definedName>
    <definedName name="IQRTradingVolI9" hidden="1">#REF!</definedName>
    <definedName name="IQRTradingVolJ11" hidden="1">#REF!</definedName>
    <definedName name="IQRTradingVolJ6" hidden="1">#REF!</definedName>
    <definedName name="IQRTradingVolJ7" hidden="1">#REF!</definedName>
    <definedName name="IQRTradingVolJ8" hidden="1">#REF!</definedName>
    <definedName name="IQRTradingVolJ9" hidden="1">#REF!</definedName>
    <definedName name="IQRTradingVolK10" hidden="1">#REF!</definedName>
    <definedName name="IQRTradingVolK6" hidden="1">#REF!</definedName>
    <definedName name="IQRTradingVolK7" hidden="1">#REF!</definedName>
    <definedName name="IQRTradingVolK8" hidden="1">#REF!</definedName>
    <definedName name="IQRTradingVolK9" hidden="1">#REF!</definedName>
    <definedName name="IQRTradingVolL11" hidden="1">#REF!</definedName>
    <definedName name="IQRTradingVolL6" hidden="1">#REF!</definedName>
    <definedName name="IQRTradingVolL7" hidden="1">#REF!</definedName>
    <definedName name="IQRTradingVolL8" hidden="1">#REF!</definedName>
    <definedName name="IQRTradingVolL9" hidden="1">#REF!</definedName>
    <definedName name="IQRTradingVolM10" hidden="1">#REF!</definedName>
    <definedName name="IQRTradingVolM6" hidden="1">#REF!</definedName>
    <definedName name="IQRTradingVolM7" hidden="1">#REF!</definedName>
    <definedName name="IQRTradingVolM8" hidden="1">#REF!</definedName>
    <definedName name="IQRTradingVolM9" hidden="1">#REF!</definedName>
    <definedName name="IQRTradingVolN11" hidden="1">#REF!</definedName>
    <definedName name="IQRTradingVolN6" hidden="1">#REF!</definedName>
    <definedName name="IQRTradingVolN7" hidden="1">#REF!</definedName>
    <definedName name="IQRTradingVolN8" hidden="1">#REF!</definedName>
    <definedName name="IQRTradingVolN9" hidden="1">#REF!</definedName>
    <definedName name="IQRTradingVolO10" hidden="1">#REF!</definedName>
    <definedName name="IQRTradingVolO6" hidden="1">#REF!</definedName>
    <definedName name="IQRTradingVolO7" hidden="1">#REF!</definedName>
    <definedName name="IQRTradingVolO8" hidden="1">#REF!</definedName>
    <definedName name="IQRTradingVolO9" hidden="1">#REF!</definedName>
    <definedName name="IQRTradingVolP11" hidden="1">#REF!</definedName>
    <definedName name="IQRTradingVolP6" hidden="1">#REF!</definedName>
    <definedName name="IQRTradingVolP7" hidden="1">#REF!</definedName>
    <definedName name="IQRTradingVolP8" hidden="1">#REF!</definedName>
    <definedName name="IQRTradingVolP9" hidden="1">#REF!</definedName>
    <definedName name="IQRTradingVolQ10" hidden="1">#REF!</definedName>
    <definedName name="IQRTradingVolQ6" hidden="1">#REF!</definedName>
    <definedName name="IQRTradingVolQ7" hidden="1">#REF!</definedName>
    <definedName name="IQRTradingVolQ8" hidden="1">#REF!</definedName>
    <definedName name="IQRTradingVolQ9" hidden="1">#REF!</definedName>
    <definedName name="IQRTradingVolR11" hidden="1">#REF!</definedName>
    <definedName name="IQRTradingVolR6" hidden="1">#REF!</definedName>
    <definedName name="IQRTradingVolR7" hidden="1">#REF!</definedName>
    <definedName name="IQRTradingVolR8" hidden="1">#REF!</definedName>
    <definedName name="IQRTradingVolR9" hidden="1">#REF!</definedName>
    <definedName name="IQRTradingVolS10" hidden="1">#REF!</definedName>
    <definedName name="IQRTradingVolS6" hidden="1">#REF!</definedName>
    <definedName name="IQRTradingVolS7" hidden="1">#REF!</definedName>
    <definedName name="IQRTradingVolS8" hidden="1">#REF!</definedName>
    <definedName name="IQRTradingVolS9" hidden="1">#REF!</definedName>
    <definedName name="IQRTradingVolT11" hidden="1">#REF!</definedName>
    <definedName name="IQRTradingVolT6" hidden="1">#REF!</definedName>
    <definedName name="IQRTradingVolT7" hidden="1">#REF!</definedName>
    <definedName name="IQRTradingVolT8" hidden="1">#REF!</definedName>
    <definedName name="IQRTradingVolT9" hidden="1">#REF!</definedName>
    <definedName name="IQRTradingVolU10" hidden="1">#REF!</definedName>
    <definedName name="IQRTradingVolU6" hidden="1">#REF!</definedName>
    <definedName name="IQRTradingVolU7" hidden="1">#REF!</definedName>
    <definedName name="IQRTradingVolU8" hidden="1">#REF!</definedName>
    <definedName name="IQRTradingVolU9" hidden="1">#REF!</definedName>
    <definedName name="IQRTradingVolV11" hidden="1">#REF!</definedName>
    <definedName name="IQRTradingVolV6" hidden="1">#REF!</definedName>
    <definedName name="IQRTradingVolV7" hidden="1">#REF!</definedName>
    <definedName name="IQRTradingVolV8" hidden="1">#REF!</definedName>
    <definedName name="IQRTradingVolV9" hidden="1">#REF!</definedName>
    <definedName name="IQRTradingVolW10" hidden="1">#REF!</definedName>
    <definedName name="IQRTradingVolW6" hidden="1">#REF!</definedName>
    <definedName name="IQRTradingVolW7" hidden="1">#REF!</definedName>
    <definedName name="IQRTradingVolW8" hidden="1">#REF!</definedName>
    <definedName name="IQRTradingVolW9" hidden="1">#REF!</definedName>
    <definedName name="IQRTradingVolX11" hidden="1">#REF!</definedName>
    <definedName name="IQRTradingVolX6" hidden="1">#REF!</definedName>
    <definedName name="IQRTradingVolX7" hidden="1">#REF!</definedName>
    <definedName name="IQRTradingVolX8" hidden="1">#REF!</definedName>
    <definedName name="IQRTradingVolX9" hidden="1">#REF!</definedName>
    <definedName name="IQRTradingVolY10" hidden="1">#REF!</definedName>
    <definedName name="IQRTradingVolY6" hidden="1">#REF!</definedName>
    <definedName name="IQRTradingVolY7" hidden="1">#REF!</definedName>
    <definedName name="IQRTradingVolY8" hidden="1">#REF!</definedName>
    <definedName name="IQRTradingVolY9" hidden="1">#REF!</definedName>
    <definedName name="IQRTradingVolZ11" hidden="1">#REF!</definedName>
    <definedName name="IQRTradingVolZ6" hidden="1">#REF!</definedName>
    <definedName name="IQRTradingVolZ7" hidden="1">#REF!</definedName>
    <definedName name="IQRTradingVolZ8" hidden="1">#REF!</definedName>
    <definedName name="IQRTradingVolZ9" hidden="1">#REF!</definedName>
    <definedName name="IQRU10" hidden="1">"$U$11"</definedName>
    <definedName name="IQRU11" hidden="1">"$U$12"</definedName>
    <definedName name="IQRV11" hidden="1">"$V$12"</definedName>
    <definedName name="IQRW10" hidden="1">"$W$11"</definedName>
    <definedName name="IQRW11" hidden="1">"$W$12"</definedName>
    <definedName name="IQRX11" hidden="1">"$X$12"</definedName>
    <definedName name="IQRY10" hidden="1">"$Y$11"</definedName>
    <definedName name="IQRY11" hidden="1">"$Y$12"</definedName>
    <definedName name="IQRZ11" hidden="1">"$Z$12"</definedName>
    <definedName name="IRR">#REF!</definedName>
    <definedName name="irr_switch">#REF!</definedName>
    <definedName name="ISblnHideRow" localSheetId="10">IF(SUM(ABS(IF(ISERROR(ISHistForc),0,IF(ISTEXT(ISHistForc),0,ISHistForc))))&gt;0.00001,1,TRUE)</definedName>
    <definedName name="ISblnHideRow">IF(SUM(ABS(IF(ISERROR(ISHistForc),0,IF(ISTEXT(ISHistForc),0,ISHistForc))))&gt;0.00001,1,TRUE)</definedName>
    <definedName name="ISBU">[118]Facility!$C$277</definedName>
    <definedName name="IsCircular">#REF!</definedName>
    <definedName name="IsColHidden" hidden="1">FALSE</definedName>
    <definedName name="ISHistForc">#REF!</definedName>
    <definedName name="IsLTMColHidden" hidden="1">FALSE</definedName>
    <definedName name="ISP_Maintenance">[108]assumptions!$D$37</definedName>
    <definedName name="IT">#REF!</definedName>
    <definedName name="IT.Amt">[39]IT_DDTP!$F$4:$F$9</definedName>
    <definedName name="IT.FormulaOFS">[39]IT_DDTP!$S$4:$S$9</definedName>
    <definedName name="ITAL">#REF!</definedName>
    <definedName name="Italia">[87]List_ratios!#REF!</definedName>
    <definedName name="ITALY">#REF!</definedName>
    <definedName name="itdep">[222]fa!$A$1:$L$59</definedName>
    <definedName name="ITEM_C">#REF!</definedName>
    <definedName name="ITEM_V">#REF!</definedName>
    <definedName name="item210">#REF!</definedName>
    <definedName name="item221">#REF!</definedName>
    <definedName name="Item223">#REF!</definedName>
    <definedName name="item224">#REF!</definedName>
    <definedName name="Item226">#REF!</definedName>
    <definedName name="item252">#REF!</definedName>
    <definedName name="ITSection">[223]Lists!$A$56:$A$58</definedName>
    <definedName name="J" localSheetId="10">#N/A</definedName>
    <definedName name="j">#REF!</definedName>
    <definedName name="J_Fernandes">#REF!</definedName>
    <definedName name="JAPA">#REF!</definedName>
    <definedName name="JAPAN">#REF!</definedName>
    <definedName name="JDCL_MISC">#REF!</definedName>
    <definedName name="jgjgj" localSheetId="10" hidden="1">{#N/A,#N/A,FALSE,"COVER.XLS";#N/A,#N/A,FALSE,"RACT1.XLS";#N/A,#N/A,FALSE,"RACT2.XLS";#N/A,#N/A,FALSE,"ECCMP";#N/A,#N/A,FALSE,"WELDER.XLS"}</definedName>
    <definedName name="jgjgj" hidden="1">{#N/A,#N/A,FALSE,"COVER.XLS";#N/A,#N/A,FALSE,"RACT1.XLS";#N/A,#N/A,FALSE,"RACT2.XLS";#N/A,#N/A,FALSE,"ECCMP";#N/A,#N/A,FALSE,"WELDER.XLS"}</definedName>
    <definedName name="jh">'[112]Capex-fixed'!#REF!</definedName>
    <definedName name="jjj" localSheetId="1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jjj"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jjjj">#REF!</definedName>
    <definedName name="jjkh">'[112]Capex-fixed'!#REF!</definedName>
    <definedName name="jjkjklj">#REF!,#REF!</definedName>
    <definedName name="jjskjsklj">#REF!</definedName>
    <definedName name="jkbk">'[112]Capex-fixed'!#REF!</definedName>
    <definedName name="jkbkhb">'[112]Capex-fixed'!#REF!</definedName>
    <definedName name="jkkb">'[112]Capex-fixed'!#REF!</definedName>
    <definedName name="jkl" hidden="1">#REF!</definedName>
    <definedName name="JOYLYN_FERNANDE">#REF!</definedName>
    <definedName name="JRHOLMES">#REF!</definedName>
    <definedName name="jsdkf3">#REF!</definedName>
    <definedName name="jsjssij">#REF!</definedName>
    <definedName name="Jully">#REF!</definedName>
    <definedName name="junctionboxcost">'[112]Capex-fixed'!#REF!</definedName>
    <definedName name="june15_Ajustmenst" hidden="1">#REF!</definedName>
    <definedName name="JV_ADJ_31399">#REF!</definedName>
    <definedName name="jvbjgv">'[112]Capex-fixed'!#REF!</definedName>
    <definedName name="jvjvg">'[112]Capex-fixed'!#REF!</definedName>
    <definedName name="JY" localSheetId="10" hidden="1">{#N/A,#N/A,FALSE,"Part ABC"}</definedName>
    <definedName name="JY" hidden="1">{#N/A,#N/A,FALSE,"Part ABC"}</definedName>
    <definedName name="k" localSheetId="10">#REF!</definedName>
    <definedName name="K">#REF!</definedName>
    <definedName name="K2000_">#N/A</definedName>
    <definedName name="KA">#REF!</definedName>
    <definedName name="KAREN_ALI">#REF!</definedName>
    <definedName name="KAREN_JANE">#REF!</definedName>
    <definedName name="KDLC">#REF!</definedName>
    <definedName name="kec" hidden="1">[224]SUMMARY!$E$64:$H$64</definedName>
    <definedName name="KEIKAKU">#REF!</definedName>
    <definedName name="Kettex">#REF!</definedName>
    <definedName name="kettex98">#REF!</definedName>
    <definedName name="KeyRatios">#REF!</definedName>
    <definedName name="khhj">'[112]Capex-fixed'!#REF!</definedName>
    <definedName name="Kick_R">[121]Rollup!$E$6:$E$26</definedName>
    <definedName name="kishor">#REF!</definedName>
    <definedName name="kjvjg">'[112]Capex-fixed'!#REF!</definedName>
    <definedName name="KK" localSheetId="1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KK"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kkJJ">#REF!</definedName>
    <definedName name="KKK">#REF!</definedName>
    <definedName name="kls">'[61]A-General'!#REF!</definedName>
    <definedName name="koa" hidden="1">[225]Lead!$F$34</definedName>
    <definedName name="koko" hidden="1">[225]Lead!$F$28</definedName>
    <definedName name="KOREA_PLASTIC_in_KUSD">#REF!</definedName>
    <definedName name="KOREA_RENTAL">#REF!</definedName>
    <definedName name="Korea_Telecom">[87]List_ratios!#REF!</definedName>
    <definedName name="KORIX">[226]海外WORK!#REF!</definedName>
    <definedName name="ks" localSheetId="10" hidden="1">{#N/A,#N/A,FALSE,"COVER.XLS";#N/A,#N/A,FALSE,"RACT1.XLS";#N/A,#N/A,FALSE,"RACT2.XLS";#N/A,#N/A,FALSE,"ECCMP";#N/A,#N/A,FALSE,"WELDER.XLS"}</definedName>
    <definedName name="ks" hidden="1">{#N/A,#N/A,FALSE,"COVER.XLS";#N/A,#N/A,FALSE,"RACT1.XLS";#N/A,#N/A,FALSE,"RACT2.XLS";#N/A,#N/A,FALSE,"ECCMP";#N/A,#N/A,FALSE,"WELDER.XLS"}</definedName>
    <definedName name="kskk" localSheetId="10" hidden="1">{#N/A,#N/A,FALSE,"COVER.XLS";#N/A,#N/A,FALSE,"RACT1.XLS";#N/A,#N/A,FALSE,"RACT2.XLS";#N/A,#N/A,FALSE,"ECCMP";#N/A,#N/A,FALSE,"WELDER.XLS"}</definedName>
    <definedName name="kskk" hidden="1">{#N/A,#N/A,FALSE,"COVER.XLS";#N/A,#N/A,FALSE,"RACT1.XLS";#N/A,#N/A,FALSE,"RACT2.XLS";#N/A,#N/A,FALSE,"ECCMP";#N/A,#N/A,FALSE,"WELDER.XLS"}</definedName>
    <definedName name="ksokskosk">#REF!</definedName>
    <definedName name="KUALA_SYNERGY">[205]海外WORK!#REF!</definedName>
    <definedName name="KUULSD" localSheetId="10" hidden="1">{#N/A,#N/A,FALSE,"COMP"}</definedName>
    <definedName name="KUULSD" hidden="1">{#N/A,#N/A,FALSE,"COMP"}</definedName>
    <definedName name="kv" localSheetId="10" hidden="1">{#N/A,#N/A,FALSE,"COVER1.XLS ";#N/A,#N/A,FALSE,"RACT1.XLS";#N/A,#N/A,FALSE,"RACT2.XLS";#N/A,#N/A,FALSE,"ECCMP";#N/A,#N/A,FALSE,"WELDER.XLS"}</definedName>
    <definedName name="kv" hidden="1">{#N/A,#N/A,FALSE,"COVER1.XLS ";#N/A,#N/A,FALSE,"RACT1.XLS";#N/A,#N/A,FALSE,"RACT2.XLS";#N/A,#N/A,FALSE,"ECCMP";#N/A,#N/A,FALSE,"WELDER.XLS"}</definedName>
    <definedName name="kv.avlblty">'[84]PPT Inputs'!$C$28</definedName>
    <definedName name="kvs" localSheetId="10" hidden="1">{#N/A,#N/A,FALSE,"COVER1.XLS ";#N/A,#N/A,FALSE,"RACT1.XLS";#N/A,#N/A,FALSE,"RACT2.XLS";#N/A,#N/A,FALSE,"ECCMP";#N/A,#N/A,FALSE,"WELDER.XLS"}</definedName>
    <definedName name="kvs" hidden="1">{#N/A,#N/A,FALSE,"COVER1.XLS ";#N/A,#N/A,FALSE,"RACT1.XLS";#N/A,#N/A,FALSE,"RACT2.XLS";#N/A,#N/A,FALSE,"ECCMP";#N/A,#N/A,FALSE,"WELDER.XLS"}</definedName>
    <definedName name="kvv" localSheetId="10" hidden="1">{#N/A,#N/A,FALSE,"COVER.XLS";#N/A,#N/A,FALSE,"RACT1.XLS";#N/A,#N/A,FALSE,"RACT2.XLS";#N/A,#N/A,FALSE,"ECCMP";#N/A,#N/A,FALSE,"WELDER.XLS"}</definedName>
    <definedName name="kvv" hidden="1">{#N/A,#N/A,FALSE,"COVER.XLS";#N/A,#N/A,FALSE,"RACT1.XLS";#N/A,#N/A,FALSE,"RACT2.XLS";#N/A,#N/A,FALSE,"ECCMP";#N/A,#N/A,FALSE,"WELDER.XLS"}</definedName>
    <definedName name="l" localSheetId="10">#REF!</definedName>
    <definedName name="l">#REF!</definedName>
    <definedName name="L_A">#REF!</definedName>
    <definedName name="L_Adjust" localSheetId="10">[227]Links!$H$1:$H$65536</definedName>
    <definedName name="L_Adjust">[228]Links!$H$1:$H$65536</definedName>
    <definedName name="L_AJE_Tot" localSheetId="10">[227]Links!$G$1:$G$65536</definedName>
    <definedName name="L_AJE_Tot">[228]Links!$G$1:$G$65536</definedName>
    <definedName name="L_CY_Beg" localSheetId="10">[227]Links!$F$1:$F$65536</definedName>
    <definedName name="L_CY_Beg">[228]Links!$F$1:$F$65536</definedName>
    <definedName name="L_CY_End" localSheetId="10">[227]Links!$J$1:$J$65536</definedName>
    <definedName name="L_CY_End">[228]Links!$J$1:$J$65536</definedName>
    <definedName name="L_PY_End" localSheetId="10">[227]Links!$K$1:$K$65536</definedName>
    <definedName name="L_PY_End">[228]Links!$K$1:$K$65536</definedName>
    <definedName name="L_RJE_Tot" localSheetId="10">[227]Links!$I$1:$I$65536</definedName>
    <definedName name="L_RJE_Tot">[228]Links!$I$1:$I$65536</definedName>
    <definedName name="L00380_">'[51]TB APJ'!$B$177</definedName>
    <definedName name="L00385_">'[51]TB APJ'!$B$178</definedName>
    <definedName name="L00386_">'[51]TB APJ'!$B$179</definedName>
    <definedName name="L00398_">'[51]TB APJ'!$B$390</definedName>
    <definedName name="L00406_">'[51]TB APJ'!$B$317</definedName>
    <definedName name="L00409_">'[51]TB APJ'!$B$180</definedName>
    <definedName name="L00410_">'[51]TB APJ'!#REF!</definedName>
    <definedName name="L00416_">'[51]TB APJ'!#REF!</definedName>
    <definedName name="L00417_">'[51]TB APJ'!#REF!</definedName>
    <definedName name="L00418_">'[51]TB APJ'!#REF!</definedName>
    <definedName name="L00420_">'[51]TB APJ'!$B$181</definedName>
    <definedName name="L00625_">'[51]TB APJ'!#REF!</definedName>
    <definedName name="L00626_">'[51]TB APJ'!#REF!</definedName>
    <definedName name="L00627_">'[51]TB APJ'!#REF!</definedName>
    <definedName name="L00628_">'[51]TB APJ'!#REF!</definedName>
    <definedName name="L00644_">'[51]TB APJ'!#REF!</definedName>
    <definedName name="L00646_">'[51]TB APJ'!#REF!</definedName>
    <definedName name="L00647_">'[51]TB APJ'!#REF!</definedName>
    <definedName name="L00649_">'[51]TB APJ'!$B$182</definedName>
    <definedName name="L00655_">'[51]TB APJ'!$B$392</definedName>
    <definedName name="L00656_">'[51]TB APJ'!#REF!</definedName>
    <definedName name="L00657_">'[51]TB APJ'!#REF!</definedName>
    <definedName name="L00659_">'[51]TB APJ'!#REF!</definedName>
    <definedName name="L00660_">'[51]TB APJ'!#REF!</definedName>
    <definedName name="L00665_">'[51]TB APJ'!#REF!</definedName>
    <definedName name="L00666_">'[51]TB APJ'!$B$183</definedName>
    <definedName name="L00667_">'[51]TB APJ'!$B$184</definedName>
    <definedName name="L00668_">'[47]TB APJ'!#REF!</definedName>
    <definedName name="L00669_">'[51]TB APJ'!$B$185</definedName>
    <definedName name="L00670_">'[51]TB APJ'!#REF!</definedName>
    <definedName name="L00671_">'[51]TB APJ'!#REF!</definedName>
    <definedName name="L00672_">'[51]TB APJ'!#REF!</definedName>
    <definedName name="L00673_">'[51]TB APJ'!#REF!</definedName>
    <definedName name="L00675_">'[51]TB APJ'!#REF!</definedName>
    <definedName name="L00677_">'[47]TB APJ'!#REF!</definedName>
    <definedName name="L00678_">'[51]TB APJ'!#REF!</definedName>
    <definedName name="L00681_">'[47]TB APJ'!#REF!</definedName>
    <definedName name="L00683_">'[51]TB APJ'!$B$188</definedName>
    <definedName name="L00684_">'[51]TB APJ'!$B$394</definedName>
    <definedName name="L00685_">'[51]TB APJ'!#REF!</definedName>
    <definedName name="L00686_">'[51]TB APJ'!#REF!</definedName>
    <definedName name="L00687_">'[51]TB APJ'!#REF!</definedName>
    <definedName name="L00690_">'[47]TB APJ'!#REF!</definedName>
    <definedName name="L00693_">'[51]TB APJ'!$B$275</definedName>
    <definedName name="L00697_">'[51]TB APJ'!$B$189</definedName>
    <definedName name="L00699_">'[51]TB APJ'!#REF!</definedName>
    <definedName name="L00703_">'[51]TB APJ'!#REF!</definedName>
    <definedName name="L00704_">'[51]TB APJ'!#REF!</definedName>
    <definedName name="L00705_">'[47]TB APJ'!#REF!</definedName>
    <definedName name="L00706_">'[51]TB APJ'!$B$192</definedName>
    <definedName name="L00707_">'[47]TB APJ'!$B$125</definedName>
    <definedName name="L00708_">'[51]TB APJ'!$B$194</definedName>
    <definedName name="L00714_">'[51]TB APJ'!$B$195</definedName>
    <definedName name="L00718_">'[51]TB APJ'!$B$247</definedName>
    <definedName name="L00719_">'[51]TB APJ'!$B$199</definedName>
    <definedName name="L00725_">'[51]TB APJ'!$B$304</definedName>
    <definedName name="L00728_">'[51]TB APJ'!$B$401</definedName>
    <definedName name="L00730_">'[51]TB APJ'!$B$402</definedName>
    <definedName name="L00731_">'[51]TB APJ'!$B$403</definedName>
    <definedName name="L00733_">'[51]TB APJ'!$B$200</definedName>
    <definedName name="L00735_">'[51]TB APJ'!$B$201</definedName>
    <definedName name="L00736_">'[51]TB APJ'!$B$202</definedName>
    <definedName name="L00737_">'[47]TB APJ'!$B$131</definedName>
    <definedName name="L0294_">'[51]TB APJ'!#REF!</definedName>
    <definedName name="L0295_">'[51]TB APJ'!$B$204</definedName>
    <definedName name="L0296_">'[51]TB APJ'!$B$205</definedName>
    <definedName name="L0298_">'[51]TB APJ'!$B$248</definedName>
    <definedName name="L0299_">'[51]TB APJ'!$B$207</definedName>
    <definedName name="L0300_">'[51]TB APJ'!$B$208</definedName>
    <definedName name="L0302_">'[51]TB APJ'!$B$320</definedName>
    <definedName name="L0303_">'[51]TB APJ'!$B$404</definedName>
    <definedName name="L0304_">'[51]TB APJ'!$B$209</definedName>
    <definedName name="L0305_">'[51]TB APJ'!#REF!</definedName>
    <definedName name="L0307_">'[51]TB APJ'!$B$210</definedName>
    <definedName name="L0308_">'[51]TB APJ'!#REF!</definedName>
    <definedName name="L0309_">'[51]TB APJ'!$B$211</definedName>
    <definedName name="L0310_">'[51]TB APJ'!$B$321</definedName>
    <definedName name="L0311_">'[51]TB APJ'!#REF!</definedName>
    <definedName name="L0316_">'[51]TB APJ'!$B$212</definedName>
    <definedName name="L0317_">'[51]TB APJ'!$B$213</definedName>
    <definedName name="L0318_">'[51]TB APJ'!#REF!</definedName>
    <definedName name="L0319_">'[51]TB APJ'!$B$214</definedName>
    <definedName name="L0322_">'[51]TB APJ'!$B$408</definedName>
    <definedName name="L0323_">'[51]TB APJ'!$B$215</definedName>
    <definedName name="L0326_">'[51]TB APJ'!$B$216</definedName>
    <definedName name="L0328_">'[51]TB APJ'!$B$217</definedName>
    <definedName name="L0330_">'[51]TB APJ'!#REF!</definedName>
    <definedName name="L0333_">'[51]TB APJ'!$B$218</definedName>
    <definedName name="L0337_">'[51]TB APJ'!$B$219</definedName>
    <definedName name="L0341_">'[51]TB APJ'!$B$220</definedName>
    <definedName name="L0342_">'[51]TB APJ'!$B$221</definedName>
    <definedName name="L0343_">'[51]TB APJ'!$B$222</definedName>
    <definedName name="L0344_">'[51]TB APJ'!#REF!</definedName>
    <definedName name="L0346_">'[51]TB APJ'!$B$414</definedName>
    <definedName name="L0347_">'[51]TB APJ'!$B$238</definedName>
    <definedName name="L0348_">'[47]TB APJ'!#REF!</definedName>
    <definedName name="L0349_">'[51]TB APJ'!$B$223</definedName>
    <definedName name="L0350_">'[51]TB APJ'!$B$415</definedName>
    <definedName name="L0351_">'[47]TB APJ'!#REF!</definedName>
    <definedName name="L0355_">'[51]TB APJ'!$B$225</definedName>
    <definedName name="L0356_">'[47]TB APJ'!#REF!</definedName>
    <definedName name="LA">#REF!</definedName>
    <definedName name="LABELTEXTCOLUMN1">[60]CRITERIA1!$B$24</definedName>
    <definedName name="LABELTEXTROW1">[60]CRITERIA1!$B$23</definedName>
    <definedName name="Labour">#REF!</definedName>
    <definedName name="Labour_99">#REF!</definedName>
    <definedName name="LAC" localSheetId="10">#REF!</definedName>
    <definedName name="LAC">'[229]Assumptions- Sugar'!$E$86</definedName>
    <definedName name="Lacs">#REF!</definedName>
    <definedName name="LACS_E">#REF!</definedName>
    <definedName name="lads">#REF!</definedName>
    <definedName name="lakh">#REF!</definedName>
    <definedName name="Lakhs">10^5</definedName>
    <definedName name="Lamba_per_year_Routemiles">#REF!</definedName>
    <definedName name="lambda">#REF!</definedName>
    <definedName name="land">#REF!</definedName>
    <definedName name="Land_details">#REF!</definedName>
    <definedName name="landlease">'[67]Cost Breakup Depreciation&amp; Tax'!$C$28</definedName>
    <definedName name="Language">#REF!</definedName>
    <definedName name="Last_Row">#N/A</definedName>
    <definedName name="Last_Year">#REF!</definedName>
    <definedName name="Last_Year_Bsheet">#REF!</definedName>
    <definedName name="Last_Year_Profit_Loss">#REF!</definedName>
    <definedName name="LATHA">#REF!</definedName>
    <definedName name="launchexpense">#REF!</definedName>
    <definedName name="LD">[58]ReasonCode!$L$2:$L$6</definedName>
    <definedName name="LDFHDFHJ">#REF!</definedName>
    <definedName name="Lease">#REF!</definedName>
    <definedName name="Leasehold">#REF!</definedName>
    <definedName name="Legal_Orig">[158]Dividends!#REF!</definedName>
    <definedName name="Legal_Orig_Sum">[158]Dividends!#REF!</definedName>
    <definedName name="Legal_reserve">#REF!</definedName>
    <definedName name="Legal_reserve_copy">#REF!</definedName>
    <definedName name="lemu6">'[112]Capex-fixed'!#REF!</definedName>
    <definedName name="lesa8">'[112]Capex-fixed'!#REF!</definedName>
    <definedName name="lesmodel">#REF!</definedName>
    <definedName name="lf">#REF!</definedName>
    <definedName name="LIABIL">'[109]MN T.B.'!#REF!</definedName>
    <definedName name="lift">'[67]Cost Breakup Depreciation&amp; Tax'!$C$12</definedName>
    <definedName name="limcount" hidden="1">1</definedName>
    <definedName name="line_2">[230]PC!$D$31</definedName>
    <definedName name="linesprovidedperbldg">'[112]Capex-fixed'!#REF!</definedName>
    <definedName name="LinesYee">[87]List_ratios!#REF!</definedName>
    <definedName name="list" localSheetId="10">[231]RR!$B$134:$R$153</definedName>
    <definedName name="list">#REF!</definedName>
    <definedName name="List_of_Material">#REF!</definedName>
    <definedName name="ListOffset" hidden="1">1</definedName>
    <definedName name="ListOfSuperCriticalEquipment">#REF!</definedName>
    <definedName name="ListSheetsMacroButton">#REF!</definedName>
    <definedName name="lk"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lk">[151]Assum!$B$148</definedName>
    <definedName name="lkjuh">#REF!</definedName>
    <definedName name="ll">#REF!</definedName>
    <definedName name="llJkljl">#REF!</definedName>
    <definedName name="lll" localSheetId="1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lll">'[112]Capex-fixed'!#REF!</definedName>
    <definedName name="lmn">[65]LCE!#REF!</definedName>
    <definedName name="lnjklbk">'[112]Capex-fixed'!#REF!</definedName>
    <definedName name="Loan_Amount">#REF!</definedName>
    <definedName name="loan_cntr">'[232]Capital Cost'!$A$111:$IV$111</definedName>
    <definedName name="Loan_CoalSPV">#REF!</definedName>
    <definedName name="Loan_Start">#REF!</definedName>
    <definedName name="loan_table1">#REF!</definedName>
    <definedName name="loan_table2">#REF!</definedName>
    <definedName name="loan_table3">#REF!</definedName>
    <definedName name="loan_table4">#REF!</definedName>
    <definedName name="loan_table5">#REF!</definedName>
    <definedName name="loan_table6">#REF!</definedName>
    <definedName name="Loan_Years">#REF!</definedName>
    <definedName name="loanpaid">'[167]DEPOSITS &amp; ADVANCES PAID'!$E$54</definedName>
    <definedName name="loanpayc">'[38]NOTES '!#REF!</definedName>
    <definedName name="loanpayp">'[38]NOTES '!#REF!</definedName>
    <definedName name="loanrecc">'[38]NOTES '!#REF!</definedName>
    <definedName name="loanrecp">'[38]NOTES '!#REF!</definedName>
    <definedName name="loans" localSheetId="10">'[163]Final Accounts'!#REF!</definedName>
    <definedName name="LOANS">'[68]YE-SW2'!$IM$8159</definedName>
    <definedName name="loc">'[204]Factors-overall'!#REF!</definedName>
    <definedName name="loca">[213]FACTORS!$B$14</definedName>
    <definedName name="local">#REF!</definedName>
    <definedName name="Local___SSC">'[233]BS Rec Control Sheet'!#REF!</definedName>
    <definedName name="LocalSalesTax">[102]Assumptions!#REF!</definedName>
    <definedName name="LOCATION">#REF!</definedName>
    <definedName name="LOLC">#REF!</definedName>
    <definedName name="lomif">'[112]Capex-fixed'!#REF!</definedName>
    <definedName name="lomifcable">'[112]Capex-fixed'!#REF!</definedName>
    <definedName name="lomifcard">'[112]Capex-fixed'!#REF!</definedName>
    <definedName name="lomifcble">'[112]Capex-fixed'!#REF!</definedName>
    <definedName name="LONG">'[68]YE-SW2'!$IM$8159</definedName>
    <definedName name="LongTermDebt">[129]Financials!$J$145:$U$145</definedName>
    <definedName name="look">#REF!</definedName>
    <definedName name="LOP">#REF!</definedName>
    <definedName name="LOP_Bal">'[63]2. Forecast Drivers'!$E$179:$S$179</definedName>
    <definedName name="LOP_Cash">'[63]2. Forecast Drivers'!$F$180:$S$180</definedName>
    <definedName name="LOP_Int">'[63]2. Forecast Drivers'!$F$176:$S$176</definedName>
    <definedName name="loss">[41]BS!#REF!</definedName>
    <definedName name="Loss_Year">[121]Rollup!#REF!</definedName>
    <definedName name="LossType_R">[121]Rollup!#REF!</definedName>
    <definedName name="Lost_CF">[121]Summary!#REF!</definedName>
    <definedName name="lottery.ecq1">[39]Calculator!$AD$13</definedName>
    <definedName name="lottery.ecq2">[39]Calculator!$AE$13</definedName>
    <definedName name="lottery.ecq3">[39]Calculator!$AF$13</definedName>
    <definedName name="lottery.ecq4">[39]Calculator!$AG$13</definedName>
    <definedName name="lottery.ecq5">[39]Calculator!$AH$13</definedName>
    <definedName name="lottery.scq1">[39]Calculator!$Y$13</definedName>
    <definedName name="lottery.scq2">[39]Calculator!$Z$13</definedName>
    <definedName name="lottery.scq3">[39]Calculator!$AA$13</definedName>
    <definedName name="lottery.scq4">[39]Calculator!$AB$13</definedName>
    <definedName name="lottery.scq5">[39]Calculator!$AC$13</definedName>
    <definedName name="lotteryec.usratio">[39]Calculator!$X$13</definedName>
    <definedName name="lotteryincome">[39]Calculator!$R$3</definedName>
    <definedName name="lotteryincome.usratio">[39]Calculator!$V$13</definedName>
    <definedName name="lotterysur.usratio">[39]Calculator!$W$13</definedName>
    <definedName name="Low">'[63]2. Forecast Drivers'!$D$19</definedName>
    <definedName name="Low_Sub1">'[196]ADAMYA FINAL SHEET'!#REF!</definedName>
    <definedName name="Lowk">[113]LowK!$A$1:$K$68</definedName>
    <definedName name="LP">#REF!</definedName>
    <definedName name="lr">#REF!</definedName>
    <definedName name="ls">#REF!</definedName>
    <definedName name="lsdjlk">[32]BKCSTOCKVAL!#REF!</definedName>
    <definedName name="lta">#REF!</definedName>
    <definedName name="ltcg.BFlossPrevYrUndSameHeadSetoff4">'[39]CYLA BFLA'!$E$25</definedName>
    <definedName name="ltcg.BFUnabsorbedDeprSetoff4">'[39]CYLA BFLA'!$F$25</definedName>
    <definedName name="ltcg.IncOfCurYrAfterSetOff2">'[39]CYLA BFLA'!$H$11</definedName>
    <definedName name="ltcg.IncOfCurYrUnderThatHead2">'[39]CYLA BFLA'!$D$11</definedName>
    <definedName name="ltcgloss.aftbfl">'[39]CYLA BFLA'!$AH$18</definedName>
    <definedName name="ltcgloss.bf">'[39]CYLA BFLA'!$AE$18</definedName>
    <definedName name="ltcgloss.bfftnp">'[39]CYLA BFLA'!$E$43</definedName>
    <definedName name="ltcgloss.bfftp">'[39]CYLA BFLA'!$E$46</definedName>
    <definedName name="ltcgloss1.unabs">'[39]CYLA BFLA'!$F$59</definedName>
    <definedName name="ltcgnonproviso.ecq1">[39]Calculator!$AD$10</definedName>
    <definedName name="ltcgnonproviso.ecq2">[39]Calculator!$AE$10</definedName>
    <definedName name="ltcgnonproviso.ecq3">[39]Calculator!$AF$10</definedName>
    <definedName name="ltcgnonproviso.ecq4">[39]Calculator!$AG$10</definedName>
    <definedName name="ltcgnonproviso.ecq5">[39]Calculator!$AH$10</definedName>
    <definedName name="ltcgnonproviso.savings">[39]Calculator!$AI$10</definedName>
    <definedName name="ltcgnonproviso.scq1">[39]Calculator!$Y$10</definedName>
    <definedName name="ltcgnonproviso.scq2">[39]Calculator!$Z$10</definedName>
    <definedName name="ltcgnonproviso.scq3">[39]Calculator!$AA$10</definedName>
    <definedName name="ltcgnonproviso.scq4">[39]Calculator!$AB$10</definedName>
    <definedName name="ltcgnonproviso.scq5">[39]Calculator!$AC$10</definedName>
    <definedName name="ltcgnonprovisoec.usratio">[39]Calculator!$X$10</definedName>
    <definedName name="ltcgnonprovisoincome">'[39]CYLA BFLA'!$O$19</definedName>
    <definedName name="ltcgnonprovisoincome.bf">'[39]CYLA BFLA'!$AF$19</definedName>
    <definedName name="ltcgnonprovisoincome.bp">'[39]CYLA BFLA'!$AB$19</definedName>
    <definedName name="ltcgnonprovisoincome.hp">'[39]CYLA BFLA'!$X$19</definedName>
    <definedName name="ltcgnonprovisoincome.ih">'[39]CYLA BFLA'!$Q$19</definedName>
    <definedName name="ltcgnonprovisoincome.ltcladj">'[39]CYLA BFLA'!$E$42</definedName>
    <definedName name="ltcgnonprovisoincome.os">'[39]CYLA BFLA'!$T$19</definedName>
    <definedName name="ltcgnonprovisoincome.rem">'[39]CYLA BFLA'!$AO$17</definedName>
    <definedName name="ltcgnonprovisoincome.stcl">'[39]CYLA BFLA'!$F$44</definedName>
    <definedName name="ltcgnonprovisoincome.usratio">[39]Calculator!$V$10</definedName>
    <definedName name="ltcgnonprovisoloss">'[39]CYLA BFLA'!$P$19</definedName>
    <definedName name="ltcgnonprovisoloss.bfadj">'[39]CYLA BFLA'!$AG$19</definedName>
    <definedName name="ltcgnonprovisoloss.bp">'[39]CYLA BFLA'!$AD$19</definedName>
    <definedName name="ltcgnonprovisoloss.hp">'[39]CYLA BFLA'!$Z$19</definedName>
    <definedName name="ltcgnonprovisoloss.ih">'[39]CYLA BFLA'!$R$19</definedName>
    <definedName name="ltcgnonprovisoloss.os">'[39]CYLA BFLA'!$V$19</definedName>
    <definedName name="ltcgnonprovisoloss.stcladj">'[39]CYLA BFLA'!$F$43</definedName>
    <definedName name="ltcgnonprovisoloss.unabs">'[39]CYLA BFLA'!$AN$17</definedName>
    <definedName name="ltcgnonprovisosur.usratio">[39]Calculator!$W$10</definedName>
    <definedName name="ltcgproviso.ecq1">[39]Calculator!$AD$12</definedName>
    <definedName name="ltcgproviso.ecq2">[39]Calculator!$AE$12</definedName>
    <definedName name="ltcgproviso.ecq3">[39]Calculator!$AF$12</definedName>
    <definedName name="ltcgproviso.ecq4">[39]Calculator!$AG$12</definedName>
    <definedName name="ltcgproviso.ecq5">[39]Calculator!$AH$12</definedName>
    <definedName name="ltcgproviso.savings">[39]Calculator!$AI$12</definedName>
    <definedName name="ltcgproviso.scq1">[39]Calculator!$Y$12</definedName>
    <definedName name="ltcgproviso.scq2">[39]Calculator!$Z$12</definedName>
    <definedName name="ltcgproviso.scq3">[39]Calculator!$AA$12</definedName>
    <definedName name="ltcgproviso.scq4">[39]Calculator!$AB$12</definedName>
    <definedName name="ltcgproviso.scq5">[39]Calculator!$AC$12</definedName>
    <definedName name="ltcgprovisoec.usratio">[39]Calculator!$X$12</definedName>
    <definedName name="ltcgprovisoincome">'[39]CYLA BFLA'!$O$18</definedName>
    <definedName name="ltcgprovisoincome.bf">'[39]CYLA BFLA'!$AF$18</definedName>
    <definedName name="ltcgprovisoincome.bp">'[39]CYLA BFLA'!$AB$18</definedName>
    <definedName name="ltcgprovisoincome.hp">'[39]CYLA BFLA'!$X$18</definedName>
    <definedName name="ltcgprovisoincome.ih">'[39]CYLA BFLA'!$Q$18</definedName>
    <definedName name="ltcgprovisoincome.ltcladj">'[39]CYLA BFLA'!$E$45</definedName>
    <definedName name="ltcgprovisoincome.os">'[39]CYLA BFLA'!$T$18</definedName>
    <definedName name="ltcgprovisoincome.rem">'[39]CYLA BFLA'!$AO$18</definedName>
    <definedName name="ltcgprovisoincome.stcl">'[39]CYLA BFLA'!$F$49</definedName>
    <definedName name="ltcgprovisoincome.usratio">[39]Calculator!$V$12</definedName>
    <definedName name="ltcgprovisoloss">'[39]CYLA BFLA'!$P$18</definedName>
    <definedName name="ltcgprovisoloss.bfadj">'[39]CYLA BFLA'!$AG$18</definedName>
    <definedName name="ltcgprovisoloss.bp">'[39]CYLA BFLA'!$AD$18</definedName>
    <definedName name="ltcgprovisoloss.hp">'[39]CYLA BFLA'!$Z$18</definedName>
    <definedName name="ltcgprovisoloss.ih">'[39]CYLA BFLA'!$R$18</definedName>
    <definedName name="ltcgprovisoloss.os">'[39]CYLA BFLA'!$V$18</definedName>
    <definedName name="ltcgprovisoloss.stcladj">'[39]CYLA BFLA'!$F$47</definedName>
    <definedName name="ltcgprovisoloss.unabs">'[39]CYLA BFLA'!$AN$18</definedName>
    <definedName name="ltcgprovisosur.usratio">[39]Calculator!$W$12</definedName>
    <definedName name="ltcla1">'[39]CYLA BFLA'!$E$41</definedName>
    <definedName name="ltcla2">'[39]CYLA BFLA'!$E$44</definedName>
    <definedName name="LTD_Bal">'[63]2. Forecast Drivers'!$E$205:$S$205</definedName>
    <definedName name="LTD_Cash">'[63]2. Forecast Drivers'!$E$211:$S$211</definedName>
    <definedName name="LTR_M_NEW">#REF!</definedName>
    <definedName name="LTR_MOR">#REF!</definedName>
    <definedName name="LTV">'[76]Pool details'!$K$3:$K$4876</definedName>
    <definedName name="lvkfeqvlkqe">#REF!</definedName>
    <definedName name="M" localSheetId="10">#REF!</definedName>
    <definedName name="m">#REF!</definedName>
    <definedName name="M_04">'[234]m3&amp;4'!#REF!</definedName>
    <definedName name="M_Agarwal">#REF!</definedName>
    <definedName name="M_Arora">#REF!</definedName>
    <definedName name="M_CapitalAvg">[130]ReportsParameters!$B$32</definedName>
    <definedName name="M_CoName">[130]ReportsParameters!$B$29</definedName>
    <definedName name="M_Denomination">[130]ReportsParameters!$B$38</definedName>
    <definedName name="M_FinanseerTitle">[130]ReportsParameters!$B$33</definedName>
    <definedName name="M_Lf">[130]ReportsParameters!$C$19</definedName>
    <definedName name="M_Nayar">#REF!</definedName>
    <definedName name="M_Pf">[130]ReportsParameters!$C$20</definedName>
    <definedName name="M_PrintFrom">[130]ReportsParameters!$B$11</definedName>
    <definedName name="M_PrintTo">[130]ReportsParameters!$B$12</definedName>
    <definedName name="M_Pt">[130]ReportsParameters!$C$21</definedName>
    <definedName name="M_Sharan">#REF!</definedName>
    <definedName name="M_SSAdjustments">[130]ReportsParameters!$B$26</definedName>
    <definedName name="m105.">#REF!</definedName>
    <definedName name="MA_BTS_SUMMARY">#REF!</definedName>
    <definedName name="MA_Plng_Resp">#REF!</definedName>
    <definedName name="mac">75</definedName>
    <definedName name="madhavi" localSheetId="10" hidden="1">{"plansummary",#N/A,FALSE,"PlanSummary";"sales",#N/A,FALSE,"Sales Rec";"productivity",#N/A,FALSE,"Productivity Rec";"capitalspending",#N/A,FALSE,"Capital Spending"}</definedName>
    <definedName name="madhavi" hidden="1">{"plansummary",#N/A,FALSE,"PlanSummary";"sales",#N/A,FALSE,"Sales Rec";"productivity",#N/A,FALSE,"Productivity Rec";"capitalspending",#N/A,FALSE,"Capital Spending"}</definedName>
    <definedName name="Magix_Sales___JFM_2001">#REF!</definedName>
    <definedName name="mahape">[32]MAHSTOCKVAL!#REF!</definedName>
    <definedName name="MailSystem">"Mail System"</definedName>
    <definedName name="MailSystem_Grade">"C"</definedName>
    <definedName name="main">#REF!</definedName>
    <definedName name="MAIN_E">#REF!</definedName>
    <definedName name="MAIN_TB31399">#REF!</definedName>
    <definedName name="MAINCOMP">#REF!</definedName>
    <definedName name="mainrkcost">'[112]Capex-fixed'!#REF!</definedName>
    <definedName name="Major_Maint">#REF!</definedName>
    <definedName name="mal">#REF!</definedName>
    <definedName name="management_revenue">#REF!</definedName>
    <definedName name="MAR">#REF!</definedName>
    <definedName name="march06" localSheetId="10" hidden="1">{#N/A,#N/A,FALSE,"Aging Summary";#N/A,#N/A,FALSE,"Ratio Analysis";#N/A,#N/A,FALSE,"Test 120 Day Accts";#N/A,#N/A,FALSE,"Tickmarks"}</definedName>
    <definedName name="march06" hidden="1">{#N/A,#N/A,FALSE,"Aging Summary";#N/A,#N/A,FALSE,"Ratio Analysis";#N/A,#N/A,FALSE,"Test 120 Day Accts";#N/A,#N/A,FALSE,"Tickmarks"}</definedName>
    <definedName name="march06topsheet" localSheetId="10" hidden="1">{#N/A,#N/A,FALSE,"Aging Summary";#N/A,#N/A,FALSE,"Ratio Analysis";#N/A,#N/A,FALSE,"Test 120 Day Accts";#N/A,#N/A,FALSE,"Tickmarks"}</definedName>
    <definedName name="march06topsheet" hidden="1">{#N/A,#N/A,FALSE,"Aging Summary";#N/A,#N/A,FALSE,"Ratio Analysis";#N/A,#N/A,FALSE,"Test 120 Day Accts";#N/A,#N/A,FALSE,"Tickmarks"}</definedName>
    <definedName name="March2008" localSheetId="1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March2008"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mardate">#REF!</definedName>
    <definedName name="Margin">#REF!</definedName>
    <definedName name="margin_c">'[82]Working Capital'!$C$206</definedName>
    <definedName name="margin_chk">'[82]Working Capital'!$A$210</definedName>
    <definedName name="margin_p">[82]Assumptions!$C$60</definedName>
    <definedName name="MARINE">#N/A</definedName>
    <definedName name="MARIYA_RAPOSE">#REF!</definedName>
    <definedName name="MaruHold">'[84]Core Assumptions'!$C$358</definedName>
    <definedName name="MaruOGI">'[84]Core Assumptions'!$G$358</definedName>
    <definedName name="master_ref">[219]Input!$J$8</definedName>
    <definedName name="MASTERBTS">#REF!</definedName>
    <definedName name="masterdata">#REF!</definedName>
    <definedName name="MAT" localSheetId="10">#REF!</definedName>
    <definedName name="mat">#REF!</definedName>
    <definedName name="Mat_BE_Cap_R">[121]Rollup!#REF!</definedName>
    <definedName name="Mat_BE_Occ_R">[121]Rollup!#REF!</definedName>
    <definedName name="mat_rate">'[235]Exch, Tax, and otherassump'!$B$17</definedName>
    <definedName name="MATAV__Hungary">[87]List_ratios!#REF!</definedName>
    <definedName name="MATC.AmtTaxCredUs115JAA">[39]EI_MAT!$H$53</definedName>
    <definedName name="MATC.TaxOthProvCurrAssYr">[39]EI_MAT!$H$41</definedName>
    <definedName name="MATC.TaxUs115JBCurrAssYr">[39]EI_MAT!$H$40</definedName>
    <definedName name="matcomp">#REF!</definedName>
    <definedName name="Materiality">#REF!</definedName>
    <definedName name="matnotes">#REF!</definedName>
    <definedName name="MAX">#REF!</definedName>
    <definedName name="Maximum_DER">'[161]SBI - PFSBU - P90'!$A$52</definedName>
    <definedName name="MDEVISES">#REF!,#REF!,#REF!</definedName>
    <definedName name="mdno">'[84]Core Assumptions'!$D$218</definedName>
    <definedName name="MDSCR">'[65]DEBT SCHEDULE'!#REF!</definedName>
    <definedName name="me">"Button 5"</definedName>
    <definedName name="MEENA_JAGTIANI">#REF!</definedName>
    <definedName name="Melawan_Transport_Base">#REF!</definedName>
    <definedName name="Melawan_Transport_SEN">#REF!</definedName>
    <definedName name="MelawanEsc_Base">#REF!</definedName>
    <definedName name="MelawanEsc_SEN">#REF!</definedName>
    <definedName name="Melawanprice_Base">#REF!</definedName>
    <definedName name="MelawanPrice_SEN">#REF!</definedName>
    <definedName name="merchantbanking">'[67]Cost Breakup Depreciation&amp; Tax'!$C$36</definedName>
    <definedName name="MERCOps">'[84]Core Assumptions'!$H$161:$AS$171</definedName>
    <definedName name="MERCType">'[84]Core Assumptions'!$C$163:$E$171</definedName>
    <definedName name="Metal12mm">188*1.5</definedName>
    <definedName name="MethodAcc">[94]Masters!$C$46</definedName>
    <definedName name="Methods">#REF!</definedName>
    <definedName name="mezz_costs">#REF!</definedName>
    <definedName name="MF">[66]Assumptions!$C$26</definedName>
    <definedName name="MFRF">#REF!,#REF!,#REF!,#REF!,#REF!</definedName>
    <definedName name="MGRREM">#REF!</definedName>
    <definedName name="MHELP">[110]Financials!#REF!</definedName>
    <definedName name="mhjj" hidden="1">{"'Bill No. 7'!$A$1:$G$32"}</definedName>
    <definedName name="mil">#REF!</definedName>
    <definedName name="mile">[236]oresreqsum!#REF!</definedName>
    <definedName name="Million">#REF!</definedName>
    <definedName name="millions">1000000</definedName>
    <definedName name="MIN">#REF!</definedName>
    <definedName name="Min_Bal">'[63]2. Forecast Drivers'!$E$186:$S$186</definedName>
    <definedName name="Min_Cash">'[63]2. Forecast Drivers'!$E$185:$S$185</definedName>
    <definedName name="Min_Prof">'[63]2. Forecast Drivers'!$E$184:$S$184</definedName>
    <definedName name="Min_SPV">#REF!</definedName>
    <definedName name="MINASSET">'[109]MN T.B.'!#REF!</definedName>
    <definedName name="mindscr">#REF!</definedName>
    <definedName name="Minimum_DSCR">[99]Assumptions!$I$32</definedName>
    <definedName name="Minimum_FACR">'[161]SBI - PFSBU - P90'!$A$47</definedName>
    <definedName name="Minimum_ICR">'[161]SBI - PFSBU - P90'!$A$46</definedName>
    <definedName name="MINLIAB">'[109]MN T.B.'!#REF!</definedName>
    <definedName name="MINPL">'[109]MN T.B.'!#REF!</definedName>
    <definedName name="minq1">[39]Calculator!$O$9</definedName>
    <definedName name="minq2">[39]Calculator!$O$10</definedName>
    <definedName name="mis">#REF!</definedName>
    <definedName name="MISC" localSheetId="10">#REF!</definedName>
    <definedName name="misc">#REF!</definedName>
    <definedName name="MIX_ECO">[62]Assumptions!$D$92</definedName>
    <definedName name="Mix_Eco_Base">#REF!</definedName>
    <definedName name="Mix_Eco_Sen">#REF!</definedName>
    <definedName name="MIX_MEL">[62]Assumptions!$C$92</definedName>
    <definedName name="Mix_Melawan_Base">#REF!</definedName>
    <definedName name="Mix_Melawan_SEN">#REF!</definedName>
    <definedName name="MIY">'[63]2. Forecast Drivers'!$D$329</definedName>
    <definedName name="MK11USD">#REF!</definedName>
    <definedName name="mkl">'[112]Capex-fixed'!#REF!</definedName>
    <definedName name="MKT_2">#REF!</definedName>
    <definedName name="MKT10LC">#REF!</definedName>
    <definedName name="Mkt10Local">#REF!</definedName>
    <definedName name="Mkt10USD">#REF!</definedName>
    <definedName name="MKT11LC">#REF!</definedName>
    <definedName name="Mkt11Local">#REF!</definedName>
    <definedName name="Mkt11USD">#REF!</definedName>
    <definedName name="MKT1LC">#REF!</definedName>
    <definedName name="Mkt1Local">#REF!</definedName>
    <definedName name="Mkt1USD">#REF!</definedName>
    <definedName name="MKT2LC">#REF!</definedName>
    <definedName name="Mkt2Local">#REF!</definedName>
    <definedName name="Mkt2USD">#REF!</definedName>
    <definedName name="MKT3LC">#REF!</definedName>
    <definedName name="Mkt3Local">#REF!</definedName>
    <definedName name="Mkt3USD">#REF!</definedName>
    <definedName name="MKT4LC">#REF!</definedName>
    <definedName name="Mkt4Local">#REF!</definedName>
    <definedName name="Mkt4USD">#REF!</definedName>
    <definedName name="MKT5LC">#REF!</definedName>
    <definedName name="Mkt5Local">#REF!</definedName>
    <definedName name="Mkt5USD">#REF!</definedName>
    <definedName name="MKT6LC">#REF!</definedName>
    <definedName name="Mkt6Local">#REF!</definedName>
    <definedName name="Mkt6USD">#REF!</definedName>
    <definedName name="MKT7LC">#REF!</definedName>
    <definedName name="Mkt7Local">#REF!</definedName>
    <definedName name="Mkt7USD">#REF!</definedName>
    <definedName name="MKT8LC">#REF!</definedName>
    <definedName name="Mkt8Local">#REF!</definedName>
    <definedName name="Mkt8USD">#REF!</definedName>
    <definedName name="MKT9LC">#REF!</definedName>
    <definedName name="Mkt9Local">#REF!</definedName>
    <definedName name="Mkt9USD">#REF!</definedName>
    <definedName name="MKTBLE">'[68]YE-SW2'!$IM$8159</definedName>
    <definedName name="mktcoveredph1a">#REF!</definedName>
    <definedName name="mktcoveredph1b">#REF!</definedName>
    <definedName name="mktcoveredph2">#REF!</definedName>
    <definedName name="mktvalue97">#REF!</definedName>
    <definedName name="mm" localSheetId="10" hidden="1">{#N/A,#N/A,TRUE,"Sheet1"}</definedName>
    <definedName name="MM">[237]Sheet1!$H$2:$H$11588</definedName>
    <definedName name="mm_paste">[65]LCE!#REF!</definedName>
    <definedName name="mmac">'[84]Core Assumptions'!$E$220</definedName>
    <definedName name="mmm" localSheetId="10" hidden="1">{#N/A,#N/A,FALSE,"COVER.XLS";#N/A,#N/A,FALSE,"RACT1.XLS";#N/A,#N/A,FALSE,"RACT2.XLS";#N/A,#N/A,FALSE,"ECCMP";#N/A,#N/A,FALSE,"WELDER.XLS"}</definedName>
    <definedName name="mmm">'[112]Capex-fixed'!#REF!</definedName>
    <definedName name="mmno">'[84]Core Assumptions'!$C$218</definedName>
    <definedName name="MMRA_Copy">#REF!</definedName>
    <definedName name="MMRA_Copy_Sum">#REF!</definedName>
    <definedName name="MMRA_Copy1">#REF!</definedName>
    <definedName name="MMRA_Copy1_Sum">#REF!</definedName>
    <definedName name="MMRA_Orig">#REF!</definedName>
    <definedName name="MMRA_Orig_Sum">#REF!</definedName>
    <definedName name="MMRA_Orig1">#REF!</definedName>
    <definedName name="MMRA_Orig1_Sum">#REF!</definedName>
    <definedName name="Mn" localSheetId="10">#REF!</definedName>
    <definedName name="mn">[151]Assum!$B$149</definedName>
    <definedName name="mncrconv">#REF!</definedName>
    <definedName name="Module">[113]Module!$A$1:$N$68</definedName>
    <definedName name="Module1.On_Click">[238]!Module1.On_Click</definedName>
    <definedName name="Monetary_Precision" localSheetId="10">#REF!</definedName>
    <definedName name="Monetary_Precision">#REF!</definedName>
    <definedName name="MONTH">'[239]SUMMARY SHEET'!$B$4</definedName>
    <definedName name="Month_of_Default">[121]Summary!#REF!</definedName>
    <definedName name="Month_of_Foreclosure">[121]Summary!#REF!</definedName>
    <definedName name="Month1_Ending_Bal">#REF!</definedName>
    <definedName name="MONTHDAY">'[239]SUMMARY SHEET'!$B$3</definedName>
    <definedName name="MONTHLY_MG">#REF!</definedName>
    <definedName name="Monthnum">[240]Input!$D$7</definedName>
    <definedName name="Motar_Car">#REF!</definedName>
    <definedName name="MOTORCAR">#REF!</definedName>
    <definedName name="mould">#REF!</definedName>
    <definedName name="MP_Singh">#REF!</definedName>
    <definedName name="mpl">'[241]Master Price List'!$A$8:$M$87</definedName>
    <definedName name="mpwr">#REF!</definedName>
    <definedName name="MrgMon_pasted">[242]MrgMon!$D$18</definedName>
    <definedName name="mrk">#REF!</definedName>
    <definedName name="MSREF_Equity">'[243]Portfolio Summary'!$I$33</definedName>
    <definedName name="MSTable">'[114]MS-Bud'!$A$11:$Y$133</definedName>
    <definedName name="MStVal">[94]Masters!$C$47</definedName>
    <definedName name="msy5onwards">#REF!</definedName>
    <definedName name="mtax">'[84]Core Assumptions'!$D$51</definedName>
    <definedName name="mu">#REF!</definedName>
    <definedName name="MultiBucketOrig_R">[121]Rollup!#REF!</definedName>
    <definedName name="MUNISH_PAL">#REF!</definedName>
    <definedName name="MV_Debt">'[63]2. Forecast Drivers'!$D$138</definedName>
    <definedName name="MV_LTOp">'[63]2. Forecast Drivers'!$D$144</definedName>
    <definedName name="MV_Min">'[63]2. Forecast Drivers'!$D$142</definedName>
    <definedName name="MV_OpLease">'[63]2. Forecast Drivers'!$D$139</definedName>
    <definedName name="MV_Prefs">'[63]2. Forecast Drivers'!$D$141</definedName>
    <definedName name="MV_Restr">'[63]2. Forecast Drivers'!$D$143</definedName>
    <definedName name="MV_RetRel">'[63]2. Forecast Drivers'!$D$140</definedName>
    <definedName name="mva">#REF!</definedName>
    <definedName name="MYAF">'[63]2. Forecast Drivers'!$D$341</definedName>
    <definedName name="myDialog">"dial"</definedName>
    <definedName name="n" localSheetId="10" hidden="1">[5]sheet6!#REF!</definedName>
    <definedName name="n">#REF!</definedName>
    <definedName name="N_Rodrigues">#REF!</definedName>
    <definedName name="N_Tandon">#REF!</definedName>
    <definedName name="NA_Average">[87]List_ratios!#REF!</definedName>
    <definedName name="Name">'[63]2. Forecast Drivers'!$D$8</definedName>
    <definedName name="naresh" hidden="1">'[244]269T(final)'!#REF!</definedName>
    <definedName name="NatureBusiness">[94]Masters!$C$45</definedName>
    <definedName name="navneet" localSheetId="10" hidden="1">{"'Sheet3'!$A$1:$B$30"}</definedName>
    <definedName name="navneet" hidden="1">{"'Sheet3'!$A$1:$B$30"}</definedName>
    <definedName name="NBFC">#REF!</definedName>
    <definedName name="NBS2A">#N/A</definedName>
    <definedName name="NBS2B">#N/A</definedName>
    <definedName name="NBSA1A">#N/A</definedName>
    <definedName name="NBSA1B">#N/A</definedName>
    <definedName name="NBSL1A">#N/A</definedName>
    <definedName name="NBSL1B">#N/A</definedName>
    <definedName name="NDC">[39]Calculator!$M$47</definedName>
    <definedName name="Net_Inv_P2">'[63]2. Forecast Drivers'!$T$311:$AD$311</definedName>
    <definedName name="NetCFDepJ1">[158]IRR!#REF!</definedName>
    <definedName name="NetCFWODepGs">[158]IRR!#REF!</definedName>
    <definedName name="NetCFWODepJ1">[158]IRR!#REF!</definedName>
    <definedName name="NetDebt">#N/A</definedName>
    <definedName name="NetInterest" localSheetId="10">InterestIncome-InterestExpense</definedName>
    <definedName name="NetInterest">InterestIncome-InterestExpense</definedName>
    <definedName name="NetRevenue">'[129]Operating Statistics'!#REF!</definedName>
    <definedName name="NEUC">#REF!</definedName>
    <definedName name="NEUCHATEL">#REF!</definedName>
    <definedName name="new" localSheetId="10">[245]Acc_10.5!#REF!</definedName>
    <definedName name="NEW" hidden="1">#REF!</definedName>
    <definedName name="NEW_COLUMN_3" hidden="1">'[246]FA Schedule Dec 07'!$M$1:$M$65536</definedName>
    <definedName name="NEW_TABLE">#REF!</definedName>
    <definedName name="New_Zealand">[87]List_ratios!#REF!</definedName>
    <definedName name="newack2">#REF!</definedName>
    <definedName name="newB">#REF!</definedName>
    <definedName name="NEWBASIC">[209]Sheet1!$A$25:$G$31</definedName>
    <definedName name="NEWLINE">'[84]Core Assumptions'!$C$251</definedName>
    <definedName name="newmar99">'[14]dhs-XTL'!#REF!</definedName>
    <definedName name="newmr">[39]Calculator!$P$5</definedName>
    <definedName name="newpast">#REF!</definedName>
    <definedName name="NextFile">[195]Macro1!$B$4</definedName>
    <definedName name="NextFile8">[195]Macro1!$AI$4</definedName>
    <definedName name="Nil" localSheetId="10" hidden="1">{#N/A,#N/A,FALSE,"Aging Summary";#N/A,#N/A,FALSE,"Ratio Analysis";#N/A,#N/A,FALSE,"Test 120 Day Accts";#N/A,#N/A,FALSE,"Tickmarks"}</definedName>
    <definedName name="Nil" hidden="1">{#N/A,#N/A,FALSE,"Aging Summary";#N/A,#N/A,FALSE,"Ratio Analysis";#N/A,#N/A,FALSE,"Test 120 Day Accts";#N/A,#N/A,FALSE,"Tickmarks"}</definedName>
    <definedName name="NIT">#N/A</definedName>
    <definedName name="Nitin" hidden="1">'[247]Sheet3 (2)'!$A$60:$A$76</definedName>
    <definedName name="NKEL">[152]Lrnet_Inftch!#REF!</definedName>
    <definedName name="nldvoicegrowthyr1">#REF!</definedName>
    <definedName name="nldvoicegrowthyr2">#REF!</definedName>
    <definedName name="nldvoicegrowthyr3">#REF!</definedName>
    <definedName name="nldvoicegrowthyr4">#REF!</definedName>
    <definedName name="nldvoicegrowthyr5onwards">#REF!</definedName>
    <definedName name="nn" localSheetId="10" hidden="1">{#N/A,#N/A,FALSE,"Part ABC"}</definedName>
    <definedName name="nn" hidden="1">{#N/A,#N/A,FALSE,"Part ABC"}</definedName>
    <definedName name="nnkklj">#REF!</definedName>
    <definedName name="nnn" localSheetId="1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nnn">'[112]Capex-fixed'!#REF!</definedName>
    <definedName name="nnnnnnn">#REF!</definedName>
    <definedName name="NO_G">#REF!</definedName>
    <definedName name="No_of_technical_training_hours_required">[100]Assumptions!#REF!</definedName>
    <definedName name="NOA_Bal">'[63]2. Forecast Drivers'!$E$107:$S$107</definedName>
    <definedName name="NOA_Cash">'[63]2. Forecast Drivers'!$E$106:$S$106</definedName>
    <definedName name="NOI">'[63]2. Forecast Drivers'!$E$153:$S$153</definedName>
    <definedName name="noj">'[112]Capex-fixed'!#REF!</definedName>
    <definedName name="nonop">[111]Capital!$Q$82:$Q$88</definedName>
    <definedName name="NOOFFFSEGMENTS1">[60]CRITERIA1!$B$18</definedName>
    <definedName name="NoOfItemChanges">'[101]Category Breakup'!$AE$12</definedName>
    <definedName name="NoOfItems">'[101]Category Breakup'!$AB$12</definedName>
    <definedName name="NOPAT">#REF!</definedName>
    <definedName name="nopat97">#REF!</definedName>
    <definedName name="nopatadj">#REF!</definedName>
    <definedName name="nopatcapital97">#REF!</definedName>
    <definedName name="NOPATLink">[130]Nopat_by_Years_Valuation!$B$8</definedName>
    <definedName name="nopatsales97">#REF!</definedName>
    <definedName name="NOPLAT">'[63]3. Results'!$E$145:$AD$145</definedName>
    <definedName name="NOPLAT_P2">'[63]2. Forecast Drivers'!$T$300:$AD$300</definedName>
    <definedName name="NORM">#REF!</definedName>
    <definedName name="normalcapex">#REF!</definedName>
    <definedName name="norms">#REF!</definedName>
    <definedName name="Nos">#REF!</definedName>
    <definedName name="NOTE_1">#REF!</definedName>
    <definedName name="Note_10_12">#REF!</definedName>
    <definedName name="note_2">#REF!</definedName>
    <definedName name="NOTE_3">#REF!</definedName>
    <definedName name="NOTE_4">#REF!</definedName>
    <definedName name="Note_7_9">#REF!</definedName>
    <definedName name="Note_Cap_Crit">#REF!</definedName>
    <definedName name="Note_inc_Exp">#REF!</definedName>
    <definedName name="Note_to_Auditors">#REF!</definedName>
    <definedName name="NOTES">#REF!</definedName>
    <definedName name="Notes_1_6">#REF!</definedName>
    <definedName name="NOTES_MAINCOMP">#REF!</definedName>
    <definedName name="NOTES_ON_ACCT">[183]tb!#REF!</definedName>
    <definedName name="NOTES1">#REF!</definedName>
    <definedName name="NOTES2">#REF!</definedName>
    <definedName name="npa">#REF!</definedName>
    <definedName name="NPV">#REF!</definedName>
    <definedName name="NPV_Rate">#REF!</definedName>
    <definedName name="NPVeq">#REF!</definedName>
    <definedName name="NPVtot">#REF!</definedName>
    <definedName name="NSC">#REF!</definedName>
    <definedName name="ntax">'[84]Core Assumptions'!$E$51</definedName>
    <definedName name="NTD">[118]Facility!$C$277</definedName>
    <definedName name="Num_Pmt_Per_Year">#REF!</definedName>
    <definedName name="NUMBER">#REF!</definedName>
    <definedName name="Number_of_Payments" localSheetId="10">MATCH(0.01,End_Bal,-1)+1</definedName>
    <definedName name="Number_of_Payments">MATCH(0.01,End_Bal,-1)+1</definedName>
    <definedName name="Number_of_Selections">[18]CMA_Calculations!$F$125</definedName>
    <definedName name="NUMBEROFDETAILFIELDS1">[60]CRITERIA1!$B$29</definedName>
    <definedName name="NUMBEROFHEADERFIELDS1">[60]CRITERIA1!$B$28</definedName>
    <definedName name="nvission">"V2006-10-01"</definedName>
    <definedName name="NVS">"V2006-07-02"</definedName>
    <definedName name="NvsASD">"V2006-04-30"</definedName>
    <definedName name="NvsASD1">"V2007-12-30"</definedName>
    <definedName name="NvsAutoDrillOk">"VN"</definedName>
    <definedName name="NvsElapsedTime">0.000543981484952383</definedName>
    <definedName name="NvsElapsedTime1">0.000439814815763384</definedName>
    <definedName name="NvsEndTime">38853.4307523148</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Effdt">"V1900-01-01"</definedName>
    <definedName name="NvsPanelSetid">"VLTDCO"</definedName>
    <definedName name="NvsReqBU">"VINDPL"</definedName>
    <definedName name="NvsReqBUOnly">"VY"</definedName>
    <definedName name="NvsTransLed">"VN"</definedName>
    <definedName name="NvsTreeASD">"V2006-04-30"</definedName>
    <definedName name="NvsValTbl.ACCOUNT">"GL_ACCOUNT_TBL"</definedName>
    <definedName name="NvsValTbl.BUSINESS_UNIT">"BUS_UNIT_TBL_GL"</definedName>
    <definedName name="NvsValTbl.CURRENCY_CD">"CURRENCY_CD_TBL"</definedName>
    <definedName name="NvsValTbl.DEPTID">"DEPARTMENT_TBL"</definedName>
    <definedName name="o" localSheetId="1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o" hidden="1">#REF!</definedName>
    <definedName name="O_M">[82]Sensitivity!$E$8</definedName>
    <definedName name="oandm_var_mod">[99]Assumptions!$L$40</definedName>
    <definedName name="oc">[248]Sensitivity!$J$12</definedName>
    <definedName name="OCA">'[63]2. Forecast Drivers'!$E$54:$S$54</definedName>
    <definedName name="OCC_SWITCH">#REF!</definedName>
    <definedName name="OCL">'[63]2. Forecast Drivers'!$E$57:$S$57</definedName>
    <definedName name="OCOST">#REF!</definedName>
    <definedName name="OCR">#REF!</definedName>
    <definedName name="octroi">#REF!</definedName>
    <definedName name="OctroiArea">[102]Assumptions!#REF!</definedName>
    <definedName name="OD" localSheetId="10">'[63]2. Forecast Drivers'!$E$200:$S$200</definedName>
    <definedName name="OD">'[76]Pool details'!$Y$3:$Y$4876</definedName>
    <definedName name="OFFER">[249]DMS_Configurator!$B$4</definedName>
    <definedName name="Office_Equipments">#REF!</definedName>
    <definedName name="OH">#REF!</definedName>
    <definedName name="OIB">#REF!</definedName>
    <definedName name="ok" localSheetId="10" hidden="1">{#N/A,#N/A,FALSE,"COVER1.XLS ";#N/A,#N/A,FALSE,"RACT1.XLS";#N/A,#N/A,FALSE,"RACT2.XLS";#N/A,#N/A,FALSE,"ECCMP";#N/A,#N/A,FALSE,"WELDER.XLS"}</definedName>
    <definedName name="ok" hidden="1">{#N/A,#N/A,FALSE,"COVER1.XLS ";#N/A,#N/A,FALSE,"RACT1.XLS";#N/A,#N/A,FALSE,"RACT2.XLS";#N/A,#N/A,FALSE,"ECCMP";#N/A,#N/A,FALSE,"WELDER.XLS"}</definedName>
    <definedName name="OL_PAKI">[226]海外WORK!#REF!</definedName>
    <definedName name="OLDHRA">'[209]OLD-HRA'!$A$2:$C$491</definedName>
    <definedName name="oldsur_usincome">[39]Calculator!$P$4</definedName>
    <definedName name="Olklkk">#REF!</definedName>
    <definedName name="OLS">#REF!</definedName>
    <definedName name="OM" hidden="1">20</definedName>
    <definedName name="OM.5">#REF!</definedName>
    <definedName name="OM_1">#REF!</definedName>
    <definedName name="OM_1.5">#REF!</definedName>
    <definedName name="OM_2">#REF!</definedName>
    <definedName name="OM_2.5">#REF!</definedName>
    <definedName name="OM_3">#REF!</definedName>
    <definedName name="OMS_P2_M">'[73]末残計画(四半期ベース)'!$F$855</definedName>
    <definedName name="OMS_P2_Q">'[73]末残計画(四半期ベース)'!$G$855</definedName>
    <definedName name="OMS_PX2_M">'[73]末残計画(四半期ベース)'!$F$851</definedName>
    <definedName name="OMS_PX2_Q">'[73]末残計画(四半期ベース)'!$G$851</definedName>
    <definedName name="OMS_PY2_M">'[73]末残計画(四半期ベース)'!$F$853</definedName>
    <definedName name="OMS_PY2_Q">'[73]末残計画(四半期ベース)'!$G$853</definedName>
    <definedName name="OMS_R2_M">'[73]末残計画(四半期ベース)'!$F$856</definedName>
    <definedName name="OMS_R2_Q">'[73]末残計画(四半期ベース)'!$G$856</definedName>
    <definedName name="OMS_RX2_M">'[73]末残計画(四半期ベース)'!$F$852</definedName>
    <definedName name="OMS_RX2_Q">'[73]末残計画(四半期ベース)'!$G$852</definedName>
    <definedName name="OMS_RY2_M">'[73]末残計画(四半期ベース)'!$F$854</definedName>
    <definedName name="OMS_RY2_Q">'[73]末残計画(四半期ベース)'!$G$854</definedName>
    <definedName name="On_Click">[250]!On_Click</definedName>
    <definedName name="One">'[63]2. Forecast Drivers'!$D$330</definedName>
    <definedName name="ONM_Base">#REF!</definedName>
    <definedName name="ONM_SEN">#REF!</definedName>
    <definedName name="OOA_Bal">'[63]2. Forecast Drivers'!$E$97:$S$97</definedName>
    <definedName name="OOA_Cash">'[63]2. Forecast Drivers'!$E$96:$S$96</definedName>
    <definedName name="OOE">'[63]2. Forecast Drivers'!$E$37:$S$37</definedName>
    <definedName name="OOL_Bal">'[63]2. Forecast Drivers'!$E$102:$S$102</definedName>
    <definedName name="OOL_Cash">'[63]2. Forecast Drivers'!$E$101:$S$101</definedName>
    <definedName name="ooo">#REF!</definedName>
    <definedName name="oooo">#REF!</definedName>
    <definedName name="OOP_Bal">'[63]2. Forecast Drivers'!$E$166:$S$166</definedName>
    <definedName name="OOP_Cash">'[63]2. Forecast Drivers'!$F$165:$S$165</definedName>
    <definedName name="oopppp\" hidden="1">#REF!</definedName>
    <definedName name="OOR">'[63]2. Forecast Drivers'!$E$28:$S$28</definedName>
    <definedName name="op_stk_rough_99">#REF!</definedName>
    <definedName name="OpCash">'[63]2. Forecast Drivers'!$E$42:$S$42</definedName>
    <definedName name="opcfdrate">[251]EconSummary!$D$4</definedName>
    <definedName name="open" localSheetId="10" hidden="1">{"plansummary",#N/A,FALSE,"PlanSummary";"sales",#N/A,FALSE,"Sales Rec";"productivity",#N/A,FALSE,"Productivity Rec";"capitalspending",#N/A,FALSE,"Capital Spending"}</definedName>
    <definedName name="open" hidden="1">{"plansummary",#N/A,FALSE,"PlanSummary";"sales",#N/A,FALSE,"Sales Rec";"productivity",#N/A,FALSE,"Productivity Rec";"capitalspending",#N/A,FALSE,"Capital Spending"}</definedName>
    <definedName name="Open_Confirm">#REF!</definedName>
    <definedName name="operating_print">#REF!</definedName>
    <definedName name="operations">#REF!</definedName>
    <definedName name="OpLease_Bal">'[63]2. Forecast Drivers'!$E$128:$S$128</definedName>
    <definedName name="OpLease_Cash">'[63]2. Forecast Drivers'!$E$129:$S$129</definedName>
    <definedName name="OpLease_Int">'[63]2. Forecast Drivers'!$E$131:$S$131</definedName>
    <definedName name="OPTION_COPY">#REF!</definedName>
    <definedName name="OptionChk1">[115]!OptionChk1</definedName>
    <definedName name="OptionChk2">[115]!OptionChk2</definedName>
    <definedName name="OptionChk3">[115]!OptionChk3</definedName>
    <definedName name="Options">'[63]2. Forecast Drivers'!$D$145</definedName>
    <definedName name="optpatchcord">'[112]Capex-fixed'!#REF!</definedName>
    <definedName name="order_value">#REF!</definedName>
    <definedName name="OrderTable" hidden="1">#REF!</definedName>
    <definedName name="Orig_R">[121]Rollup!#REF!</definedName>
    <definedName name="origination_mode">[252]EMI!$B$3:$B$2468</definedName>
    <definedName name="OrigLoan_R">[121]Rollup!#REF!</definedName>
    <definedName name="os.BalanceNoRaceHorse">[39]CG_OS!$J$91</definedName>
    <definedName name="os.BalanceOwnRaceHorse">[39]CG_OS!$J$97</definedName>
    <definedName name="os.DeductSec57">[39]CG_OS!$H$96</definedName>
    <definedName name="os.Receipts">[39]CG_OS!$H$95</definedName>
    <definedName name="os.TotalOSGross">[39]CG_OS!$J$86</definedName>
    <definedName name="os.TotDeductions">[39]CG_OS!$H$90</definedName>
    <definedName name="os.TotOthSrcNoRaceHorse">[39]CG_OS!$J$93</definedName>
    <definedName name="os.WinLottRacePuzz">[39]CG_OS!$J$92</definedName>
    <definedName name="OSL">#REF!</definedName>
    <definedName name="osloss1.unabs">'[39]CYLA BFLA'!$F$61</definedName>
    <definedName name="OSP_Maintenance">[128]assumptions!#REF!</definedName>
    <definedName name="ospmaintenance">#REF!</definedName>
    <definedName name="OSSbssdis">#REF!</definedName>
    <definedName name="Oth">#REF!</definedName>
    <definedName name="OTHER_ASSETS">'[109]MN T.B.'!$A$221:$H$273</definedName>
    <definedName name="Other_Costs">#REF!</definedName>
    <definedName name="other_dep_99">#REF!</definedName>
    <definedName name="OTHER_ERN">'[109]MN T.B.'!$A$171:$H$219</definedName>
    <definedName name="Other_exp_99">#REF!</definedName>
    <definedName name="other_labour">#REF!</definedName>
    <definedName name="OTHER_LIAB">'[109]MN T.B.'!$A$275:$H$315</definedName>
    <definedName name="Other_S___M_Costs_on_Revenue">[108]assumptions!$D$43</definedName>
    <definedName name="OTHER1">'[109]MN T.B.'!$A$163:$H$314</definedName>
    <definedName name="otherfinancialcharge">'[112]NLD - Assum'!#REF!</definedName>
    <definedName name="otherinterconnectperldca">#REF!</definedName>
    <definedName name="othernwtfcy1">#REF!</definedName>
    <definedName name="othernwtfcy2">#REF!</definedName>
    <definedName name="othernwtfcy3">#REF!</definedName>
    <definedName name="othernwtfcy4">#REF!</definedName>
    <definedName name="othernwtfcy5onwards">#REF!</definedName>
    <definedName name="otherosincome">'[39]CYLA BFLA'!$O$15</definedName>
    <definedName name="otherosincome.bf">'[39]CYLA BFLA'!$AF$15</definedName>
    <definedName name="otherosincome.bp">'[39]CYLA BFLA'!$AB$15</definedName>
    <definedName name="otherosincome.hp">'[39]CYLA BFLA'!$X$15</definedName>
    <definedName name="otherosincome.ih">'[39]CYLA BFLA'!$Q$15</definedName>
    <definedName name="otherosincome.os">'[39]CYLA BFLA'!$T$15</definedName>
    <definedName name="otherosincome.rem">'[39]CYLA BFLA'!$AO$12</definedName>
    <definedName name="otherosloss">'[39]CYLA BFLA'!$P$15</definedName>
    <definedName name="otherosloss.aftbfl">'[39]CYLA BFLA'!$AH$15</definedName>
    <definedName name="otherosloss.bf">'[39]CYLA BFLA'!$AE$15</definedName>
    <definedName name="otherosloss.bfadj">'[39]CYLA BFLA'!$AG$15</definedName>
    <definedName name="otherosloss.bp">'[39]CYLA BFLA'!$AD$15</definedName>
    <definedName name="otherosloss.hp">'[39]CYLA BFLA'!$Z$15</definedName>
    <definedName name="otherosloss.ih">'[39]CYLA BFLA'!$R$15</definedName>
    <definedName name="otherosloss.os">'[39]CYLA BFLA'!$V$15</definedName>
    <definedName name="otherosloss.unabs">'[39]CYLA BFLA'!$AN$12</definedName>
    <definedName name="Others" localSheetId="10" hidden="1">{#N/A,#N/A,FALSE,"COVER1.XLS ";#N/A,#N/A,FALSE,"RACT1.XLS";#N/A,#N/A,FALSE,"RACT2.XLS";#N/A,#N/A,FALSE,"ECCMP";#N/A,#N/A,FALSE,"WELDER.XLS"}</definedName>
    <definedName name="Others" hidden="1">{#N/A,#N/A,FALSE,"COVER1.XLS ";#N/A,#N/A,FALSE,"RACT1.XLS";#N/A,#N/A,FALSE,"RACT2.XLS";#N/A,#N/A,FALSE,"ECCMP";#N/A,#N/A,FALSE,"WELDER.XLS"}</definedName>
    <definedName name="OTHLIAB">#REF!</definedName>
    <definedName name="othpay">[131]tb!$G$804:$O$926</definedName>
    <definedName name="othSecinclnlhrs.IncOfCurYrAfterSetOff3">'[39]CYLA BFLA'!$H$12</definedName>
    <definedName name="othSecinclnlhrs.IncOfCurYrUnderThatHead3">'[39]CYLA BFLA'!$D$12</definedName>
    <definedName name="othsrcincl.BFlossPrevYrUndSameHeadSetoff5">'[39]CYLA BFLA'!$E$26</definedName>
    <definedName name="othsrcincl.BFUnabsorbedDeprSetoff5">'[39]CYLA BFLA'!$F$26</definedName>
    <definedName name="otr_labour">#REF!</definedName>
    <definedName name="otr_labour_99">#REF!</definedName>
    <definedName name="outofareashipcost">[102]Assumptions!#REF!</definedName>
    <definedName name="OutOfAreaShipPercent">[102]Assumptions!#REF!</definedName>
    <definedName name="OUTPUT_AREA">#REF!</definedName>
    <definedName name="Outputs">#REF!</definedName>
    <definedName name="outsourcedmanpowerph1a">#REF!</definedName>
    <definedName name="outsourcedmanpowerph1b">#REF!</definedName>
    <definedName name="outsourcedmanpowerph2">#REF!</definedName>
    <definedName name="P" localSheetId="10">#REF!</definedName>
    <definedName name="p">#REF!</definedName>
    <definedName name="P___L___Statement">#REF!</definedName>
    <definedName name="P_1">#REF!</definedName>
    <definedName name="P_2">#REF!</definedName>
    <definedName name="P_3">#REF!</definedName>
    <definedName name="P_and_L">#REF!</definedName>
    <definedName name="P_L">#REF!</definedName>
    <definedName name="P_M">#REF!</definedName>
    <definedName name="P_MARVINKURVE">#REF!</definedName>
    <definedName name="P_Som">#REF!</definedName>
    <definedName name="P0">#REF!</definedName>
    <definedName name="P1_">#REF!</definedName>
    <definedName name="p2_">#REF!</definedName>
    <definedName name="p3_">#REF!</definedName>
    <definedName name="P90_var_mod">[99]Assumptions!$L$41</definedName>
    <definedName name="PAF">[62]Assumptions!$C$44</definedName>
    <definedName name="PAF_Base">#REF!</definedName>
    <definedName name="PAF_SEN">#REF!</definedName>
    <definedName name="PAG">#REF!</definedName>
    <definedName name="Page" localSheetId="10" hidden="1">{#N/A,#N/A,FALSE,"COVER.XLS";#N/A,#N/A,FALSE,"RACT1.XLS";#N/A,#N/A,FALSE,"RACT2.XLS";#N/A,#N/A,FALSE,"ECCMP";#N/A,#N/A,FALSE,"WELDER.XLS"}</definedName>
    <definedName name="Page" hidden="1">{#N/A,#N/A,FALSE,"COVER.XLS";#N/A,#N/A,FALSE,"RACT1.XLS";#N/A,#N/A,FALSE,"RACT2.XLS";#N/A,#N/A,FALSE,"ECCMP";#N/A,#N/A,FALSE,"WELDER.XLS"}</definedName>
    <definedName name="page_10">#REF!</definedName>
    <definedName name="page_11">#REF!</definedName>
    <definedName name="page_12">#REF!</definedName>
    <definedName name="page_13">#REF!</definedName>
    <definedName name="page_14">#REF!</definedName>
    <definedName name="page_7">#REF!</definedName>
    <definedName name="page_8">#REF!</definedName>
    <definedName name="page_9">#REF!</definedName>
    <definedName name="page1">#REF!</definedName>
    <definedName name="page10">#REF!</definedName>
    <definedName name="PAGE10_6">#REF!</definedName>
    <definedName name="PAGE11_6">#REF!</definedName>
    <definedName name="PAGE12_6">#REF!</definedName>
    <definedName name="PAGE14">#REF!</definedName>
    <definedName name="PAGE15">#REF!</definedName>
    <definedName name="PAGE16">#REF!</definedName>
    <definedName name="PAGE17">#REF!</definedName>
    <definedName name="PAGE18">#REF!</definedName>
    <definedName name="PAGE19">#REF!</definedName>
    <definedName name="page2">#REF!</definedName>
    <definedName name="PAGE2_6">#REF!</definedName>
    <definedName name="PAGE20">#REF!</definedName>
    <definedName name="PAGE21">#REF!</definedName>
    <definedName name="PAGE210">#REF!</definedName>
    <definedName name="PAGE22">#REF!</definedName>
    <definedName name="PAGE23">#REF!</definedName>
    <definedName name="PAGE24">#REF!</definedName>
    <definedName name="PAGE25">#REF!</definedName>
    <definedName name="PAGE26">#REF!</definedName>
    <definedName name="PAGE27">#REF!</definedName>
    <definedName name="PAGE28">#REF!</definedName>
    <definedName name="PAGE29">#REF!</definedName>
    <definedName name="page3">#REF!</definedName>
    <definedName name="PAGE3_6">#REF!</definedName>
    <definedName name="page34">#REF!</definedName>
    <definedName name="Page35">#REF!</definedName>
    <definedName name="PAGE4">#REF!</definedName>
    <definedName name="PAGE4_6">#REF!</definedName>
    <definedName name="page5">#REF!</definedName>
    <definedName name="PAGE5_6">#REF!</definedName>
    <definedName name="page50">#REF!</definedName>
    <definedName name="page51">#REF!</definedName>
    <definedName name="page52">#REF!</definedName>
    <definedName name="page6">#REF!</definedName>
    <definedName name="PAGE6_6">#REF!</definedName>
    <definedName name="page7">#REF!</definedName>
    <definedName name="PAGE7_6">#REF!</definedName>
    <definedName name="page8">#REF!</definedName>
    <definedName name="PAGE8_6U1A">#REF!</definedName>
    <definedName name="PAGE8_6U1B">#REF!</definedName>
    <definedName name="PAGE8_6U2A">#REF!</definedName>
    <definedName name="PAGE8_6U2B">#REF!</definedName>
    <definedName name="PAGE8_6U3A">#REF!</definedName>
    <definedName name="PAGE8_6U3B">#REF!</definedName>
    <definedName name="PAGE9">#REF!</definedName>
    <definedName name="PAGE9_6">#REF!</definedName>
    <definedName name="PalisadeReportWorkbookCreatedBy">"AtRisk"</definedName>
    <definedName name="PAN">[94]Masters!$C$11</definedName>
    <definedName name="PandL">#REF!</definedName>
    <definedName name="PAP">[118]PAP!$D$5</definedName>
    <definedName name="PARAMS">#REF!</definedName>
    <definedName name="parse" hidden="1">#REF!</definedName>
    <definedName name="part_iv">#REF!</definedName>
    <definedName name="PART1">#REF!</definedName>
    <definedName name="partc.AggreFBTLiability">[39]PART_C!$J$17</definedName>
    <definedName name="partc.DefaultFileUs115WK">[39]PART_C!$H$15</definedName>
    <definedName name="partc.DefaultPayUs115WJ3">[39]PART_C!$H$14</definedName>
    <definedName name="partc.EducationCess">[39]PART_C!$J$11</definedName>
    <definedName name="partc.FBTPayable">[39]PART_C!$J$9</definedName>
    <definedName name="partc.SurchargeOnFBT">[39]PART_C!$J$10</definedName>
    <definedName name="partc.TotalTaxesPaid">[39]PART_C!$J$21</definedName>
    <definedName name="partc.TotFBTInterestPayable">[39]PART_C!$J$16</definedName>
    <definedName name="partc.TotFBTLiability">[39]PART_C!$J$12</definedName>
    <definedName name="partc.TotValueOfFBT">[39]PART_C!$J$8</definedName>
    <definedName name="PartDesignation">[94]Masters!$C$16</definedName>
    <definedName name="PARTICULARS">#REF!</definedName>
    <definedName name="partnercap97">#REF!</definedName>
    <definedName name="Partners_capital_99">#REF!</definedName>
    <definedName name="PartnersCapitalAc98">#REF!</definedName>
    <definedName name="past">#REF!</definedName>
    <definedName name="paste_1">#REF!</definedName>
    <definedName name="paste_10">#REF!</definedName>
    <definedName name="paste_11">#REF!</definedName>
    <definedName name="paste_12">#REF!</definedName>
    <definedName name="paste_14">#REF!</definedName>
    <definedName name="paste_15">#REF!</definedName>
    <definedName name="paste_16">#REF!</definedName>
    <definedName name="paste_17">#REF!</definedName>
    <definedName name="paste_18">#REF!</definedName>
    <definedName name="paste_2">#REF!</definedName>
    <definedName name="paste_3">#REF!</definedName>
    <definedName name="paste_4">#REF!</definedName>
    <definedName name="paste_5">#REF!</definedName>
    <definedName name="paste_6">#REF!</definedName>
    <definedName name="PASTE_LoanCOALSPV">#REF!</definedName>
    <definedName name="PATHNAME">[38]INFO!#REF!</definedName>
    <definedName name="Pauline">#REF!</definedName>
    <definedName name="Pay_Date">#REF!</definedName>
    <definedName name="Pay_Num">#REF!</definedName>
    <definedName name="payal" localSheetId="10" hidden="1">{"'Sheet3'!$A$1:$B$30"}</definedName>
    <definedName name="payal" hidden="1">{"'Sheet3'!$A$1:$B$30"}</definedName>
    <definedName name="payment.Num" localSheetId="10">IF(OR('[80]FITZ MORT 94'!A1048576="",'[80]FITZ MORT 94'!A1048576='Depreciation Schedule'!Total_payments),"",'[80]FITZ MORT 94'!A1048576+1)</definedName>
    <definedName name="payment.Num">IF(OR('[80]FITZ MORT 94'!A1048576="",'[80]FITZ MORT 94'!A1048576=[0]!Total_payments),"",'[80]FITZ MORT 94'!A1048576+1)</definedName>
    <definedName name="Payment_Date" localSheetId="10">DATE(YEAR(Loan_Start),MONTH(Loan_Start)+Payment_Number,DAY(Loan_Start))</definedName>
    <definedName name="Payment_Date">DATE(YEAR(Loan_Start),MONTH(Loan_Start)+Payment_Number,DAY(Loan_Start))</definedName>
    <definedName name="Payments_per_year">'[80]FITZ MORT 94'!$C$9</definedName>
    <definedName name="PaymentStatus">[58]ReasonCode!$U$2:$U$6</definedName>
    <definedName name="PAYROLL_TAX">#REF!</definedName>
    <definedName name="PBIDT">#REF!</definedName>
    <definedName name="PBinstalcost">'[112]Capex-fixed'!#REF!</definedName>
    <definedName name="PBTAprActual">#REF!</definedName>
    <definedName name="PBTAugActual">#REF!</definedName>
    <definedName name="PBTDecProj">#REF!</definedName>
    <definedName name="PBTFebProj">#REF!</definedName>
    <definedName name="PBTJanProj">#REF!</definedName>
    <definedName name="PBTJulyActual">#REF!</definedName>
    <definedName name="PBTJuneProj">#REF!</definedName>
    <definedName name="PBTMarProj">#REF!</definedName>
    <definedName name="PBTMayActual">#REF!</definedName>
    <definedName name="PBTNovProj">#REF!</definedName>
    <definedName name="PBTOctProj">#REF!</definedName>
    <definedName name="PBTSepProj">#REF!</definedName>
    <definedName name="pc">[215]Sensitivity!$F$9</definedName>
    <definedName name="PC_1">#REF!</definedName>
    <definedName name="PC_2">#REF!</definedName>
    <definedName name="PC_3">#REF!</definedName>
    <definedName name="PC_4">#REF!</definedName>
    <definedName name="PC_5">#REF!</definedName>
    <definedName name="PC_6">#REF!</definedName>
    <definedName name="pc_p">[230]Macros!$C$29</definedName>
    <definedName name="pconv">'[112]Capex-fixed'!#REF!</definedName>
    <definedName name="pconvcable">'[112]Capex-fixed'!#REF!</definedName>
    <definedName name="pcurr">#REF!</definedName>
    <definedName name="pcurr1">#REF!</definedName>
    <definedName name="pd" localSheetId="1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pd">'[67]Cost Breakup Depreciation&amp; Tax'!$C$31</definedName>
    <definedName name="PEHigh">[181]Factset!$IU$29</definedName>
    <definedName name="PELow">[181]Factset!$IU$30</definedName>
    <definedName name="Pen_Excess">'[63]2. Forecast Drivers'!$D$137</definedName>
    <definedName name="PENAL">#REF!</definedName>
    <definedName name="Per10080G.DonationAmt">'[39]80G'!$I$4:$I$8</definedName>
    <definedName name="Per10080G.EligibleAmt">'[39]80G'!$J$4:$J$8</definedName>
    <definedName name="Per10080G.TotDon100Percent">'[39]80G'!$I$10</definedName>
    <definedName name="Per10080G.TotElig100Percent">'[39]80G'!$J$10</definedName>
    <definedName name="Per5080G.DonationAmt">'[39]80G'!$I$50:$I$54</definedName>
    <definedName name="Per5080G.EligibleAmt">'[39]80G'!$J$50:$J$54</definedName>
    <definedName name="Per5080G.TotalEligibleDonationsUs80G">'[39]80G'!$J$61</definedName>
    <definedName name="Per5080G.TotDon100Percent">'[39]80G'!$I$56</definedName>
    <definedName name="Per5080G.TotElig100Percent">'[39]80G'!$J$56</definedName>
    <definedName name="Percent_Class_A">#REF!</definedName>
    <definedName name="Percent_Class_B">#REF!</definedName>
    <definedName name="Percent_Threshold">#REF!</definedName>
    <definedName name="percentagemarketcoveredph2">#REF!</definedName>
    <definedName name="percentagemktcoveredph1a">#REF!</definedName>
    <definedName name="percentagemktcoveredph1b">#REF!</definedName>
    <definedName name="percentcables">#REF!</definedName>
    <definedName name="percentcivil">#REF!</definedName>
    <definedName name="percentducts">#REF!</definedName>
    <definedName name="percentelectro">#REF!</definedName>
    <definedName name="percentland">#REF!</definedName>
    <definedName name="percentothers">#REF!</definedName>
    <definedName name="percentrow">#REF!</definedName>
    <definedName name="period">12</definedName>
    <definedName name="periodcerc">'[84]Core Assumptions'!$G$220</definedName>
    <definedName name="PeriodEnding">#REF!</definedName>
    <definedName name="Periodic_rate" localSheetId="10">[0]!Annual_interest_rate/[0]!Payments_per_year</definedName>
    <definedName name="Periodic_rate">[0]!Annual_interest_rate/[0]!Payments_per_year</definedName>
    <definedName name="periodmerc">'[84]Core Assumptions'!$G$219</definedName>
    <definedName name="PERIODSETNAME1">[60]CRITERIA1!$B$4</definedName>
    <definedName name="PerNO5080G.DonationAmt">'[39]80G'!$I$18:$I$22</definedName>
    <definedName name="PerNO5080G.EligibleAmtCalc">'[39]80G'!$O$18:$O$22</definedName>
    <definedName name="PerNO5080G.TotDon100Percent">'[39]80G'!$I$24</definedName>
    <definedName name="PerNO5080G.TotElig100Percent">'[39]80G'!$J$24</definedName>
    <definedName name="Perperson">#REF!</definedName>
    <definedName name="pertrip">#REF!</definedName>
    <definedName name="PerYES10080G.DonationAmt">'[39]80G'!$I$34:$I$38</definedName>
    <definedName name="PerYES10080G.EligibleAmt">'[39]80G'!$J$34:$J$38</definedName>
    <definedName name="PerYES10080G.TotDon100Percent">'[39]80G'!$I$40</definedName>
    <definedName name="PerYES10080G.TotElig100Percent">'[39]80G'!$J$40</definedName>
    <definedName name="PF" localSheetId="10" hidden="1">{#N/A,#N/A,FALSE,"COVER.XLS";#N/A,#N/A,FALSE,"RACT1.XLS";#N/A,#N/A,FALSE,"RACT2.XLS";#N/A,#N/A,FALSE,"ECCMP";#N/A,#N/A,FALSE,"WELDER.XLS"}</definedName>
    <definedName name="PF" hidden="1">{#N/A,#N/A,FALSE,"COVER.XLS";#N/A,#N/A,FALSE,"RACT1.XLS";#N/A,#N/A,FALSE,"RACT2.XLS";#N/A,#N/A,FALSE,"ECCMP";#N/A,#N/A,FALSE,"WELDER.XLS"}</definedName>
    <definedName name="PG">#REF!</definedName>
    <definedName name="PG_2">[253]NOTES!#REF!</definedName>
    <definedName name="PG_4">[253]NOTES!#REF!</definedName>
    <definedName name="PG_5">[253]NOTES!#REF!</definedName>
    <definedName name="Philippines_PLDT">[87]List_ratios!#REF!</definedName>
    <definedName name="PhotoShootCost">[102]Assumptions!#REF!</definedName>
    <definedName name="PhotoShootPercent">[102]Assumptions!#REF!</definedName>
    <definedName name="PhotoWebCost">[102]Assumptions!#REF!</definedName>
    <definedName name="PIC">"Picture 1"</definedName>
    <definedName name="pipelease_paste">[65]HMPL!$C$59</definedName>
    <definedName name="piu">'[112]Capex-fixed'!#REF!</definedName>
    <definedName name="PKG.CHGS.">#REF!</definedName>
    <definedName name="PKTCLHold">'[84]Core Assumptions'!$C$361</definedName>
    <definedName name="PKTCLOGI">'[84]Core Assumptions'!$G$361</definedName>
    <definedName name="pl" localSheetId="10">#REF!</definedName>
    <definedName name="PL">'[118]P L'!$C$6</definedName>
    <definedName name="PL.BalBFPrevYr">[39]PROFIT_LOSS!$J$96</definedName>
    <definedName name="PL.BusinessReceipts">[39]PROFIT_LOSS!$J$2</definedName>
    <definedName name="PL.ClosingStock">[39]PROFIT_LOSS!$J$21</definedName>
    <definedName name="PL.DepreciationAmort">[39]PROFIT_LOSS!$J$90</definedName>
    <definedName name="PL.Expenses">[39]PROFIT_LOSS!$J$108</definedName>
    <definedName name="PL.GrossProfit">[39]PROFIT_LOSS!$J$107</definedName>
    <definedName name="PL.InterestExpdr">[39]PROFIT_LOSS!$J$89</definedName>
    <definedName name="PL.NetProfit">[39]PROFIT_LOSS!$J$109</definedName>
    <definedName name="PL.PBIDTA">[39]PROFIT_LOSS!$J$88</definedName>
    <definedName name="PL.PBT">[39]PROFIT_LOSS!$J$91</definedName>
    <definedName name="PL.ProfitAfterTax">[39]PROFIT_LOSS!$J$95</definedName>
    <definedName name="PL.TotCreditsToPL">[39]PROFIT_LOSS!$J$22</definedName>
    <definedName name="PL.TotOthIncome">[39]PROFIT_LOSS!$J$20</definedName>
    <definedName name="pl_a">[131]tb!$G$10:$V$1193</definedName>
    <definedName name="PL1A">#N/A</definedName>
    <definedName name="PL1B">#N/A</definedName>
    <definedName name="PL2A">#N/A</definedName>
    <definedName name="PL2B">#N/A</definedName>
    <definedName name="PL3A">#N/A</definedName>
    <definedName name="PL3B">#N/A</definedName>
    <definedName name="plac">#REF!</definedName>
    <definedName name="PLAccount">#REF!</definedName>
    <definedName name="PLAN">[254]PLAN!$A$2:$A$32</definedName>
    <definedName name="PLAN_LIST">[254]PLAN!$A$2:$A$65536</definedName>
    <definedName name="plan1">[214]Input!$B$159</definedName>
    <definedName name="plan10">[214]Input!$K$159</definedName>
    <definedName name="plan2">[214]Input!$C$159</definedName>
    <definedName name="plan3">[214]Input!$D$159</definedName>
    <definedName name="plan4">[214]Input!$E$159</definedName>
    <definedName name="plan5">[214]Input!$F$159</definedName>
    <definedName name="plan6">[214]Input!$G$159</definedName>
    <definedName name="plan7">[214]Input!$H$159</definedName>
    <definedName name="plan8">[214]Input!$I$159</definedName>
    <definedName name="plan9">[214]Input!$J$159</definedName>
    <definedName name="Plant">#REF!</definedName>
    <definedName name="PLANT_LIST">[255]PLANT!$D$2:$D$65504</definedName>
    <definedName name="PLANT_TYPE_LIST">[255]PLANT_TYPE!$A$2:$A$65536</definedName>
    <definedName name="PLCrEx.TotExciseCustomsVAT">[39]PROFIT_LOSS!$J$8</definedName>
    <definedName name="PLF" localSheetId="10">[62]Assumptions!$C$45</definedName>
    <definedName name="plf">[82]Sensitivity!$E$6</definedName>
    <definedName name="PLF_Base">#REF!</definedName>
    <definedName name="PLF_SEN">#REF!</definedName>
    <definedName name="plfull">#REF!</definedName>
    <definedName name="ploss">#REF!</definedName>
    <definedName name="ploss95">#REF!</definedName>
    <definedName name="ploss96">#REF!</definedName>
    <definedName name="PLOSS97">#REF!</definedName>
    <definedName name="PLrate">'[119]Groupings 2004'!#REF!</definedName>
    <definedName name="PLRateEUR_USD1">[256]Rates!$D$4</definedName>
    <definedName name="PLRateGBP_USD">[119]Rates!$D$3</definedName>
    <definedName name="PLRateRMB_USD">[256]Rates!$D$5</definedName>
    <definedName name="PLTable">'[114]PL-Bud'!$A$11:$Y$133</definedName>
    <definedName name="pm">'[67]Cost Breakup Depreciation&amp; Tax'!$C$29</definedName>
    <definedName name="pmonth">#REF!</definedName>
    <definedName name="Pmt_to_use">'[80]FITZ MORT 94'!$C$15</definedName>
    <definedName name="PNLnew">[257]Assumptions!#REF!</definedName>
    <definedName name="POApprover">[58]ReasonCode!$Q$2:$Q$13</definedName>
    <definedName name="poerujgslnmv">[258]BKCSTOCKVAL!#REF!</definedName>
    <definedName name="Polish_cl_99">#REF!</definedName>
    <definedName name="Polish_op_99">#REF!</definedName>
    <definedName name="Pop_Ratio">#REF!</definedName>
    <definedName name="PoPno">'[259]Level 0'!#REF!</definedName>
    <definedName name="populationgrowthrate">#REF!</definedName>
    <definedName name="POST">#REF!</definedName>
    <definedName name="Postage" localSheetId="10" hidden="1">{#N/A,#N/A,FALSE,"Aging Summary";#N/A,#N/A,FALSE,"Ratio Analysis";#N/A,#N/A,FALSE,"Test 120 Day Accts";#N/A,#N/A,FALSE,"Tickmarks"}</definedName>
    <definedName name="Postage" hidden="1">{#N/A,#N/A,FALSE,"Aging Summary";#N/A,#N/A,FALSE,"Ratio Analysis";#N/A,#N/A,FALSE,"Test 120 Day Accts";#N/A,#N/A,FALSE,"Tickmarks"}</definedName>
    <definedName name="PostageCourierTelephoneExpenses" localSheetId="10" hidden="1">{#N/A,#N/A,FALSE,"Aging Summary";#N/A,#N/A,FALSE,"Ratio Analysis";#N/A,#N/A,FALSE,"Test 120 Day Accts";#N/A,#N/A,FALSE,"Tickmarks"}</definedName>
    <definedName name="PostageCourierTelephoneExpenses" hidden="1">{#N/A,#N/A,FALSE,"Aging Summary";#N/A,#N/A,FALSE,"Ratio Analysis";#N/A,#N/A,FALSE,"Test 120 Day Accts";#N/A,#N/A,FALSE,"Tickmarks"}</definedName>
    <definedName name="POStatus">[58]ReasonCode!$R$2:$R$6</definedName>
    <definedName name="POSTERRORSTOSUSP1">[60]CRITERIA1!$B$34</definedName>
    <definedName name="postsplit">[66]Assumptions!$C$55</definedName>
    <definedName name="pots30if">'[112]Capex-fixed'!#REF!</definedName>
    <definedName name="potscable">'[112]Capex-fixed'!#REF!</definedName>
    <definedName name="potsif">'[112]Capex-fixed'!#REF!</definedName>
    <definedName name="POWER" localSheetId="10">#REF!</definedName>
    <definedName name="power">'[67]Cost Breakup Depreciation&amp; Tax'!$C$19</definedName>
    <definedName name="Power_99">#REF!</definedName>
    <definedName name="power_existing_furnace">[150]Assum!$C$362:$M$374</definedName>
    <definedName name="power_new_furnace">[150]Assum!$C$377:$M$389</definedName>
    <definedName name="PP" localSheetId="10">#REF!</definedName>
    <definedName name="pp" hidden="1">#REF!</definedName>
    <definedName name="pp_consol">'[260]Rollup Summary'!$H$26</definedName>
    <definedName name="PPE_Net">'[63]2. Forecast Drivers'!$E$66:$S$66</definedName>
    <definedName name="PPP">#REF!</definedName>
    <definedName name="pptt">[214]b!$C$11</definedName>
    <definedName name="PR">#REF!</definedName>
    <definedName name="PR_RTL">[62]Input!$C$34</definedName>
    <definedName name="Praveen" localSheetId="10"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Praveen"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Pre_tax_materiality">#REF!</definedName>
    <definedName name="PreCompDebt">#REF!</definedName>
    <definedName name="prefinclosure">'[67]Cost Breakup Depreciation&amp; Tax'!$C$34</definedName>
    <definedName name="Prefs_Bal">'[63]2. Forecast Drivers'!$E$231:$S$231</definedName>
    <definedName name="Prefs_Cash">'[63]2. Forecast Drivers'!$E$230:$S$230</definedName>
    <definedName name="Prefs_Div">'[63]2. Forecast Drivers'!$E$233:$S$233</definedName>
    <definedName name="prem">[42]Assumptions!#REF!</definedName>
    <definedName name="PREMEXP">#REF!</definedName>
    <definedName name="premises">#REF!</definedName>
    <definedName name="Premium">#REF!</definedName>
    <definedName name="premiumc">'[38]NOTES '!#REF!</definedName>
    <definedName name="premiump">'[38]NOTES '!#REF!</definedName>
    <definedName name="Pres" localSheetId="10" hidden="1">{#N/A,#N/A,TRUE,"Cover sheet";#N/A,#N/A,TRUE,"Summary";#N/A,#N/A,TRUE,"Key Assumptions";#N/A,#N/A,TRUE,"Profit &amp; Loss";#N/A,#N/A,TRUE,"Balance Sheet";#N/A,#N/A,TRUE,"Cashflow";#N/A,#N/A,TRUE,"IRR";#N/A,#N/A,TRUE,"Ratios";#N/A,#N/A,TRUE,"Debt analysis"}</definedName>
    <definedName name="Pres" hidden="1">{#N/A,#N/A,TRUE,"Cover sheet";#N/A,#N/A,TRUE,"Summary";#N/A,#N/A,TRUE,"Key Assumptions";#N/A,#N/A,TRUE,"Profit &amp; Loss";#N/A,#N/A,TRUE,"Balance Sheet";#N/A,#N/A,TRUE,"Cashflow";#N/A,#N/A,TRUE,"IRR";#N/A,#N/A,TRUE,"Ratios";#N/A,#N/A,TRUE,"Debt analysis"}</definedName>
    <definedName name="prev">#REF!</definedName>
    <definedName name="PREV_ADJ_31398">#REF!</definedName>
    <definedName name="PRF_1">#REF!</definedName>
    <definedName name="PRF_2_P1">#REF!</definedName>
    <definedName name="PRF_2_P2">#REF!</definedName>
    <definedName name="PRF_3_AN1">#REF!</definedName>
    <definedName name="PRF_3_AN2">#REF!</definedName>
    <definedName name="PRF_3_AN3">#REF!</definedName>
    <definedName name="Price" localSheetId="10">[261]report!#REF!</definedName>
    <definedName name="price">[106]Sens!$O$11</definedName>
    <definedName name="price97">#REF!</definedName>
    <definedName name="Pricipal_Repay_Sensitivity">#REF!</definedName>
    <definedName name="Pricipal_Sensitivity">#REF!</definedName>
    <definedName name="Princ">#REF!</definedName>
    <definedName name="Principal" localSheetId="10">IF('[80]FITZ MORT 94'!XFA1&lt;&gt;"",MIN('[80]FITZ MORT 94'!XFC1,[0]!Pmt_to_use-'[80]FITZ MORT 94'!XFD1),"")</definedName>
    <definedName name="Principal">IF('[80]FITZ MORT 94'!XFA1&lt;&gt;"",MIN('[80]FITZ MORT 94'!XFC1,[0]!Pmt_to_use-'[80]FITZ MORT 94'!XFD1),"")</definedName>
    <definedName name="prinpaid">#REF!</definedName>
    <definedName name="PRINT">#REF!</definedName>
    <definedName name="Print_Accounts_lacs">#REF!</definedName>
    <definedName name="_xlnm.Print_Area" localSheetId="10">#REF!</definedName>
    <definedName name="_xlnm.Print_Area">#REF!</definedName>
    <definedName name="Print_Area_2">#REF!</definedName>
    <definedName name="Print_Area_3">#REF!</definedName>
    <definedName name="Print_Area_5">'[262]Opening Balance'!#REF!</definedName>
    <definedName name="Print_Area_MI" localSheetId="10">#REF!</definedName>
    <definedName name="Print_Area_MI">#REF!</definedName>
    <definedName name="Print_Area_Reset" localSheetId="10">OFFSET(Full_Print,0,0,Last_Row)</definedName>
    <definedName name="Print_Area_Reset">OFFSET(Full_Print,0,0,Last_Row)</definedName>
    <definedName name="Print_Details">#REF!</definedName>
    <definedName name="print_head">#REF!</definedName>
    <definedName name="Print_Hotels">#REF!</definedName>
    <definedName name="Print_Range">#REF!</definedName>
    <definedName name="Print_Title">#REF!</definedName>
    <definedName name="_xlnm.Print_Titles" localSheetId="10">'[263]Wkly-Analysis'!$A$2:$IV$6</definedName>
    <definedName name="_xlnm.Print_Titles">#N/A</definedName>
    <definedName name="PRINT_TITLES_MI" localSheetId="10">#REF!</definedName>
    <definedName name="Print_Titles_MI">#REF!</definedName>
    <definedName name="PRINT1">#REF!</definedName>
    <definedName name="PRINT10">#REF!</definedName>
    <definedName name="PRINT11">#REF!</definedName>
    <definedName name="PRINT12">#REF!</definedName>
    <definedName name="PRINT13">#REF!</definedName>
    <definedName name="PRINT14">#REF!</definedName>
    <definedName name="PRINT2">#REF!</definedName>
    <definedName name="PRINT3">#REF!</definedName>
    <definedName name="PRINT4">#REF!</definedName>
    <definedName name="PRINT6">#REF!</definedName>
    <definedName name="PRINT7">#REF!</definedName>
    <definedName name="PRINT8">#REF!</definedName>
    <definedName name="PRINTAB">#REF!</definedName>
    <definedName name="PRINTCDEI">#REF!</definedName>
    <definedName name="PRINTCDOE">#REF!</definedName>
    <definedName name="Printed_Accounts">#REF!</definedName>
    <definedName name="PRINTEFLPM">#REF!</definedName>
    <definedName name="PRINTGLA">#REF!</definedName>
    <definedName name="PrintHanBusinessModel">[110]!PrintHanBusinessModel</definedName>
    <definedName name="PRINTHLV">#REF!</definedName>
    <definedName name="PRINTILPM">#REF!</definedName>
    <definedName name="PRINTJKMV">#REF!</definedName>
    <definedName name="PRINTLLV">#REF!</definedName>
    <definedName name="PrintManagerQuery">#REF!</definedName>
    <definedName name="PRINTMRP">#REF!</definedName>
    <definedName name="PRINTNOOP">#REF!</definedName>
    <definedName name="PRINTNOP">#REF!</definedName>
    <definedName name="PRINTPLS">#REF!</definedName>
    <definedName name="PRINTQRC">#REF!</definedName>
    <definedName name="PrintRange">#REF!</definedName>
    <definedName name="PrintSelectedSheetsMacroButton">#REF!</definedName>
    <definedName name="PRINTSTLC">#REF!</definedName>
    <definedName name="ProdForm" hidden="1">#REF!</definedName>
    <definedName name="PRODSALES">#REF!</definedName>
    <definedName name="ProductGroup">[58]ReasonCode!$K$2:$K$31</definedName>
    <definedName name="PROF_TAX">#REF!</definedName>
    <definedName name="ProfileOfTaggedInstruments___ByConstrMgr_Complex_Category">#REF!</definedName>
    <definedName name="PROFIT">#REF!</definedName>
    <definedName name="Profit_Loss">#REF!</definedName>
    <definedName name="profit_loss_a_c">#REF!</definedName>
    <definedName name="Profit_Loss_Account">[82]Financials!$B$5</definedName>
    <definedName name="Profitability">#REF!</definedName>
    <definedName name="ProImportExport.ImportFile">#N/A</definedName>
    <definedName name="ProImportExport.SaveNewFile">#N/A</definedName>
    <definedName name="PROJ" localSheetId="10">'[264]A-General'!$J$9</definedName>
    <definedName name="proj">#REF!</definedName>
    <definedName name="Proj_Name">#REF!</definedName>
    <definedName name="Project" localSheetId="10">'[61]A-General'!$AJ$13</definedName>
    <definedName name="PROJECT">'[196]ADAMYA FINAL SHEET'!#REF!</definedName>
    <definedName name="project_cost">[82]Sensitivity!$E$7</definedName>
    <definedName name="PROJECT_NAME">'[50]C Sum'!$C$91</definedName>
    <definedName name="projected">#REF!</definedName>
    <definedName name="ProjectName" localSheetId="10">{"Client Name or Project Name"}</definedName>
    <definedName name="ProjectName">{"Client Name or Project Name"}</definedName>
    <definedName name="ProjectName2" localSheetId="10">{"MSREF V International Waterfall"}</definedName>
    <definedName name="ProjectName2">{"MSREF V International Waterfall"}</definedName>
    <definedName name="projects">#REF!</definedName>
    <definedName name="ProjLoss_R">[121]Rollup!#REF!</definedName>
    <definedName name="Property_Name">[121]Rollup!#REF!</definedName>
    <definedName name="prov">[168]WORKINGS!#REF!</definedName>
    <definedName name="Prov_Bal">'[63]2. Forecast Drivers'!$E$161:$S$161</definedName>
    <definedName name="Prov_Cash">'[63]2. Forecast Drivers'!$E$160:$S$160</definedName>
    <definedName name="PROVISION">#REF!</definedName>
    <definedName name="Provision2" localSheetId="10" hidden="1">{"plansummary",#N/A,FALSE,"PlanSummary";"sales",#N/A,FALSE,"Sales Rec";"productivity",#N/A,FALSE,"Productivity Rec";"capitalspending",#N/A,FALSE,"Capital Spending"}</definedName>
    <definedName name="Provision2" hidden="1">{"plansummary",#N/A,FALSE,"PlanSummary";"sales",#N/A,FALSE,"Sales Rec";"productivity",#N/A,FALSE,"Productivity Rec";"capitalspending",#N/A,FALSE,"Capital Spending"}</definedName>
    <definedName name="psd">'[67]Cost Breakup Depreciation&amp; Tax'!$C$18</definedName>
    <definedName name="PT">#N/A</definedName>
    <definedName name="PTA_Bulk">#REF!</definedName>
    <definedName name="PTA_ISBL">#REF!</definedName>
    <definedName name="ptl" localSheetId="10" hidden="1">{"'August 2000'!$A$1:$J$101"}</definedName>
    <definedName name="ptl" hidden="1">{"'August 2000'!$A$1:$J$101"}</definedName>
    <definedName name="PUB">#REF!</definedName>
    <definedName name="PUB_UserID" hidden="1">"MAYERX"</definedName>
    <definedName name="pullingcost">'[112]Capex-fixed'!#REF!</definedName>
    <definedName name="PWMF">[66]Assumptions!$C$29</definedName>
    <definedName name="PWMFSwitch">[66]Assumptions!$J$5</definedName>
    <definedName name="PY">[104]TaxComputn!$A$3</definedName>
    <definedName name="PY_Accounts_Receivable">#REF!</definedName>
    <definedName name="PY_all_Equity">#REF!</definedName>
    <definedName name="PY_all_Income">#REF!</definedName>
    <definedName name="PY_all_RetEarn">#REF!</definedName>
    <definedName name="PY_Cash">#REF!</definedName>
    <definedName name="PY_Common_Equity">#REF!</definedName>
    <definedName name="PY_Cost_of_Sales">#REF!</definedName>
    <definedName name="PY_Current_Liabilities">#REF!</definedName>
    <definedName name="PY_Depreciation">#REF!</definedName>
    <definedName name="PY_Gross_Profit">#REF!</definedName>
    <definedName name="PY_Inc_Bef_Tax">#REF!</definedName>
    <definedName name="PY_Intangible_Assets">#REF!</definedName>
    <definedName name="PY_Interest_Expense">#REF!</definedName>
    <definedName name="PY_Inventory">#REF!</definedName>
    <definedName name="PY_knw_Income">#REF!</definedName>
    <definedName name="PY_knw_RetEarn">#REF!</definedName>
    <definedName name="PY_LIABIL_EQUITY">#REF!</definedName>
    <definedName name="PY_lik_Income">#REF!</definedName>
    <definedName name="PY_lik_RetEarn">#REF!</definedName>
    <definedName name="PY_LT_Debt">#REF!</definedName>
    <definedName name="PY_Market_Value_of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Tangible_Assets">#REF!</definedName>
    <definedName name="PY_Tangible_Net_Worth">#REF!</definedName>
    <definedName name="PY_Taxes">#REF!</definedName>
    <definedName name="PY_tot_knw_Xfoot">#REF!</definedName>
    <definedName name="PY_tot_lik_Xfoot">#REF!</definedName>
    <definedName name="PY_TOTAL_ASSETS">#REF!</definedName>
    <definedName name="PY_TOTAL_CURR_ASSETS">#REF!</definedName>
    <definedName name="PY_TOTAL_DEBT">#REF!</definedName>
    <definedName name="PY_TOTAL_EQUITY">#REF!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PY_Working_Capital">#REF!</definedName>
    <definedName name="PY2_Accounts_Receivable">#REF!</definedName>
    <definedName name="PY2_Cash">#REF!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LT_Debt">#REF!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Working_Capital">#REF!</definedName>
    <definedName name="q"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Q">#REF!</definedName>
    <definedName name="qq" localSheetId="10" hidden="1">{#N/A,#N/A,FALSE,"COVER1.XLS ";#N/A,#N/A,FALSE,"RACT1.XLS";#N/A,#N/A,FALSE,"RACT2.XLS";#N/A,#N/A,FALSE,"ECCMP";#N/A,#N/A,FALSE,"WELDER.XLS"}</definedName>
    <definedName name="QQ" hidden="1">{#N/A,#N/A,FALSE,"Part ABC"}</definedName>
    <definedName name="qryEqptOrdDelyETAProfile_byConstrMgr">#REF!</definedName>
    <definedName name="qryEqptOrdPODelProfile_ByConstrMgr">#REF!</definedName>
    <definedName name="qryForEqptProfTotalDelvdFdnErnIndImp">#REF!</definedName>
    <definedName name="qrySummROSDatesFromQuery">#REF!</definedName>
    <definedName name="qryUnitForecastUtils">#REF!</definedName>
    <definedName name="Qtr1F">[39]IT_DDTP!$X$29</definedName>
    <definedName name="Qtr2F">[39]IT_DDTP!$Y$29</definedName>
    <definedName name="Qtr3F">[39]IT_DDTP!$Z$29</definedName>
    <definedName name="Qtr4F">[39]IT_DDTP!$AA$29</definedName>
    <definedName name="Qtr5F">[39]IT_DDTP!$AB$29</definedName>
    <definedName name="QualifyingAmount80G">'[39]80G'!$N$1</definedName>
    <definedName name="Quarter">#REF!</definedName>
    <definedName name="Query1">#REF!</definedName>
    <definedName name="Question1">#REF!</definedName>
    <definedName name="Question10">#REF!</definedName>
    <definedName name="Question11">#REF!</definedName>
    <definedName name="question12">#REF!</definedName>
    <definedName name="question13">#REF!</definedName>
    <definedName name="question14">#REF!</definedName>
    <definedName name="question15">#REF!</definedName>
    <definedName name="question16">#REF!</definedName>
    <definedName name="question17">#REF!</definedName>
    <definedName name="question18">#REF!</definedName>
    <definedName name="question19">#REF!</definedName>
    <definedName name="Question2">#REF!</definedName>
    <definedName name="question20">#REF!</definedName>
    <definedName name="Question3">#REF!</definedName>
    <definedName name="Question4">#REF!</definedName>
    <definedName name="Question5">#REF!</definedName>
    <definedName name="Question6">#REF!</definedName>
    <definedName name="Question7">#REF!</definedName>
    <definedName name="question7a">#REF!</definedName>
    <definedName name="Question8">#REF!</definedName>
    <definedName name="Question9">#REF!</definedName>
    <definedName name="quickfield">#REF!</definedName>
    <definedName name="qw" hidden="1">'[265]SCH 10'!#REF!</definedName>
    <definedName name="qwe">'[112]Capex-fixed'!#REF!</definedName>
    <definedName name="qwer">'[266]NKEL O&amp;M'!#REF!</definedName>
    <definedName name="qzqzqz10">#REF!</definedName>
    <definedName name="qzqzqz11">#REF!</definedName>
    <definedName name="qzqzqz31">#REF!</definedName>
    <definedName name="qzqzqz32">#REF!</definedName>
    <definedName name="qzqzqz9">#REF!</definedName>
    <definedName name="R_">#N/A</definedName>
    <definedName name="R_CHARAVARTHI">#REF!</definedName>
    <definedName name="R_Factor" localSheetId="10">#REF!</definedName>
    <definedName name="R_Factor">#REF!</definedName>
    <definedName name="R_Pathania">#REF!</definedName>
    <definedName name="racehorseincome.bf">'[39]CYLA BFLA'!$AF$14</definedName>
    <definedName name="racehorseincome.bp">'[39]CYLA BFLA'!$AB$14</definedName>
    <definedName name="racehorseincome.hp">'[39]CYLA BFLA'!$X$14</definedName>
    <definedName name="racehorseincome.ih">'[39]CYLA BFLA'!$Q$14</definedName>
    <definedName name="racehorseincome.os">'[39]CYLA BFLA'!$T$14</definedName>
    <definedName name="racehorseincome.rem">'[39]CYLA BFLA'!$AO$14</definedName>
    <definedName name="racehorseloss.aftbfl">'[39]CYLA BFLA'!$AH$14</definedName>
    <definedName name="racehorseloss.bf">'[39]CYLA BFLA'!$AE$14</definedName>
    <definedName name="racehorseloss.bfadj">'[39]CYLA BFLA'!$AG$14</definedName>
    <definedName name="racehorseloss.bp">'[39]CYLA BFLA'!$AD$14</definedName>
    <definedName name="racehorseloss.hp">'[39]CYLA BFLA'!$Z$14</definedName>
    <definedName name="racehorseloss.ih">'[39]CYLA BFLA'!$R$14</definedName>
    <definedName name="racehorseloss.os">'[39]CYLA BFLA'!$V$14</definedName>
    <definedName name="racehorseloss.unabs">'[39]CYLA BFLA'!$AN$14</definedName>
    <definedName name="racehorseosincome">'[39]CYLA BFLA'!$O$14</definedName>
    <definedName name="racehorseosloss">'[39]CYLA BFLA'!$P$14</definedName>
    <definedName name="rad_dscnt">#REF!</definedName>
    <definedName name="raj" localSheetId="1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raj"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RAK" localSheetId="10" hidden="1">{#N/A,#N/A,FALSE,"COVER.XLS";#N/A,#N/A,FALSE,"RACT1.XLS";#N/A,#N/A,FALSE,"RACT2.XLS";#N/A,#N/A,FALSE,"ECCMP";#N/A,#N/A,FALSE,"WELDER.XLS"}</definedName>
    <definedName name="RAK" hidden="1">{#N/A,#N/A,FALSE,"COVER.XLS";#N/A,#N/A,FALSE,"RACT1.XLS";#N/A,#N/A,FALSE,"RACT2.XLS";#N/A,#N/A,FALSE,"ECCMP";#N/A,#N/A,FALSE,"WELDER.XLS"}</definedName>
    <definedName name="RAKESH" localSheetId="10" hidden="1">{#N/A,#N/A,FALSE,"COVER.XLS";#N/A,#N/A,FALSE,"RACT1.XLS";#N/A,#N/A,FALSE,"RACT2.XLS";#N/A,#N/A,FALSE,"ECCMP";#N/A,#N/A,FALSE,"WELDER.XLS"}</definedName>
    <definedName name="RAKESH" hidden="1">{#N/A,#N/A,FALSE,"COVER.XLS";#N/A,#N/A,FALSE,"RACT1.XLS";#N/A,#N/A,FALSE,"RACT2.XLS";#N/A,#N/A,FALSE,"ECCMP";#N/A,#N/A,FALSE,"WELDER.XLS"}</definedName>
    <definedName name="RAT">[118]Keyratios!$E$20</definedName>
    <definedName name="RATE">#REF!</definedName>
    <definedName name="Rate_Half">'[196]ADAMYA FINAL SHEET'!#REF!</definedName>
    <definedName name="Rate_Peak">'[196]ADAMYA FINAL SHEET'!#REF!</definedName>
    <definedName name="ratebyname">[267]Rates!#REF!</definedName>
    <definedName name="RATES">#REF!</definedName>
    <definedName name="Ratios" localSheetId="10">CapitalEmployed+CurrentLiab</definedName>
    <definedName name="ratios">#REF!</definedName>
    <definedName name="Rato">#REF!</definedName>
    <definedName name="RAUX">#REF!</definedName>
    <definedName name="Raw_material">#REF!</definedName>
    <definedName name="Raw_material_99">#REF!</definedName>
    <definedName name="RawData">#REF!</definedName>
    <definedName name="RawHeader">#REF!</definedName>
    <definedName name="RAWMAT">'[184]Data Input'!$B$195:$P$272</definedName>
    <definedName name="RBASE">#REF!</definedName>
    <definedName name="RCAP">#REF!</definedName>
    <definedName name="RCArea" hidden="1">#REF!</definedName>
    <definedName name="RCERC">#REF!</definedName>
    <definedName name="RCOALCOST">#REF!</definedName>
    <definedName name="RCoalScenario">#REF!</definedName>
    <definedName name="rdterm">#REF!</definedName>
    <definedName name="re">#REF!</definedName>
    <definedName name="Realisations_salevalue">#REF!</definedName>
    <definedName name="ReasonCode">[58]ReasonCode!$A$2:$A$16</definedName>
    <definedName name="Rebate_AgriInc_Calc">[39]Calculator!$D$18</definedName>
    <definedName name="recap_dividend">"Picture 69"</definedName>
    <definedName name="recap_repurchase">"Picture 64"</definedName>
    <definedName name="recb">'[167]OTHER RECEIVABLES'!$C$18</definedName>
    <definedName name="RecCnt">#REF!</definedName>
    <definedName name="reco">#REF!</definedName>
    <definedName name="reco18" localSheetId="10" hidden="1">{#N/A,#N/A,FALSE,"str_title";#N/A,#N/A,FALSE,"SUM";#N/A,#N/A,FALSE,"Scope";#N/A,#N/A,FALSE,"PIE-Jn";#N/A,#N/A,FALSE,"PIE-Jn_Hz";#N/A,#N/A,FALSE,"Liq_Plan";#N/A,#N/A,FALSE,"S_Curve";#N/A,#N/A,FALSE,"Liq_Prof";#N/A,#N/A,FALSE,"Man_Pwr";#N/A,#N/A,FALSE,"Man_Prof"}</definedName>
    <definedName name="reco18" hidden="1">{#N/A,#N/A,FALSE,"str_title";#N/A,#N/A,FALSE,"SUM";#N/A,#N/A,FALSE,"Scope";#N/A,#N/A,FALSE,"PIE-Jn";#N/A,#N/A,FALSE,"PIE-Jn_Hz";#N/A,#N/A,FALSE,"Liq_Plan";#N/A,#N/A,FALSE,"S_Curve";#N/A,#N/A,FALSE,"Liq_Prof";#N/A,#N/A,FALSE,"Man_Pwr";#N/A,#N/A,FALSE,"Man_Prof"}</definedName>
    <definedName name="RECOMMENDATION">" 
"</definedName>
    <definedName name="recon">#REF!</definedName>
    <definedName name="_xlnm.Recorder">[195]Macro1!$B$180:$B$16437</definedName>
    <definedName name="Red_Tariff_.25">#REF!</definedName>
    <definedName name="Red_Tariff_.5">#REF!</definedName>
    <definedName name="redep">#REF!</definedName>
    <definedName name="Reductioningrowthrate">#REF!</definedName>
    <definedName name="REF" localSheetId="10" hidden="1">{#N/A,#N/A,FALSE,"COMP"}</definedName>
    <definedName name="REF" hidden="1">{#N/A,#N/A,FALSE,"COMP"}</definedName>
    <definedName name="Ref_1" localSheetId="10">[268]PyrllDeduc!#REF!</definedName>
    <definedName name="Ref_1">#REF!</definedName>
    <definedName name="Ref_2" localSheetId="10">[269]Year_End!#REF!</definedName>
    <definedName name="Ref_2">#REF!</definedName>
    <definedName name="Ref_3" localSheetId="10">#REF!</definedName>
    <definedName name="Ref_3">#REF!</definedName>
    <definedName name="Ref_4" localSheetId="10">'[270]Price Testing - Used - 1'!#REF!</definedName>
    <definedName name="Ref_4">#REF!</definedName>
    <definedName name="Ref_5">'[270]Price Testing - Used - 1'!#REF!</definedName>
    <definedName name="Ref_6">'[270]Price Testing - Used - 1'!#REF!</definedName>
    <definedName name="refin">#REF!</definedName>
    <definedName name="RefinShort_R">[121]Rollup!#REF!</definedName>
    <definedName name="Refund">#REF!</definedName>
    <definedName name="Reinvest">#REF!</definedName>
    <definedName name="relbill">'[91]ALL-IBANK-BRS'!$A$1:$B$453</definedName>
    <definedName name="remotecallclosure">[127]data!$C$2:$C$201</definedName>
    <definedName name="REmpExp">#REF!</definedName>
    <definedName name="RENT">#REF!</definedName>
    <definedName name="RENTEC_P2_M">'[73]末残計画(四半期ベース)'!$F$751</definedName>
    <definedName name="RENTEC_P2_Q">'[73]末残計画(四半期ベース)'!$G$751</definedName>
    <definedName name="RENTEC_PX2_M">'[73]末残計画(四半期ベース)'!$F$747</definedName>
    <definedName name="RENTEC_PX2_Q">'[73]末残計画(四半期ベース)'!$G$747</definedName>
    <definedName name="RENTEC_PY2_M">'[73]末残計画(四半期ベース)'!$F$749</definedName>
    <definedName name="RENTEC_PY2_Q">'[73]末残計画(四半期ベース)'!$G$749</definedName>
    <definedName name="RENTEC_R2_M">'[73]末残計画(四半期ベース)'!$F$752</definedName>
    <definedName name="RENTEC_R2_Q">'[73]末残計画(四半期ベース)'!$G$752</definedName>
    <definedName name="RENTEC_RX2_M">'[73]末残計画(四半期ベース)'!$F$748</definedName>
    <definedName name="RENTEC_RX2_Q">'[73]末残計画(四半期ベース)'!$G$748</definedName>
    <definedName name="RENTEC_RY2_M">'[73]末残計画(四半期ベース)'!$F$750</definedName>
    <definedName name="RENTEC_RY2_Q">'[73]末残計画(四半期ベース)'!$G$750</definedName>
    <definedName name="REPAIRS">#REF!</definedName>
    <definedName name="Repay_Orig">#REF!</definedName>
    <definedName name="Repay_Sensitivity">#REF!</definedName>
    <definedName name="repayment">#REF!</definedName>
    <definedName name="Report_Title">"Trend eDoctor Virus Diagnostic Report for  Trend_Micro_HK_Limited"</definedName>
    <definedName name="res" localSheetId="10" hidden="1">{#N/A,#N/A,FALSE,"COVER1.XLS ";#N/A,#N/A,FALSE,"RACT1.XLS";#N/A,#N/A,FALSE,"RACT2.XLS";#N/A,#N/A,FALSE,"ECCMP";#N/A,#N/A,FALSE,"WELDER.XLS"}</definedName>
    <definedName name="res" hidden="1">{#N/A,#N/A,FALSE,"COVER1.XLS ";#N/A,#N/A,FALSE,"RACT1.XLS";#N/A,#N/A,FALSE,"RACT2.XLS";#N/A,#N/A,FALSE,"ECCMP";#N/A,#N/A,FALSE,"WELDER.XLS"}</definedName>
    <definedName name="res_sum" localSheetId="10" hidden="1">{#N/A,#N/A,FALSE,"COVER1.XLS ";#N/A,#N/A,FALSE,"RACT1.XLS";#N/A,#N/A,FALSE,"RACT2.XLS";#N/A,#N/A,FALSE,"ECCMP";#N/A,#N/A,FALSE,"WELDER.XLS"}</definedName>
    <definedName name="res_sum" hidden="1">{#N/A,#N/A,FALSE,"COVER1.XLS ";#N/A,#N/A,FALSE,"RACT1.XLS";#N/A,#N/A,FALSE,"RACT2.XLS";#N/A,#N/A,FALSE,"ECCMP";#N/A,#N/A,FALSE,"WELDER.XLS"}</definedName>
    <definedName name="REsc_Melawan">#REF!</definedName>
    <definedName name="reserve_rate">'[176]Core Assumptions'!$F$48</definedName>
    <definedName name="Residual_difference" localSheetId="10">'[59]Excess Calc'!#REF!</definedName>
    <definedName name="Residual_difference">#REF!</definedName>
    <definedName name="RESPONSIBILITYAPPLICATIONID1">[60]CRITERIA1!$B$7</definedName>
    <definedName name="RESPONSIBILITYID1">[60]CRITERIA1!$B$8</definedName>
    <definedName name="RESPONSIBILITYNAME1">[60]CRITERIA1!$B$6</definedName>
    <definedName name="restorationcost">'[112]Capex-fixed'!#REF!</definedName>
    <definedName name="Restr_Bal">'[63]2. Forecast Drivers'!$E$172:$S$172</definedName>
    <definedName name="Restr_Cash">'[63]2. Forecast Drivers'!$E$171:$S$171</definedName>
    <definedName name="Restr_Prof">'[63]2. Forecast Drivers'!$E$170:$S$170</definedName>
    <definedName name="resultc">#REF!</definedName>
    <definedName name="resultp">#REF!</definedName>
    <definedName name="RETAIL_ASSETS">'[109]MN T.B.'!$A$370:$H$405</definedName>
    <definedName name="RETAIL_ERN">'[109]MN T.B.'!$A$325:$H$368</definedName>
    <definedName name="RETAIL_LIAB">'[109]MN T.B.'!$A$407:$H$436</definedName>
    <definedName name="RETAIL1">'[109]MN T.B.'!$A$317:$H$435</definedName>
    <definedName name="retainedc">'[38]NOTES '!#REF!</definedName>
    <definedName name="retainedp">'[38]NOTES '!#REF!</definedName>
    <definedName name="retpipe">[65]HMPL!$D$8</definedName>
    <definedName name="retpipe_cal">[65]HMPL!$D$146</definedName>
    <definedName name="RetRel_Bal">'[63]2. Forecast Drivers'!$E$116:$S$116</definedName>
    <definedName name="RetRel_Cash">'[63]2. Forecast Drivers'!$E$115:$S$115</definedName>
    <definedName name="RetRel_Int">'[63]2. Forecast Drivers'!#REF!</definedName>
    <definedName name="RetRel_Nonop">'[63]2. Forecast Drivers'!$E$118:$S$118</definedName>
    <definedName name="RetRelA_Bal">'[63]2. Forecast Drivers'!$E$112:$S$112</definedName>
    <definedName name="RetRelA_Cash">'[63]2. Forecast Drivers'!$F$111:$S$111</definedName>
    <definedName name="return" localSheetId="10">NOPAT/capital</definedName>
    <definedName name="return">NOPAT/capital</definedName>
    <definedName name="return1" localSheetId="10">nopat1/capital1</definedName>
    <definedName name="return1">nopat1/capital1</definedName>
    <definedName name="Returns">[271]MAIN!#REF!</definedName>
    <definedName name="Rev">'[63]2. Forecast Drivers'!$E$25:$S$25</definedName>
    <definedName name="Rev_P1">'[272]Forecast Drivers'!$T$294:$AD$294</definedName>
    <definedName name="Rev_P2">'[63]2. Forecast Drivers'!$T$294:$AD$294</definedName>
    <definedName name="REV_WORKING">#REF!</definedName>
    <definedName name="reva">#REF!</definedName>
    <definedName name="REVCOST">#REF!</definedName>
    <definedName name="REVE">'[63]13. Scenario2'!#REF!</definedName>
    <definedName name="revenue1_chk">'[82]UPERC Tariff Calc'!$A$67</definedName>
    <definedName name="revenue1c">'[82]UPERC Tariff Calc'!$F$16:$AJ$16</definedName>
    <definedName name="revenue1p">'[82]UPERC Tariff Calc'!$F$67:$AJ$67</definedName>
    <definedName name="revenue2_chk">'[82]UPERC Tariff Calc'!$A$147</definedName>
    <definedName name="revenue2c">'[82]UPERC Tariff Calc'!$F$96:$AJ$96</definedName>
    <definedName name="revenue2p">'[82]UPERC Tariff Calc'!$F$147:$AJ$147</definedName>
    <definedName name="revenue3_chk">'[82]UPERC Tariff Calc'!$A$227</definedName>
    <definedName name="revenue3c">'[82]UPERC Tariff Calc'!$F$176:$AJ$176</definedName>
    <definedName name="revenue3p">'[82]UPERC Tariff Calc'!$F$227:$AJ$227</definedName>
    <definedName name="revenueall_chk">'[82]UPERC Tariff Calc'!$A$4</definedName>
    <definedName name="RevLine">[87]List_ratios!#REF!</definedName>
    <definedName name="revloss1anoncolocation">#REF!</definedName>
    <definedName name="revloss1bnoncolocation">#REF!</definedName>
    <definedName name="revloss2noncolocation">#REF!</definedName>
    <definedName name="RevMultipleHigh">[181]Factset!$IU$23</definedName>
    <definedName name="RevMultipleLow">[181]Factset!$IU$24</definedName>
    <definedName name="Revq1">#REF!</definedName>
    <definedName name="revq2">#REF!</definedName>
    <definedName name="revq3">#REF!</definedName>
    <definedName name="revq4">#REF!</definedName>
    <definedName name="revshare">'[273]NLD - Assum'!#REF!</definedName>
    <definedName name="revsharebasis">'[273]NLD - Assum'!#REF!</definedName>
    <definedName name="revshareSDCAtfc">#REF!</definedName>
    <definedName name="RevYee">[87]List_ratios!#REF!</definedName>
    <definedName name="rf4r4" localSheetId="10" hidden="1">{#N/A,#N/A,FALSE,"COVER.XLS";#N/A,#N/A,FALSE,"RACT1.XLS";#N/A,#N/A,FALSE,"RACT2.XLS";#N/A,#N/A,FALSE,"ECCMP";#N/A,#N/A,FALSE,"WELDER.XLS"}</definedName>
    <definedName name="rf4r4" hidden="1">{#N/A,#N/A,FALSE,"COVER.XLS";#N/A,#N/A,FALSE,"RACT1.XLS";#N/A,#N/A,FALSE,"RACT2.XLS";#N/A,#N/A,FALSE,"ECCMP";#N/A,#N/A,FALSE,"WELDER.XLS"}</definedName>
    <definedName name="RFHandling">#REF!</definedName>
    <definedName name="RFOREX">#REF!</definedName>
    <definedName name="RFUEL">#REF!</definedName>
    <definedName name="rfv.bs1" localSheetId="10" hidden="1">{"bs",#N/A,FALSE,"BS";"pl",#N/A,FALSE,"PL"}</definedName>
    <definedName name="rfv.bs1" hidden="1">{"bs",#N/A,FALSE,"BS";"pl",#N/A,FALSE,"PL"}</definedName>
    <definedName name="RFx">#REF!</definedName>
    <definedName name="rg" localSheetId="10" hidden="1">{#N/A,#N/A,FALSE,"str_title";#N/A,#N/A,FALSE,"SUM";#N/A,#N/A,FALSE,"Scope";#N/A,#N/A,FALSE,"PIE-Jn";#N/A,#N/A,FALSE,"PIE-Jn_Hz";#N/A,#N/A,FALSE,"Liq_Plan";#N/A,#N/A,FALSE,"S_Curve";#N/A,#N/A,FALSE,"Liq_Prof";#N/A,#N/A,FALSE,"Man_Pwr";#N/A,#N/A,FALSE,"Man_Prof"}</definedName>
    <definedName name="rg" hidden="1">{#N/A,#N/A,FALSE,"str_title";#N/A,#N/A,FALSE,"SUM";#N/A,#N/A,FALSE,"Scope";#N/A,#N/A,FALSE,"PIE-Jn";#N/A,#N/A,FALSE,"PIE-Jn_Hz";#N/A,#N/A,FALSE,"Liq_Plan";#N/A,#N/A,FALSE,"S_Curve";#N/A,#N/A,FALSE,"Liq_Prof";#N/A,#N/A,FALSE,"Man_Pwr";#N/A,#N/A,FALSE,"Man_Prof"}</definedName>
    <definedName name="rgnl" localSheetId="10" hidden="1">{#N/A,#N/A,FALSE,"consu_cover";#N/A,#N/A,FALSE,"consu_strategy";#N/A,#N/A,FALSE,"consu_flow";#N/A,#N/A,FALSE,"Summary_reqmt";#N/A,#N/A,FALSE,"field_ppg";#N/A,#N/A,FALSE,"ppg_shop";#N/A,#N/A,FALSE,"strl";#N/A,#N/A,FALSE,"tankages";#N/A,#N/A,FALSE,"gases"}</definedName>
    <definedName name="rgnl" hidden="1">{#N/A,#N/A,FALSE,"consu_cover";#N/A,#N/A,FALSE,"consu_strategy";#N/A,#N/A,FALSE,"consu_flow";#N/A,#N/A,FALSE,"Summary_reqmt";#N/A,#N/A,FALSE,"field_ppg";#N/A,#N/A,FALSE,"ppg_shop";#N/A,#N/A,FALSE,"strl";#N/A,#N/A,FALSE,"tankages";#N/A,#N/A,FALSE,"gases"}</definedName>
    <definedName name="rh.IncOfCurYrAfterSetOff4">'[39]CYLA BFLA'!$H$13</definedName>
    <definedName name="rh.IncOfCurYrUnderThatHead4">'[39]CYLA BFLA'!$D$13</definedName>
    <definedName name="rh.IncOfCurYrUndHeadFromCYLA6">'[39]CYLA BFLA'!$D$27</definedName>
    <definedName name="rho">#REF!</definedName>
    <definedName name="RIB">[123]INFO!$B$5</definedName>
    <definedName name="rilmkt">#REF!</definedName>
    <definedName name="RISHRA">#REF!</definedName>
    <definedName name="RISHRA_E">#REF!</definedName>
    <definedName name="Risk_Free">#REF!</definedName>
    <definedName name="Risk_Premium">#REF!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m">[168]WORKINGS!#REF!</definedName>
    <definedName name="RMB">[274]Data!$D$10</definedName>
    <definedName name="RMC">#REF!</definedName>
    <definedName name="RMconsumed">'[129]Operating Statistics'!#REF!</definedName>
    <definedName name="RMelawan_Price">#REF!</definedName>
    <definedName name="RMIX">#REF!</definedName>
    <definedName name="RMsummary">#REF!</definedName>
    <definedName name="ro">[275]Master!$N$2</definedName>
    <definedName name="ROA">[87]List_ratios!#REF!</definedName>
    <definedName name="roe">#REF!</definedName>
    <definedName name="rOHAN">#REF!</definedName>
    <definedName name="ROIC">'[63]2. Forecast Drivers'!$D$321</definedName>
    <definedName name="rollingstock">'[67]Cost Breakup Depreciation&amp; Tax'!$C$16</definedName>
    <definedName name="RONM">#REF!</definedName>
    <definedName name="Rooms">[121]Rollup!#REF!</definedName>
    <definedName name="Rosenka">'[276]Occ, Other Rev, Exp, Dispo'!$E$83</definedName>
    <definedName name="round">1</definedName>
    <definedName name="routerswitchdis">#REF!</definedName>
    <definedName name="ROWSTOUPLOAD1">[60]CRITERIA1!$B$20</definedName>
    <definedName name="RP">#REF!</definedName>
    <definedName name="RPAF">#REF!</definedName>
    <definedName name="RPLF">#REF!</definedName>
    <definedName name="rr" localSheetId="10" hidden="1">{#N/A,#N/A,FALSE,"consu_cover";#N/A,#N/A,FALSE,"consu_strategy";#N/A,#N/A,FALSE,"consu_flow";#N/A,#N/A,FALSE,"Summary_reqmt";#N/A,#N/A,FALSE,"field_ppg";#N/A,#N/A,FALSE,"ppg_shop";#N/A,#N/A,FALSE,"strl";#N/A,#N/A,FALSE,"tankages";#N/A,#N/A,FALSE,"gases"}</definedName>
    <definedName name="rr" hidden="1">{#N/A,#N/A,FALSE,"Part ABC"}</definedName>
    <definedName name="rradj" localSheetId="10">nopatadj/capitaladj</definedName>
    <definedName name="rradj">nopatadj/capitaladj</definedName>
    <definedName name="rrdsa" localSheetId="10" hidden="1">{#N/A,#N/A,FALSE,"consu_cover";#N/A,#N/A,FALSE,"consu_strategy";#N/A,#N/A,FALSE,"consu_flow";#N/A,#N/A,FALSE,"Summary_reqmt";#N/A,#N/A,FALSE,"field_ppg";#N/A,#N/A,FALSE,"ppg_shop";#N/A,#N/A,FALSE,"strl";#N/A,#N/A,FALSE,"tankages";#N/A,#N/A,FALSE,"gases"}</definedName>
    <definedName name="rrdsa" hidden="1">{#N/A,#N/A,FALSE,"consu_cover";#N/A,#N/A,FALSE,"consu_strategy";#N/A,#N/A,FALSE,"consu_flow";#N/A,#N/A,FALSE,"Summary_reqmt";#N/A,#N/A,FALSE,"field_ppg";#N/A,#N/A,FALSE,"ppg_shop";#N/A,#N/A,FALSE,"strl";#N/A,#N/A,FALSE,"tankages";#N/A,#N/A,FALSE,"gases"}</definedName>
    <definedName name="rrm">#REF!</definedName>
    <definedName name="rrn.bsall" localSheetId="10" hidden="1">{"bs",#N/A,FALSE,"BS";"pl",#N/A,FALSE,"PL";"res",#N/A,FALSE,"S.CAP,RES";"loans",#N/A,FALSE,"Loans";"inv",#N/A,FALSE,"C.Assets";"fa",#N/A,FALSE,"F.Assets";"ca",#N/A,FALSE,"C.Assets";"cl",#N/A,FALSE,"CL,Sales,Income";"ovh",#N/A,FALSE,"OVH"}</definedName>
    <definedName name="rrn.bsall" hidden="1">{"bs",#N/A,FALSE,"BS";"pl",#N/A,FALSE,"PL";"res",#N/A,FALSE,"S.CAP,RES";"loans",#N/A,FALSE,"Loans";"inv",#N/A,FALSE,"C.Assets";"fa",#N/A,FALSE,"F.Assets";"ca",#N/A,FALSE,"C.Assets";"cl",#N/A,FALSE,"CL,Sales,Income";"ovh",#N/A,FALSE,"OVH"}</definedName>
    <definedName name="rrr">#REF!</definedName>
    <definedName name="RRRR">#REF!</definedName>
    <definedName name="RRTL_Int">#REF!</definedName>
    <definedName name="Rs">#REF!</definedName>
    <definedName name="Rsin">[277]Main!$B$2</definedName>
    <definedName name="RSL">#REF!</definedName>
    <definedName name="rsurp">#REF!</definedName>
    <definedName name="RTariff">#REF!</definedName>
    <definedName name="RTL_BASE">[62]Input!#REF!</definedName>
    <definedName name="RTL_INT_Base">#REF!</definedName>
    <definedName name="RTL_INT_SEN">#REF!</definedName>
    <definedName name="RTransporation">#REF!</definedName>
    <definedName name="RTransport">#REF!</definedName>
    <definedName name="RTransportation">#REF!</definedName>
    <definedName name="RTTRTRTR"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RTTRTRTR"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Rupees">#REF!</definedName>
    <definedName name="Ruraltitle" localSheetId="10">#REF!</definedName>
    <definedName name="Ruraltitle">#REF!</definedName>
    <definedName name="rvdrate">#REF!</definedName>
    <definedName name="rw" localSheetId="10" hidden="1">{#N/A,#N/A,FALSE,"COVER1.XLS ";#N/A,#N/A,FALSE,"RACT1.XLS";#N/A,#N/A,FALSE,"RACT2.XLS";#N/A,#N/A,FALSE,"ECCMP";#N/A,#N/A,FALSE,"WELDER.XLS"}</definedName>
    <definedName name="rw" hidden="1">{#N/A,#N/A,FALSE,"COVER1.XLS ";#N/A,#N/A,FALSE,"RACT1.XLS";#N/A,#N/A,FALSE,"RACT2.XLS";#N/A,#N/A,FALSE,"ECCMP";#N/A,#N/A,FALSE,"WELDER.XLS"}</definedName>
    <definedName name="rwere" localSheetId="10" hidden="1">{#N/A,#N/A,FALSE,"COVER1.XLS ";#N/A,#N/A,FALSE,"RACT1.XLS";#N/A,#N/A,FALSE,"RACT2.XLS";#N/A,#N/A,FALSE,"ECCMP";#N/A,#N/A,FALSE,"WELDER.XLS"}</definedName>
    <definedName name="rwere" hidden="1">{#N/A,#N/A,FALSE,"COVER1.XLS ";#N/A,#N/A,FALSE,"RACT1.XLS";#N/A,#N/A,FALSE,"RACT2.XLS";#N/A,#N/A,FALSE,"ECCMP";#N/A,#N/A,FALSE,"WELDER.XLS"}</definedName>
    <definedName name="rwteteyr">ROW(#REF!)</definedName>
    <definedName name="s" localSheetId="10">{#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S" hidden="1">'[265]SCH 10'!#REF!</definedName>
    <definedName name="S_0">#REF!</definedName>
    <definedName name="S_0.5">#REF!</definedName>
    <definedName name="S_1">#REF!</definedName>
    <definedName name="S_10">#REF!</definedName>
    <definedName name="S_11">#REF!</definedName>
    <definedName name="S_12">#REF!</definedName>
    <definedName name="S_13">#REF!</definedName>
    <definedName name="S_14">#REF!</definedName>
    <definedName name="S_15">#REF!</definedName>
    <definedName name="S_16">#REF!</definedName>
    <definedName name="S_17">#REF!</definedName>
    <definedName name="S_18">#REF!</definedName>
    <definedName name="S_19">#REF!</definedName>
    <definedName name="S_2">#REF!</definedName>
    <definedName name="S_20">#REF!</definedName>
    <definedName name="S_21">#REF!</definedName>
    <definedName name="S_22">#REF!</definedName>
    <definedName name="S_23">#REF!</definedName>
    <definedName name="S_24">#REF!</definedName>
    <definedName name="S_25">#REF!</definedName>
    <definedName name="S_26">#REF!</definedName>
    <definedName name="S_27">#REF!</definedName>
    <definedName name="S_28">#REF!</definedName>
    <definedName name="S_29">#REF!</definedName>
    <definedName name="S_3">#REF!</definedName>
    <definedName name="S_30">#REF!</definedName>
    <definedName name="S_4">#REF!</definedName>
    <definedName name="S_5">#REF!</definedName>
    <definedName name="S_6">#REF!</definedName>
    <definedName name="S_7">#REF!</definedName>
    <definedName name="S_8">#REF!</definedName>
    <definedName name="S_9">#REF!</definedName>
    <definedName name="S_AcctDes" localSheetId="10">#REF!</definedName>
    <definedName name="S_AcctDes">#REF!</definedName>
    <definedName name="S_AcctNum">#REF!</definedName>
    <definedName name="S_Adjust" localSheetId="10">#REF!</definedName>
    <definedName name="S_Adjust">#REF!</definedName>
    <definedName name="S_Adjust_Data" localSheetId="10">[227]Lead!$I$1:$I$402</definedName>
    <definedName name="S_Adjust_Data">#REF!</definedName>
    <definedName name="S_Adjust_GT" localSheetId="10">#REF!</definedName>
    <definedName name="S_Adjust_GT">#REF!</definedName>
    <definedName name="S_AJE_Tot" localSheetId="10">#REF!</definedName>
    <definedName name="S_AJE_Tot">#REF!</definedName>
    <definedName name="S_AJE_Tot_Data" localSheetId="10">[227]Lead!$H$1:$H$402</definedName>
    <definedName name="S_AJE_Tot_Data">#REF!</definedName>
    <definedName name="S_AJE_Tot_GT" localSheetId="10">#REF!</definedName>
    <definedName name="S_AJE_Tot_GT">#REF!</definedName>
    <definedName name="S_CompNum" localSheetId="10">#REF!</definedName>
    <definedName name="S_CompNum">#REF!</definedName>
    <definedName name="S_CY_Beg" localSheetId="10">#REF!</definedName>
    <definedName name="S_CY_Beg">#REF!</definedName>
    <definedName name="S_CY_Beg_Data" localSheetId="10">[227]Lead!$F$1:$F$402</definedName>
    <definedName name="S_CY_Beg_Data">#REF!</definedName>
    <definedName name="S_CY_Beg_GT" localSheetId="10">#REF!</definedName>
    <definedName name="S_CY_Beg_GT">#REF!</definedName>
    <definedName name="S_CY_End" localSheetId="10">#REF!</definedName>
    <definedName name="S_CY_End">#REF!</definedName>
    <definedName name="S_CY_End_Data" localSheetId="10">[227]Lead!$K$1:$K$402</definedName>
    <definedName name="S_CY_End_Data">#REF!</definedName>
    <definedName name="S_CY_End_GT" localSheetId="10">#REF!</definedName>
    <definedName name="S_CY_End_GT">#REF!</definedName>
    <definedName name="S_Diff_Amt" localSheetId="10">#REF!</definedName>
    <definedName name="S_Diff_Amt">#REF!</definedName>
    <definedName name="S_Diff_Pct" localSheetId="10">#REF!</definedName>
    <definedName name="S_Diff_Pct">#REF!</definedName>
    <definedName name="S_Dogra">#REF!</definedName>
    <definedName name="S_Gentela">#REF!</definedName>
    <definedName name="S_GrpNum">#REF!</definedName>
    <definedName name="S_Headings">#REF!</definedName>
    <definedName name="s_hp">#REF!</definedName>
    <definedName name="S_KeyValue">#REF!</definedName>
    <definedName name="S_LSRange1">#REF!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Negi">#REF!</definedName>
    <definedName name="S_Pal">#REF!</definedName>
    <definedName name="S_PY_End">#REF!</definedName>
    <definedName name="S_PY_End_Data" localSheetId="10">[227]Lead!$M$1:$M$402</definedName>
    <definedName name="S_PY_End_Data">#REF!</definedName>
    <definedName name="S_PY_End_GT" localSheetId="10">#REF!</definedName>
    <definedName name="S_PY_End_GT">#REF!</definedName>
    <definedName name="S_RJE_Tot" localSheetId="10">#REF!</definedName>
    <definedName name="S_RJE_Tot">#REF!</definedName>
    <definedName name="S_RJE_Tot_Data" localSheetId="10">[227]Lead!$J$1:$J$402</definedName>
    <definedName name="S_RJE_Tot_Data">#REF!</definedName>
    <definedName name="S_RJE_Tot_GT" localSheetId="10">#REF!</definedName>
    <definedName name="S_RJE_Tot_GT">#REF!</definedName>
    <definedName name="S_RowNum" localSheetId="10">#REF!</definedName>
    <definedName name="S_RowNum">#REF!</definedName>
    <definedName name="S_Total">#REF!</definedName>
    <definedName name="S_Total1">#REF!</definedName>
    <definedName name="S_Total2">#REF!</definedName>
    <definedName name="S_Total3">#REF!</definedName>
    <definedName name="S192..1">#REF!</definedName>
    <definedName name="S192..2">'[174]192'!#REF!</definedName>
    <definedName name="S194..3">'[174]194C'!#REF!</definedName>
    <definedName name="S194C..2">'[174]194C'!#REF!</definedName>
    <definedName name="S194C..4">'[174]194C'!#REF!</definedName>
    <definedName name="S194C..5">'[174]194C'!#REF!</definedName>
    <definedName name="S194C..6">'[174]194C'!#REF!</definedName>
    <definedName name="sa" localSheetId="10">'[164]TB APJ'!$B$97</definedName>
    <definedName name="SA">[237]Sheet1!$G$2:$G$11588</definedName>
    <definedName name="sadasdas">'[278]P L'!$A$1:$BP$87</definedName>
    <definedName name="sag">[149]factors!$C$23</definedName>
    <definedName name="saghw">#REF!</definedName>
    <definedName name="sagsw">#REF!</definedName>
    <definedName name="sahshs">'[212]04REL'!#REF!</definedName>
    <definedName name="sal">[168]WORKINGS!#REF!</definedName>
    <definedName name="SAL299_FULL">#REF!</definedName>
    <definedName name="SALARY">#REF!</definedName>
    <definedName name="salaryincome.bf">'[39]CYLA BFLA'!$AF$10</definedName>
    <definedName name="salaryincome.bp">'[39]CYLA BFLA'!$AB$10</definedName>
    <definedName name="salaryincome.hp">'[39]CYLA BFLA'!$X$10</definedName>
    <definedName name="salaryincome.ih">'[39]CYLA BFLA'!$Q$10</definedName>
    <definedName name="salaryincome.os">'[39]CYLA BFLA'!$T$10</definedName>
    <definedName name="salaryincome.rem">'[39]CYLA BFLA'!$AO$20</definedName>
    <definedName name="salaryinhouse">#REF!</definedName>
    <definedName name="salaryloss.aftbfl">'[39]CYLA BFLA'!$AH$10</definedName>
    <definedName name="salaryloss.bf">'[39]CYLA BFLA'!$AE$10</definedName>
    <definedName name="salaryloss.bfadj">'[39]CYLA BFLA'!$AG$10</definedName>
    <definedName name="salaryloss.unabs">'[39]CYLA BFLA'!$AN$20</definedName>
    <definedName name="salaryoutsourced">#REF!</definedName>
    <definedName name="SALE" localSheetId="10">#REF!</definedName>
    <definedName name="SALE">#REF!</definedName>
    <definedName name="Sale_in_Month">[121]Summary!#REF!</definedName>
    <definedName name="Sale_in_Year">[121]Summary!#REF!</definedName>
    <definedName name="SALE_MODE">[255]SALE_MODE!$A$2:$A$28</definedName>
    <definedName name="SALEDETL">#REF!</definedName>
    <definedName name="Sales">[87]List_ratios!#REF!</definedName>
    <definedName name="Sales_Costs">[121]Summary!#REF!</definedName>
    <definedName name="Sales1">#REF!</definedName>
    <definedName name="sales97">#REF!</definedName>
    <definedName name="salesdata">#REF!</definedName>
    <definedName name="SalesTax">'[129]Operating Statistics'!#REF!</definedName>
    <definedName name="SAN">[279]Net!#REF!</definedName>
    <definedName name="SANGEETA_PAL">#REF!</definedName>
    <definedName name="SAPBEXdnldView" hidden="1">"45A2SX1UPJKH7CBVEWZ0QHI5V"</definedName>
    <definedName name="SAPBEXrevision" hidden="1">1</definedName>
    <definedName name="SAPBEXsysID" hidden="1">"BWP"</definedName>
    <definedName name="SAPBEXwbID" hidden="1">"3XQBW78D16A2EDUNTS3NPBKLN"</definedName>
    <definedName name="SARAL97">#REF!</definedName>
    <definedName name="SARAL98">#REF!</definedName>
    <definedName name="Sarvecapg">'[193]VIR CG'!#REF!</definedName>
    <definedName name="SaveNewFile">#N/A</definedName>
    <definedName name="SaveWorkbookNo">[26]!SaveWorkbookNo</definedName>
    <definedName name="SaveWorkbookYes">[26]!SaveWorkbookYes</definedName>
    <definedName name="savingsq1">[39]Calculator!$AJ$13</definedName>
    <definedName name="savingsq2">[39]Calculator!$AK$13</definedName>
    <definedName name="savingsq3">[39]Calculator!$AL$13</definedName>
    <definedName name="savingsq4">[39]Calculator!$AM$13</definedName>
    <definedName name="savingsq5">[39]Calculator!$AN$13</definedName>
    <definedName name="SBI">[16]SBI!$E$29</definedName>
    <definedName name="sbi.bs.rt">'[84]PPT Inputs'!$C$35</definedName>
    <definedName name="sbi_facility_99">#REF!</definedName>
    <definedName name="Sc">[275]Master!$M$6</definedName>
    <definedName name="sc_a_b">#REF!</definedName>
    <definedName name="sc_b">#REF!</definedName>
    <definedName name="SCALE">#REF!</definedName>
    <definedName name="scaleupfactor">'[112]NLD - Assum'!#REF!</definedName>
    <definedName name="ScanCost">[102]Assumptions!#REF!</definedName>
    <definedName name="ScanPercent">[102]Assumptions!#REF!</definedName>
    <definedName name="Scenario">'[63]2. Forecast Drivers'!$D$9</definedName>
    <definedName name="scF">#REF!</definedName>
    <definedName name="SCH">[40]BSPL!$A$113:$D$160</definedName>
    <definedName name="SCH__2">#REF!</definedName>
    <definedName name="Sch_1_2_3">#REF!</definedName>
    <definedName name="Sch_1_to_3">#REF!</definedName>
    <definedName name="Sch_10_to_13">#REF!</definedName>
    <definedName name="SCH_11">#REF!</definedName>
    <definedName name="Sch_11_12">#REF!</definedName>
    <definedName name="Sch_13">#REF!</definedName>
    <definedName name="sch_131415">#REF!</definedName>
    <definedName name="sch_13141516">#REF!</definedName>
    <definedName name="Sch_14_to_18">#REF!</definedName>
    <definedName name="Sch_191">#REF!</definedName>
    <definedName name="sch_192">#REF!</definedName>
    <definedName name="sch_193">#REF!</definedName>
    <definedName name="sch_194">#REF!</definedName>
    <definedName name="sch_195">#REF!</definedName>
    <definedName name="sch_196">#REF!</definedName>
    <definedName name="Sch_1a">#REF!</definedName>
    <definedName name="sch_2">#REF!</definedName>
    <definedName name="Sch_5_6_7">#REF!</definedName>
    <definedName name="Sch_5_to_9">#REF!</definedName>
    <definedName name="Sch_61">#REF!</definedName>
    <definedName name="Sch_62">#REF!</definedName>
    <definedName name="sch_63">#REF!</definedName>
    <definedName name="sch_789">#REF!</definedName>
    <definedName name="Sch_8_9_10">#REF!</definedName>
    <definedName name="sch_a">#REF!</definedName>
    <definedName name="SCH1_3">#REF!</definedName>
    <definedName name="SCH1_5">#REF!</definedName>
    <definedName name="SCH1_TO_3">[183]tb!#REF!</definedName>
    <definedName name="SCH4_5">#REF!</definedName>
    <definedName name="SCH4_T0_5">[183]tb!#REF!</definedName>
    <definedName name="SCH6_10">#REF!</definedName>
    <definedName name="Sched_Pay">#REF!</definedName>
    <definedName name="Schedule_1.2">#REF!</definedName>
    <definedName name="Schedule_13">#REF!</definedName>
    <definedName name="Schedule_4">#REF!</definedName>
    <definedName name="Schedule_5">#REF!</definedName>
    <definedName name="Schedule_9">#REF!</definedName>
    <definedName name="Scheduled_Extra_Payments">#REF!</definedName>
    <definedName name="Scheduled_Interest_Rate">#REF!</definedName>
    <definedName name="Scheduled_Monthly_Payment">#REF!</definedName>
    <definedName name="scheduleThree">#REF!</definedName>
    <definedName name="sco_sites">#REF!</definedName>
    <definedName name="Scurve1" localSheetId="10" hidden="1">{#N/A,#N/A,FALSE,"str_title";#N/A,#N/A,FALSE,"SUM";#N/A,#N/A,FALSE,"Scope";#N/A,#N/A,FALSE,"PIE-Jn";#N/A,#N/A,FALSE,"PIE-Jn_Hz";#N/A,#N/A,FALSE,"Liq_Plan";#N/A,#N/A,FALSE,"S_Curve";#N/A,#N/A,FALSE,"Liq_Prof";#N/A,#N/A,FALSE,"Man_Pwr";#N/A,#N/A,FALSE,"Man_Prof"}</definedName>
    <definedName name="Scurve1" hidden="1">{#N/A,#N/A,FALSE,"str_title";#N/A,#N/A,FALSE,"SUM";#N/A,#N/A,FALSE,"Scope";#N/A,#N/A,FALSE,"PIE-Jn";#N/A,#N/A,FALSE,"PIE-Jn_Hz";#N/A,#N/A,FALSE,"Liq_Plan";#N/A,#N/A,FALSE,"S_Curve";#N/A,#N/A,FALSE,"Liq_Prof";#N/A,#N/A,FALSE,"Man_Pwr";#N/A,#N/A,FALSE,"Man_Prof"}</definedName>
    <definedName name="sd" localSheetId="10" hidden="1">{#N/A,#N/A,FALSE,"COVER1.XLS ";#N/A,#N/A,FALSE,"RACT1.XLS";#N/A,#N/A,FALSE,"RACT2.XLS";#N/A,#N/A,FALSE,"ECCMP";#N/A,#N/A,FALSE,"WELDER.XLS"}</definedName>
    <definedName name="SD">'[280]Table 5'!$E$1</definedName>
    <definedName name="sda">[281]Keyratios!#REF!</definedName>
    <definedName name="SDASD">#REF!</definedName>
    <definedName name="sdcacarriagetfc1a">#REF!</definedName>
    <definedName name="sdcacarriagetfc1b">#REF!</definedName>
    <definedName name="sdcacarriagetfc2">#REF!</definedName>
    <definedName name="sdf" localSheetId="10" hidden="1">{#N/A,#N/A,FALSE,"COVER.XLS";#N/A,#N/A,FALSE,"RACT1.XLS";#N/A,#N/A,FALSE,"RACT2.XLS";#N/A,#N/A,FALSE,"ECCMP";#N/A,#N/A,FALSE,"WELDER.XLS"}</definedName>
    <definedName name="SDF">[282]Sheet1!$A$2:$H$2501</definedName>
    <definedName name="sdflhk">[258]MAHSTOCKVAL!#REF!</definedName>
    <definedName name="SDP">#N/A</definedName>
    <definedName name="sds" localSheetId="10" hidden="1">{"plansummary",#N/A,FALSE,"PlanSummary";"sales",#N/A,FALSE,"Sales Rec";"productivity",#N/A,FALSE,"Productivity Rec";"capitalspending",#N/A,FALSE,"Capital Spending"}</definedName>
    <definedName name="sds" hidden="1">{"plansummary",#N/A,FALSE,"PlanSummary";"sales",#N/A,FALSE,"Sales Rec";"productivity",#N/A,FALSE,"Productivity Rec";"capitalspending",#N/A,FALSE,"Capital Spending"}</definedName>
    <definedName name="sdsdsdsd">#REF!</definedName>
    <definedName name="sdsfszsfzs">#REF!,#REF!</definedName>
    <definedName name="SE_NAME">""</definedName>
    <definedName name="SE_Past">[283]Macros!$C$10</definedName>
    <definedName name="seasoning">'[76]Pool details'!$AS$3:$AS$4876</definedName>
    <definedName name="SEC43B">#REF!</definedName>
    <definedName name="SECOAL">#REF!</definedName>
    <definedName name="SECTOR_LIST">[255]SECTOR!$A$2:$A$65536</definedName>
    <definedName name="segpbt">#REF!</definedName>
    <definedName name="SELECT">#REF!</definedName>
    <definedName name="Selection">#REF!</definedName>
    <definedName name="SEMI">#REF!</definedName>
    <definedName name="sencount" hidden="1">1</definedName>
    <definedName name="Sensi1">#REF!</definedName>
    <definedName name="Sensi2">#REF!</definedName>
    <definedName name="Sensi3">#REF!</definedName>
    <definedName name="sensitivity">#REF!</definedName>
    <definedName name="SEOREP">#REF!</definedName>
    <definedName name="SEREPORT">#REF!</definedName>
    <definedName name="series_assum_ex_rate_USD">[97]Assum!$F$299:$Y$299</definedName>
    <definedName name="serverdis">#REF!</definedName>
    <definedName name="Service_Charges__Amenities">'[284]PIVOT -Grouping '!#REF!</definedName>
    <definedName name="Service_Type">"Service Type"</definedName>
    <definedName name="SETOFBOOKSID1">[60]CRITERIA1!$B$1</definedName>
    <definedName name="SETOFBOOKSNAME1">[60]CRITERIA1!$B$2</definedName>
    <definedName name="SEZA10.DedFromUndertaking">'[39]10A'!$F$19</definedName>
    <definedName name="SEZA10.TotalDedUs10Sub">'[39]10A'!$H$20</definedName>
    <definedName name="SF">[121]Rollup!#REF!</definedName>
    <definedName name="SFAS131_9803__Export_List">#REF!</definedName>
    <definedName name="SGA">'[63]2. Forecast Drivers'!$E$34:$S$34</definedName>
    <definedName name="Share_of_DLF">'[285]P&amp;L'!$C$44</definedName>
    <definedName name="SHARED_FORMULA_1">#N/A</definedName>
    <definedName name="SHARED_FORMULA_3">#N/A</definedName>
    <definedName name="SHARED_FORMULA_5">#N/A</definedName>
    <definedName name="SHARED_FORMULA_7">#N/A</definedName>
    <definedName name="SHARED_FORMULA_9">#N/A</definedName>
    <definedName name="Shares_Av">'[63]2. Forecast Drivers'!$E$250:$S$250</definedName>
    <definedName name="Shares_FD_Av">'[63]2. Forecast Drivers'!$E$255:$S$255</definedName>
    <definedName name="Shares2">'[63]2. Forecast Drivers'!$N$252</definedName>
    <definedName name="sHEET">[286]Keyratios!#REF!</definedName>
    <definedName name="SHEET1">#REF!</definedName>
    <definedName name="sheet10.NetPLFromSpecBus">[39]BP!$H$4</definedName>
    <definedName name="sheet10.NetPLFromSpecifiedBus">[39]BP!$H$5</definedName>
    <definedName name="sheet11.AdjustedPLOthThanSpecBus">[39]BP!$J$17</definedName>
    <definedName name="sheet11.AdjustPLAfterDeprOthSpecInc">[39]BP!$J$23</definedName>
    <definedName name="sheet11.AmtAllowUs35ACt">[39]BP!$H$41</definedName>
    <definedName name="sheet11.BalancePLOthThanSpecBus">[39]BP!$J$13</definedName>
    <definedName name="sheet11.DebPL35ACAmt">[39]BP!$H$40</definedName>
    <definedName name="sheet11.DepreciationAllowUs32_1_i">[39]BP!$H$21</definedName>
    <definedName name="sheet11.DepreciationDebPLCosAct">[39]BP!$J$18</definedName>
    <definedName name="sheet11.ExpDebToPLExemptInc">[39]BP!$H$15</definedName>
    <definedName name="sheet11.ExpDebToPLOthHeads">[39]BP!$H$14</definedName>
    <definedName name="sheet11.PLAftAdjDedBusOthThanSpec">[39]BP!$J$45</definedName>
    <definedName name="sheet11.TotAfterAddToPLDeprOthSpecInc">[39]BP!$J$34</definedName>
    <definedName name="sheet11.TotDeductionAmts">[39]BP!$J$44</definedName>
    <definedName name="sheet11.TotDeprAllowITAct">[39]BP!$J$22</definedName>
    <definedName name="sheet11.TotExpDebPL">[39]BP!$H$16</definedName>
    <definedName name="sheet12.AdditionUs28to44DA">[39]BP!$J$70</definedName>
    <definedName name="sheet12.AddSec2844DA">[39]BP!$J$75</definedName>
    <definedName name="sheet12.AdjustedPLFrmSpecifiedBus">[39]BP!$J$79</definedName>
    <definedName name="sheet12.AdjustedPLFrmSpecuBus">[39]BP!$J$72</definedName>
    <definedName name="sheet12.DedSec2844DA">[39]BP!$J$76</definedName>
    <definedName name="sheet12.DeductUs28to44DA">[39]BP!$J$71</definedName>
    <definedName name="sheet12.DeductUs35AD">[39]BP!$J$78</definedName>
    <definedName name="sheet12.DENetPLBusOthThanSpec7A7B7C">[39]BP!$H$67</definedName>
    <definedName name="sheet12.NetPLAftAdjBusOthThanSpec">[39]BP!$J$66</definedName>
    <definedName name="sheet12.NetPLBusOthThanSpec7A7B7C">[39]BP!$J$67</definedName>
    <definedName name="sheet12.NetPLFrmSpecBus">[39]BP!$J$69</definedName>
    <definedName name="sheet12.NetPLFrmSpecifiedBus">[39]BP!$J$74</definedName>
    <definedName name="sheet12.ProfitLossBfrDeductUs10s">[39]BP!$J$59</definedName>
    <definedName name="sheet12.ProfLossFromSpecifiedBus">[39]BP!$J$77</definedName>
    <definedName name="sheet12.TotDeductionUs10s">[39]BP!$J$65</definedName>
    <definedName name="sheet12.TotDeemedProfitBusUs">[39]BP!$J$58</definedName>
    <definedName name="sheet16.BalBusLossAftSetoff">'[39]CYLA BFLA'!$F$15</definedName>
    <definedName name="sheet16.BalHPlossCurYrAftSetoff">'[39]CYLA BFLA'!$E$15</definedName>
    <definedName name="sheet16.TotAllUs35cl4Setoff">'[39]CYLA BFLA'!$G$28</definedName>
    <definedName name="sheet16.TotBusLossSetoff">'[39]CYLA BFLA'!$F$14</definedName>
    <definedName name="sheet16.TotHPlossCurYrSetoff">'[39]CYLA BFLA'!$E$14</definedName>
    <definedName name="sheet16.TotOthSrcLossNoRaceHorseSetoff">'[39]CYLA BFLA'!$G$14</definedName>
    <definedName name="sheet16.TotUnabsorbedDeprSetoff">'[39]CYLA BFLA'!$F$28</definedName>
    <definedName name="sheet22.YesNo">[39]PART_C!$IV$9:$IV$10</definedName>
    <definedName name="sheet8b.CurrentYearLoss">[39]PART_B!$J$22</definedName>
    <definedName name="sheet8b.DeductionsUnderScheduleVIA">[39]PART_B!$J$26</definedName>
    <definedName name="sheet8b.GrossTotalIncome">[39]PART_B!$J$25</definedName>
    <definedName name="sheet8b.IncomeFromHP">[39]PART_B!$J$2</definedName>
    <definedName name="sheet8b.LongTerm">[39]PART_B!$H$15</definedName>
    <definedName name="sheet8b.NetAgricultureIncomeOrOtherIncomeForRate">[39]PART_B!$J$28</definedName>
    <definedName name="sheet8b.TotalCapGains">[39]PART_B!$J$16</definedName>
    <definedName name="sheet8b.TotalShortTerm">[39]PART_B!$H$12</definedName>
    <definedName name="sheet8b.TotalTI">[39]PART_B!$J$21</definedName>
    <definedName name="sheet8b.TotIncFromOS">[39]PART_B!$J$20</definedName>
    <definedName name="sheet8b.TotProfBusGain">[39]PART_B!$J$7</definedName>
    <definedName name="sheet9.AdvanceTax">[39]PART_B!$H$63</definedName>
    <definedName name="sheet9.AggregateTaxInterestLiability">[39]PART_B!$J$61</definedName>
    <definedName name="sheet9.AssesseeVerName">[39]PART_B!$F$72</definedName>
    <definedName name="sheet9.Capacity">[39]PART_B!$F$77</definedName>
    <definedName name="sheet9.CreditUnd115JAA">[39]PART_B!$J$46</definedName>
    <definedName name="sheet9.Date">[39]PART_B!$F$79</definedName>
    <definedName name="sheet9.EducationCess">[39]PART_B!$J$43</definedName>
    <definedName name="sheet9.EduCessOnDemandUnd155JB">[39]PART_B!$J$36</definedName>
    <definedName name="sheet9.FatherName">[39]PART_B!$F$73</definedName>
    <definedName name="sheet9.GrossTaxLiability">[39]PART_B!$J$44</definedName>
    <definedName name="sheet9.GrossTaxPayable">[39]PART_B!$J$45</definedName>
    <definedName name="sheet9.IntrstPayUs234A">[39]PART_B!$H$57</definedName>
    <definedName name="sheet9.IntrstPayUs234B">[39]PART_B!$H$58</definedName>
    <definedName name="sheet9.IntrstPayUs234C">[39]PART_B!$H$59</definedName>
    <definedName name="sheet9.NetTaxLiability">[39]PART_B!$J$55</definedName>
    <definedName name="sheet9.Place">[39]PART_B!$F$78</definedName>
    <definedName name="sheet9.RebateUs88E">[39]PART_B!$J$48</definedName>
    <definedName name="sheet9.Section90">[39]PART_B!$H$52</definedName>
    <definedName name="sheet9.Section91">[39]PART_B!$H$53</definedName>
    <definedName name="sheet9.SelfAssessmentTax">[39]PART_B!$H$66</definedName>
    <definedName name="sheet9.SurchargeOnDemandUnd155JB">[39]PART_B!$J$35</definedName>
    <definedName name="sheet9.SurchargeOnTaxPayable">[39]PART_B!$J$42</definedName>
    <definedName name="sheet9.TaxAtNormalRatesOnAggrInc">[39]PART_B!$H$39</definedName>
    <definedName name="sheet9.TaxPayableOnDemandUnd155JB">[39]PART_B!$J$34</definedName>
    <definedName name="sheet9.TaxPayableOnTotInc">[39]PART_B!$J$41</definedName>
    <definedName name="sheet9.TaxpayAfterCreditUnd115JAA">[39]PART_B!$J$50</definedName>
    <definedName name="sheet9.TCS">[39]PART_B!$H$65</definedName>
    <definedName name="sheet9.TDS">[39]PART_B!$H$64</definedName>
    <definedName name="sheet9.TotalIntrstPay">[39]PART_B!$J$60</definedName>
    <definedName name="sheet9.TotalTaxesPaid">[39]PART_B!$J$67</definedName>
    <definedName name="sheet9.TotTaxPayableOnDemandUnd155JB">[39]PART_B!$J$37</definedName>
    <definedName name="sheet9.TotTaxRelief">[39]PART_B!$J$54</definedName>
    <definedName name="sheet9.VerPAN">[39]PART_B!$J$72</definedName>
    <definedName name="shelf_1_fixed">[287]Equipment!$F$41</definedName>
    <definedName name="shelf_1A_var">[287]Equipment!$F$54</definedName>
    <definedName name="shelf_1B_fixed">[287]Equipment!$F$61</definedName>
    <definedName name="shelf_1B_var">[287]Equipment!$F$74</definedName>
    <definedName name="shelf_1C_fixed">[287]Equipment!$F$81</definedName>
    <definedName name="shelf_1C_var">[287]Equipment!$F$94</definedName>
    <definedName name="shelf_1D_fixed">[287]Equipment!$F$101</definedName>
    <definedName name="shelf_1D_var">[287]Equipment!$F$114</definedName>
    <definedName name="shelf_1E_fixed">[287]Equipment!$F$121</definedName>
    <definedName name="shelf_1E_var">[287]Equipment!$F$134</definedName>
    <definedName name="shelf_IIA_fixed">'[112]Capex-fixed'!#REF!</definedName>
    <definedName name="shelf_IIIA_fixed">[287]Equipment!$F$249</definedName>
    <definedName name="shelf_IIIA_var">[287]Equipment!$F$262</definedName>
    <definedName name="shelf_IIIB_fixed">[287]Equipment!$F$269</definedName>
    <definedName name="shelf_IIIB_var">[287]Equipment!$F$282</definedName>
    <definedName name="shelf_IIIC_fixed">[287]Equipment!$F$289</definedName>
    <definedName name="shelf_IIIC_var">[287]Equipment!$F$302</definedName>
    <definedName name="shelf_IIID_fixed">[287]Equipment!$F$309</definedName>
    <definedName name="shelf_IIID_var">[287]Equipment!$F$322</definedName>
    <definedName name="shelf_IIIE_fixed">[287]Equipment!$F$329</definedName>
    <definedName name="shelf_IIIE_var">[287]Equipment!$F$342</definedName>
    <definedName name="shelf_IVA_fixed">[287]Equipment!$F$353</definedName>
    <definedName name="shelf_IVA_var">[287]Equipment!$F$366</definedName>
    <definedName name="shelf_IVB_fixed">[287]Equipment!$F$373</definedName>
    <definedName name="shelf_IVB_var">[287]Equipment!$F$386</definedName>
    <definedName name="shelf_IVC_fixed">[287]Equipment!$F$393</definedName>
    <definedName name="shelf_IVC_var">[287]Equipment!$F$406</definedName>
    <definedName name="shelf_IVD_fixed">[287]Equipment!$F$413</definedName>
    <definedName name="shelf_IVD_var">[287]Equipment!$F$426</definedName>
    <definedName name="shelf_IVE_fixed">[287]Equipment!$F$433</definedName>
    <definedName name="shelf_IVE_var">[287]Equipment!$F$446</definedName>
    <definedName name="shft1">[173]SUMMERY!$P$1</definedName>
    <definedName name="shftI">[288]SUMMERY!$P$1</definedName>
    <definedName name="ShipmentWeightBlock">[102]Assumptions!#REF!</definedName>
    <definedName name="short" localSheetId="10" hidden="1">{#N/A,#N/A,FALSE,"COVER1.XLS ";#N/A,#N/A,FALSE,"RACT1.XLS";#N/A,#N/A,FALSE,"RACT2.XLS";#N/A,#N/A,FALSE,"ECCMP";#N/A,#N/A,FALSE,"WELDER.XLS"}</definedName>
    <definedName name="SHORT">'[68]YE-SW2'!$IM$8159</definedName>
    <definedName name="SHORTGH" localSheetId="10" hidden="1">{#N/A,#N/A,FALSE,"COVER1.XLS ";#N/A,#N/A,FALSE,"RACT1.XLS";#N/A,#N/A,FALSE,"RACT2.XLS";#N/A,#N/A,FALSE,"ECCMP";#N/A,#N/A,FALSE,"WELDER.XLS"}</definedName>
    <definedName name="SHORTGH" hidden="1">{#N/A,#N/A,FALSE,"COVER1.XLS ";#N/A,#N/A,FALSE,"RACT1.XLS";#N/A,#N/A,FALSE,"RACT2.XLS";#N/A,#N/A,FALSE,"ECCMP";#N/A,#N/A,FALSE,"WELDER.XLS"}</definedName>
    <definedName name="ShortTermDebt">[129]Financials!$J$147:$U$147</definedName>
    <definedName name="Show.Date" localSheetId="10">IF('[80]FITZ MORT 94'!XFD1&lt;&gt;"",DATE(YEAR([0]!First_payment_due),MONTH([0]!First_payment_due)+('[80]FITZ MORT 94'!XFD1-1)*12/[0]!Payments_per_year,DAY([0]!First_payment_due)),"")</definedName>
    <definedName name="Show.Date">IF('[80]FITZ MORT 94'!XFD1&lt;&gt;"",DATE(YEAR([0]!First_payment_due),MONTH([0]!First_payment_due)+('[80]FITZ MORT 94'!XFD1-1)*12/[0]!Payments_per_year,DAY([0]!First_payment_due)),"")</definedName>
    <definedName name="SHR">[82]Sensitivity!$E$9</definedName>
    <definedName name="shshshsh">#REF!,#REF!</definedName>
    <definedName name="SHT">#REF!</definedName>
    <definedName name="SI.SecCode">[39]SI!$C$12:$C$21</definedName>
    <definedName name="SI.SplRateInc">[39]SI!$E$12:$E$21</definedName>
    <definedName name="SI.SplRateIncTax">[39]SI!$G$12:$G$21</definedName>
    <definedName name="SI.TotSplRateIncTax">[39]SI!$G$22</definedName>
    <definedName name="SI_NAME">"Trend Micro HK eDoctor"</definedName>
    <definedName name="SIDDHESH">#REF!</definedName>
    <definedName name="sig">#REF!</definedName>
    <definedName name="SIGHT">[289]CAPEX!#REF!</definedName>
    <definedName name="signal">'[67]Cost Breakup Depreciation&amp; Tax'!$C$17</definedName>
    <definedName name="size">#REF!</definedName>
    <definedName name="SKYMARK">[205]国内work!#REF!</definedName>
    <definedName name="sl">#REF!</definedName>
    <definedName name="SL_Base">#REF!</definedName>
    <definedName name="SL_SEN">#REF!</definedName>
    <definedName name="SLFHDOJHGDLKJGBD" hidden="1">#REF!</definedName>
    <definedName name="slmadditionalhead1">#REF!</definedName>
    <definedName name="slmadditionalhead2">#REF!</definedName>
    <definedName name="slmcivil">#REF!</definedName>
    <definedName name="slmduct">#REF!</definedName>
    <definedName name="slmelectro">#REF!</definedName>
    <definedName name="slmutilities">#REF!</definedName>
    <definedName name="slotreq_LEMU6">'[112]Capex-fixed'!#REF!</definedName>
    <definedName name="slotreq_LESA8">'[112]Capex-fixed'!#REF!</definedName>
    <definedName name="slotreq_LOMIF">'[112]Capex-fixed'!#REF!</definedName>
    <definedName name="slotreq_PCONV">'[112]Capex-fixed'!#REF!</definedName>
    <definedName name="slotreq_PHLC30">'[112]Capex-fixed'!#REF!</definedName>
    <definedName name="slotreq_PHLC60">'[112]Capex-fixed'!#REF!</definedName>
    <definedName name="sn">'[290]RCTL-SCH'!#REF!</definedName>
    <definedName name="softcostonetime">'[67]Cost Breakup Depreciation&amp; Tax'!$C$35</definedName>
    <definedName name="soh">1%</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ota">[208]その他!$A$1:$N$2</definedName>
    <definedName name="sort">#REF!</definedName>
    <definedName name="sort_area">#REF!</definedName>
    <definedName name="sort_range">#REF!</definedName>
    <definedName name="sot">#REF!</definedName>
    <definedName name="source">'[76]Pool details'!$D$3:$D$4876</definedName>
    <definedName name="SP">#N/A</definedName>
    <definedName name="SpaceCostPerUserPerYear">[100]Assumptions!#REF!</definedName>
    <definedName name="SPAIN">#REF!</definedName>
    <definedName name="SPAN">#REF!</definedName>
    <definedName name="SpecialPrice" hidden="1">#REF!</definedName>
    <definedName name="SpecItem">'[63]2. Forecast Drivers'!$E$155:$S$155</definedName>
    <definedName name="spr">[56]SPR!#REF!</definedName>
    <definedName name="spread">#N/A</definedName>
    <definedName name="spread1">#N/A</definedName>
    <definedName name="spreadadj">#N/A</definedName>
    <definedName name="spreads">'[63]26. Optimal Capital Structure'!#REF!,'[63]26. Optimal Capital Structure'!#REF!</definedName>
    <definedName name="SPT__Czech">[87]List_ratios!#REF!</definedName>
    <definedName name="SPV_DSCR">#REF!</definedName>
    <definedName name="SPV_Loan">#REF!</definedName>
    <definedName name="SPWS_WBID">"FF2F8A43-5A64-4DCD-BC03-1C90566C04FC"</definedName>
    <definedName name="SRANGE">[291]Sheet1!$A$1:$G$278</definedName>
    <definedName name="SRH_Equity">'[243]Portfolio Summary'!$K$33</definedName>
    <definedName name="Sri_Manoj_Maheshwari">#REF!</definedName>
    <definedName name="ss" localSheetId="10" hidden="1">{#N/A,#N/A,FALSE,"COVER.XLS";#N/A,#N/A,FALSE,"RACT1.XLS";#N/A,#N/A,FALSE,"RACT2.XLS";#N/A,#N/A,FALSE,"ECCMP";#N/A,#N/A,FALSE,"WELDER.XLS"}</definedName>
    <definedName name="SS">#REF!</definedName>
    <definedName name="SS_MaxPattern">"Max Pattern Number "</definedName>
    <definedName name="SS_MaxPattern_1">""</definedName>
    <definedName name="SS_MaxPattern_2">""</definedName>
    <definedName name="SS_MaxPattern_3">""</definedName>
    <definedName name="SS_MaxPattern_4">""</definedName>
    <definedName name="SS_MaxPattern_5">""</definedName>
    <definedName name="SS_MaxPattern_6">""</definedName>
    <definedName name="SS_MinPattern">"Min Pattern Number "</definedName>
    <definedName name="SS_MinPattern_1">""</definedName>
    <definedName name="SS_MinPattern_2">""</definedName>
    <definedName name="SS_MinPattern_3">""</definedName>
    <definedName name="SS_MinPattern_4">""</definedName>
    <definedName name="SS_MinPattern_5">""</definedName>
    <definedName name="SS_MinPattern_6">""</definedName>
    <definedName name="SS_ServerNo">"Number of Serveres "</definedName>
    <definedName name="SS_ServerNo_1">""</definedName>
    <definedName name="SS_ServerNo_2">""</definedName>
    <definedName name="SS_ServerNo_3">""</definedName>
    <definedName name="SS_ServerNo_4">""</definedName>
    <definedName name="SS_ServerNo_5">""</definedName>
    <definedName name="SS_ServerNo_6">""</definedName>
    <definedName name="SS_SiteName">"Site Name"</definedName>
    <definedName name="SS_SiteName_1">""</definedName>
    <definedName name="SS_SiteName_2">""</definedName>
    <definedName name="SS_SiteName_3">""</definedName>
    <definedName name="SS_SiteName_4">""</definedName>
    <definedName name="SS_SiteName_5">""</definedName>
    <definedName name="SS_SiteName_6">""</definedName>
    <definedName name="SS_VirusNo">"Number of Viruses "</definedName>
    <definedName name="SS_VirusNo_1">""</definedName>
    <definedName name="SS_VirusNo_2">""</definedName>
    <definedName name="SS_VirusNo_3">""</definedName>
    <definedName name="SS_VirusNo_4">""</definedName>
    <definedName name="SS_VirusNo_5">""</definedName>
    <definedName name="SS_VirusNo_6">""</definedName>
    <definedName name="SSC">'[233]BS Rec Control Sheet'!#REF!</definedName>
    <definedName name="sss" localSheetId="10">#REF!</definedName>
    <definedName name="sss">sss</definedName>
    <definedName name="SSSA" hidden="1">#REF!</definedName>
    <definedName name="SSSSS" localSheetId="10" hidden="1">{#N/A,#N/A,TRUE,"Cover sheet";#N/A,#N/A,TRUE,"Summary";#N/A,#N/A,TRUE,"Key Assumptions";#N/A,#N/A,TRUE,"Profit &amp; Loss";#N/A,#N/A,TRUE,"Balance Sheet";#N/A,#N/A,TRUE,"Cashflow";#N/A,#N/A,TRUE,"IRR";#N/A,#N/A,TRUE,"Ratios";#N/A,#N/A,TRUE,"Debt analysis"}</definedName>
    <definedName name="SSSSS" hidden="1">{#N/A,#N/A,TRUE,"Cover sheet";#N/A,#N/A,TRUE,"Summary";#N/A,#N/A,TRUE,"Key Assumptions";#N/A,#N/A,TRUE,"Profit &amp; Loss";#N/A,#N/A,TRUE,"Balance Sheet";#N/A,#N/A,TRUE,"Cashflow";#N/A,#N/A,TRUE,"IRR";#N/A,#N/A,TRUE,"Ratios";#N/A,#N/A,TRUE,"Debt analysis"}</definedName>
    <definedName name="ST">#REF!</definedName>
    <definedName name="ST43B">[292]COMPUTATION!#REF!</definedName>
    <definedName name="STAFF">#REF!</definedName>
    <definedName name="Staff_Costs">#REF!</definedName>
    <definedName name="Staff_Loan">'[284]PIVOT -Grouping '!#REF!</definedName>
    <definedName name="staff_sal">#REF!</definedName>
    <definedName name="staffexpline">[87]List_ratios!#REF!</definedName>
    <definedName name="star99">#REF!</definedName>
    <definedName name="StartDate">'[293]A-General'!$Q$16</definedName>
    <definedName name="STARTJOURNALIMPORT1">[60]CRITERIA1!$B$21</definedName>
    <definedName name="StartSummaryCol">#REF!</definedName>
    <definedName name="startupcost">'[67]Cost Breakup Depreciation&amp; Tax'!$C$33</definedName>
    <definedName name="State">'[76]Pool details'!$R$3:$R$4876</definedName>
    <definedName name="STATE_LIST">[255]STATE!$A$2:$A$65536</definedName>
    <definedName name="States">[223]Lists!$A$16:$A$50</definedName>
    <definedName name="STATETAX">'[109]MN T.B.'!$J$22</definedName>
    <definedName name="station">'[67]Cost Breakup Depreciation&amp; Tax'!$C$5</definedName>
    <definedName name="STATUS_LIST">[255]STATUS!$A$2:$A$65536</definedName>
    <definedName name="stax">[62]Assumptions!$D$333</definedName>
    <definedName name="stcg.BFlossPrevYrUndSameHeadSetoff3">'[39]CYLA BFLA'!$E$24</definedName>
    <definedName name="stcg.BFUnabsorbedDeprSetoff3">'[39]CYLA BFLA'!$F$24</definedName>
    <definedName name="stcg.IncOfCurYrAfterSetOff1">'[39]CYLA BFLA'!$H$10</definedName>
    <definedName name="stcg.IncOfCurYrUnderThatHead1">'[39]CYLA BFLA'!$D$10</definedName>
    <definedName name="stcg111a.ecq1">[39]Calculator!$AD$11</definedName>
    <definedName name="stcg111a.ecq2">[39]Calculator!$AE$11</definedName>
    <definedName name="stcg111a.ecq3">[39]Calculator!$AF$11</definedName>
    <definedName name="stcg111a.ecq4">[39]Calculator!$AG$11</definedName>
    <definedName name="stcg111a.ecq5">[39]Calculator!$AH$11</definedName>
    <definedName name="stcg111a.savings">[39]Calculator!$AI$11</definedName>
    <definedName name="stcg111a.scq1">[39]Calculator!$Y$11</definedName>
    <definedName name="stcg111a.scq2">[39]Calculator!$Z$11</definedName>
    <definedName name="stcg111a.scq3">[39]Calculator!$AA$11</definedName>
    <definedName name="stcg111a.scq4">[39]Calculator!$AB$11</definedName>
    <definedName name="stcg111a.scq5">[39]Calculator!$AC$11</definedName>
    <definedName name="stcg111aec.usratio">[39]Calculator!$X$11</definedName>
    <definedName name="stcg111aincome">'[39]CYLA BFLA'!$O$16</definedName>
    <definedName name="stcg111aincome.bf">'[39]CYLA BFLA'!$AF$16</definedName>
    <definedName name="stcg111aincome.bp">'[39]CYLA BFLA'!$AB$16</definedName>
    <definedName name="stcg111aincome.hp">'[39]CYLA BFLA'!$X$16</definedName>
    <definedName name="stcg111aincome.ih">'[39]CYLA BFLA'!$Q$16</definedName>
    <definedName name="stcg111aincome.os">'[39]CYLA BFLA'!$T$16</definedName>
    <definedName name="stcg111aincome.rem">'[39]CYLA BFLA'!$AO$19</definedName>
    <definedName name="stcg111aincome.stcl">'[39]CYLA BFLA'!$F$46</definedName>
    <definedName name="stcg111aincome.usratio">[39]Calculator!$V$11</definedName>
    <definedName name="stcg111aloss">'[39]CYLA BFLA'!$P$16</definedName>
    <definedName name="stcg111aloss.bfadj">'[39]CYLA BFLA'!$AG$16</definedName>
    <definedName name="stcg111aloss.bp">'[39]CYLA BFLA'!$AD$16</definedName>
    <definedName name="stcg111aloss.hp">'[39]CYLA BFLA'!$Z$16</definedName>
    <definedName name="stcg111aloss.ih">'[39]CYLA BFLA'!$R$16</definedName>
    <definedName name="stcg111aloss.os">'[39]CYLA BFLA'!$V$16</definedName>
    <definedName name="stcg111aloss.unabs">'[39]CYLA BFLA'!$AN$19</definedName>
    <definedName name="stcg111asur.usratio">[39]Calculator!$W$11</definedName>
    <definedName name="stcgloss.aftbfl">'[39]CYLA BFLA'!$AH$16</definedName>
    <definedName name="stcgloss.bf">'[39]CYLA BFLA'!$AE$16</definedName>
    <definedName name="stcgloss1.unabs">'[39]CYLA BFLA'!$F$57</definedName>
    <definedName name="stcgoththan111a.ecq1">[39]Calculator!$AD$14</definedName>
    <definedName name="stcgoththan111a.scq1">[39]Calculator!$Y$14</definedName>
    <definedName name="stcgoththan111aec.usratio">[39]Calculator!$X$14</definedName>
    <definedName name="stcgoththan111aincome">'[39]CYLA BFLA'!$O$17</definedName>
    <definedName name="stcgoththan111aincome.bf">'[39]CYLA BFLA'!$AF$17</definedName>
    <definedName name="stcgoththan111aincome.bp">'[39]CYLA BFLA'!$AB$17</definedName>
    <definedName name="stcgoththan111aincome.hp">'[39]CYLA BFLA'!$X$17</definedName>
    <definedName name="stcgoththan111aincome.ih">'[39]CYLA BFLA'!$Q$17</definedName>
    <definedName name="stcgoththan111aincome.os">'[39]CYLA BFLA'!$T$17</definedName>
    <definedName name="stcgoththan111aincome.q1diff">[39]Calculator!$AJ$47</definedName>
    <definedName name="stcgoththan111aincome.q2diff">[39]Calculator!$AJ$48</definedName>
    <definedName name="stcgoththan111aincome.q3diff">[39]Calculator!$AJ$49</definedName>
    <definedName name="stcgoththan111aincome.q4diff">[39]Calculator!$AJ$50</definedName>
    <definedName name="stcgoththan111aincome.q5diff">[39]Calculator!$AJ$51</definedName>
    <definedName name="stcgoththan111aincome.rem">'[39]CYLA BFLA'!$AO$16</definedName>
    <definedName name="stcgoththan111aincome.stcl">'[39]CYLA BFLA'!$F$42</definedName>
    <definedName name="stcgoththan111Aincome.usratio">[39]Calculator!$V$14</definedName>
    <definedName name="stcgoththan111aloss">'[39]CYLA BFLA'!$P$17</definedName>
    <definedName name="stcgoththan111aloss.bfadj">'[39]CYLA BFLA'!$AG$17</definedName>
    <definedName name="stcgoththan111aloss.bp">'[39]CYLA BFLA'!$AD$17</definedName>
    <definedName name="stcgoththan111aloss.hp">'[39]CYLA BFLA'!$Z$17</definedName>
    <definedName name="stcgoththan111Aloss.ih">'[39]CYLA BFLA'!$R$17</definedName>
    <definedName name="stcgoththan111aloss.os">'[39]CYLA BFLA'!$V$17</definedName>
    <definedName name="stcgoththan111Aloss.unabs">'[39]CYLA BFLA'!$AN$16</definedName>
    <definedName name="stcgoththan111asur.usratio">[39]Calculator!$W$14</definedName>
    <definedName name="stcla1">'[39]CYLA BFLA'!$F$41</definedName>
    <definedName name="stcla2">'[39]CYLA BFLA'!$F$45</definedName>
    <definedName name="stclremaining">'[39]CYLA BFLA'!$F$48</definedName>
    <definedName name="STD">[56]Facility!#REF!</definedName>
    <definedName name="STD_Bal">'[63]2. Forecast Drivers'!$E$202:$S$202</definedName>
    <definedName name="STD_Cash">'[63]2. Forecast Drivers'!$E$208:$S$208</definedName>
    <definedName name="STDDATE">[72]関係会社貸付金データ!$D$6</definedName>
    <definedName name="stef" localSheetId="10" hidden="1">{#N/A,#N/A,TRUE,"Cover sheet";#N/A,#N/A,TRUE,"Summary";#N/A,#N/A,TRUE,"Key Assumptions";#N/A,#N/A,TRUE,"Profit &amp; Loss";#N/A,#N/A,TRUE,"Balance Sheet";#N/A,#N/A,TRUE,"Cashflow";#N/A,#N/A,TRUE,"IRR";#N/A,#N/A,TRUE,"Ratios";#N/A,#N/A,TRUE,"Debt analysis"}</definedName>
    <definedName name="stef" hidden="1">{#N/A,#N/A,TRUE,"Cover sheet";#N/A,#N/A,TRUE,"Summary";#N/A,#N/A,TRUE,"Key Assumptions";#N/A,#N/A,TRUE,"Profit &amp; Loss";#N/A,#N/A,TRUE,"Balance Sheet";#N/A,#N/A,TRUE,"Cashflow";#N/A,#N/A,TRUE,"IRR";#N/A,#N/A,TRUE,"Ratios";#N/A,#N/A,TRUE,"Debt analysis"}</definedName>
    <definedName name="step">[111]wwww!$P$77</definedName>
    <definedName name="stk">#REF!</definedName>
    <definedName name="STL">[118]Facility!$B$382</definedName>
    <definedName name="Stock">#REF!</definedName>
    <definedName name="stock_status2001">#REF!</definedName>
    <definedName name="STOCK_WORKING">#REF!</definedName>
    <definedName name="stockdata">#REF!</definedName>
    <definedName name="Stocks">#REF!</definedName>
    <definedName name="STPA10.DedFromUndertaking">'[39]10A'!$F$3</definedName>
    <definedName name="STPA10.TotalDedUs10Sub">'[39]10A'!$H$4</definedName>
    <definedName name="strat">[214]Assumptions!#REF!</definedName>
    <definedName name="STTC.STTPaid">'[39]80_'!$G$63</definedName>
    <definedName name="STTC.TaxPaySTTAvgRate">'[39]80_'!$G$62</definedName>
    <definedName name="sub_total">#REF!</definedName>
    <definedName name="subcat">[294]Rates!$B$28:$B$47</definedName>
    <definedName name="Subscriber_base_related_Software_Costs">#REF!</definedName>
    <definedName name="subsidiary">#REF!</definedName>
    <definedName name="sum" localSheetId="10">#REF!</definedName>
    <definedName name="SUM">#N/A</definedName>
    <definedName name="sum.fault.repairs">#REF!</definedName>
    <definedName name="sum_admin.exp">#REF!</definedName>
    <definedName name="sum_adv.dir.mktg">#REF!</definedName>
    <definedName name="sum_adv.ele.media">#REF!</definedName>
    <definedName name="sum_adv.eqp.sub">#REF!</definedName>
    <definedName name="sum_adv.ose.bill">#REF!</definedName>
    <definedName name="sum_adv.ose.cc">#REF!</definedName>
    <definedName name="sum_adv.ose.conv">#REF!</definedName>
    <definedName name="sum_adv.ose.trg">#REF!</definedName>
    <definedName name="sum_adv.ose.tvlg">#REF!</definedName>
    <definedName name="sum_adv.outdoor.media">#REF!</definedName>
    <definedName name="sum_adv.pr">#REF!</definedName>
    <definedName name="sum_adv.prn.media">#REF!</definedName>
    <definedName name="sum_adv.prtg">#REF!</definedName>
    <definedName name="sum_adv.snd.caf">#REF!</definedName>
    <definedName name="sum_adv.snd.cl.ent">#REF!</definedName>
    <definedName name="sum_adv.snd.log">#REF!</definedName>
    <definedName name="sum_adv.snd.mr">#REF!</definedName>
    <definedName name="sum_adv.snd.osf">#REF!</definedName>
    <definedName name="sum_amc.costs">#REF!</definedName>
    <definedName name="sum_hiring.charges.vehicles">#REF!</definedName>
    <definedName name="sum_ic.costs">#REF!</definedName>
    <definedName name="sum_nw.admin.exp">#REF!</definedName>
    <definedName name="sum_nw.salaries">#REF!</definedName>
    <definedName name="sum_nw.trg">#REF!</definedName>
    <definedName name="Sum_of_All">#REF!</definedName>
    <definedName name="sum_power.costs">#REF!</definedName>
    <definedName name="sum_route.surveillance">#REF!</definedName>
    <definedName name="Sum_RSq">#REF!</definedName>
    <definedName name="sum_splicevan.running">#REF!</definedName>
    <definedName name="suma">#REF!</definedName>
    <definedName name="SUMM">#REF!</definedName>
    <definedName name="Summary">#REF!</definedName>
    <definedName name="summary_print">#REF!</definedName>
    <definedName name="SumRSQu">#REF!</definedName>
    <definedName name="Suppliers">[58]ReasonCode!$B$2:$B$5000</definedName>
    <definedName name="Support">[113]Support!$A$1:$L$68</definedName>
    <definedName name="Sur_Calc">[39]Calculator!$D$22</definedName>
    <definedName name="Sur_limit">[39]Calculator!$Q$30</definedName>
    <definedName name="Sur_Rate">[39]Calculator!$R$30</definedName>
    <definedName name="sur_stcgoththan111aincome">[39]Calculator!$R$5</definedName>
    <definedName name="sur_usincome">[39]Calculator!$Q$5</definedName>
    <definedName name="svc0">[295]BSPL!$A$655:$D$692</definedName>
    <definedName name="sw">#REF!</definedName>
    <definedName name="sw_sh">[149]factors!$C$4</definedName>
    <definedName name="SWAPS">'[68]YE-SW2'!$IV$8175</definedName>
    <definedName name="SWdis">#REF!</definedName>
    <definedName name="SWED">#REF!</definedName>
    <definedName name="SWEDEN">#REF!</definedName>
    <definedName name="swgrossnet">#REF!</definedName>
    <definedName name="SWIT">#REF!</definedName>
    <definedName name="SWITCH" localSheetId="10">#REF!</definedName>
    <definedName name="Switch">#REF!</definedName>
    <definedName name="SWITZERLAND">#REF!</definedName>
    <definedName name="SWM">#REF!</definedName>
    <definedName name="swphase">#REF!</definedName>
    <definedName name="swphase1a">#REF!</definedName>
    <definedName name="swphase1b">#REF!</definedName>
    <definedName name="swphase2">#REF!</definedName>
    <definedName name="sy" localSheetId="10" hidden="1">{#N/A,#N/A,FALSE,"Part ABC"}</definedName>
    <definedName name="sy" hidden="1">{#N/A,#N/A,FALSE,"Part ABC"}</definedName>
    <definedName name="syn_copy">[65]LCE!$E$63</definedName>
    <definedName name="synpipe_paste">[65]HMPL!#REF!</definedName>
    <definedName name="t" localSheetId="10" hidden="1">{#N/A,#N/A,FALSE,"COVER.XLS";#N/A,#N/A,FALSE,"RACT1.XLS";#N/A,#N/A,FALSE,"RACT2.XLS";#N/A,#N/A,FALSE,"ECCMP";#N/A,#N/A,FALSE,"WELDER.XLS"}</definedName>
    <definedName name="t" hidden="1">{#N/A,#N/A,FALSE,"COVER.XLS";#N/A,#N/A,FALSE,"RACT1.XLS";#N/A,#N/A,FALSE,"RACT2.XLS";#N/A,#N/A,FALSE,"ECCMP";#N/A,#N/A,FALSE,"WELDER.XLS"}</definedName>
    <definedName name="t_b_round_off">#REF!</definedName>
    <definedName name="ta" localSheetId="10">#REF!</definedName>
    <definedName name="TA">#REF!</definedName>
    <definedName name="TA3Q">#REF!</definedName>
    <definedName name="taac">'[84]Core Assumptions'!$F$219</definedName>
    <definedName name="table">'[296]DETAIL SHEET'!$L$10:$BA$55</definedName>
    <definedName name="table_annual_draw">[95]Production!$C$77:$O$91</definedName>
    <definedName name="table_annual_production">[150]Assum!$C$125:$M$138</definedName>
    <definedName name="table_avg_realisation">[95]Assum!$C$123:$O$131</definedName>
    <definedName name="table_capex_HO">[95]Assum!$C$692:$O$698</definedName>
    <definedName name="table_capex_nashik_cosmetic">[95]Assum!#REF!</definedName>
    <definedName name="table_closing_stock">[137]Assum!#REF!</definedName>
    <definedName name="table_commence_date">[95]Assum!$C$62:$O$75</definedName>
    <definedName name="table_dep_rate">[95]Assum!$C$776:$F$781</definedName>
    <definedName name="table_depreciation_allocated">#REF!</definedName>
    <definedName name="table_draw_capacity">[95]Assum!$C$10:$O$23</definedName>
    <definedName name="table_draw_per">[95]Assum!#REF!</definedName>
    <definedName name="table_fixed_overheads_growth">[150]Assum!$C$426:$M$433</definedName>
    <definedName name="table_HNGFL_capex_less_180">[96]Assumption!#REF!</definedName>
    <definedName name="table_HNGFL_capex_tax_calc">[96]Assumption!#REF!</definedName>
    <definedName name="table_HNGFL_capex_tax_calx">[96]Assumption!#REF!</definedName>
    <definedName name="table_HNGFL_common_staff_employees">[96]Assumption!#REF!</definedName>
    <definedName name="table_HNGFL_dep_rate">[96]Assumption!#REF!</definedName>
    <definedName name="table_HNGFL_efficiency">[96]Assumption!#REF!</definedName>
    <definedName name="table_HNGFL_float_employees">[96]Assumption!#REF!</definedName>
    <definedName name="table_HNGFL_float_salary">[96]Assumption!#REF!</definedName>
    <definedName name="table_HNGFL_IGU_employees">[96]Assumption!#REF!</definedName>
    <definedName name="table_HNGFL_intt_rates">[96]Assumption!#REF!</definedName>
    <definedName name="table_HNGFL_manufacturing_cost_growth">[95]Sens!$C$87:$O$87</definedName>
    <definedName name="table_HNGFL_P_M_breakdown">[96]Assumption!#REF!</definedName>
    <definedName name="table_HNGFL_packing_cost_growth">[95]Sens!$C$86:$P$86</definedName>
    <definedName name="table_HNGFL_power_cost_growth">[95]Sens!$C$84:$P$84</definedName>
    <definedName name="table_HNGFL_realization_growth">[95]Sens!$C$62:$P$70</definedName>
    <definedName name="table_HNGFL_repairs_cost_growth">[95]Sens!$C$93:$O$93</definedName>
    <definedName name="table_HNGFL_RM_cost_growth">[95]Sens!$C$73:$O$81</definedName>
    <definedName name="table_HNGFL_salary_growth">[95]Sens!$B$89:$O$89</definedName>
    <definedName name="table_HNGFL_stores_spares_growth">[95]Sens!$C$92:$O$92</definedName>
    <definedName name="table_HNGFL_tax_dep_rate">[96]Assumption!#REF!</definedName>
    <definedName name="table_HNGFL_Tempered_employees">[96]Assumption!#REF!</definedName>
    <definedName name="table_HNGFL_water_cost_growth">[95]Sens!$C$85:$P$85</definedName>
    <definedName name="table_investment_schedule">[95]Assum!$C$927:$O$927</definedName>
    <definedName name="table_loans_advances_days">[95]Assum!$C$893:$O$902</definedName>
    <definedName name="table_nashik_cosmetic_power_cons">[95]Assum!#REF!</definedName>
    <definedName name="table_nashik_cosmetic_power_price">[95]Assum!#REF!</definedName>
    <definedName name="table_nashik_cosmetic_realisation">[95]Assum!#REF!</definedName>
    <definedName name="table_nashik_cosmetic_volume">[95]Assum!#REF!</definedName>
    <definedName name="table_op_days">[95]Assum!$C$78:$O$78</definedName>
    <definedName name="table_opening_stock">[137]Assum!#REF!</definedName>
    <definedName name="table_other_variable_overheads">[150]Assum!$C$268:$M$275</definedName>
    <definedName name="table_overheads_growth">[95]Sens!$C$29:$O$29</definedName>
    <definedName name="table_pack_eff">[95]Assum!$C$27:$O$40</definedName>
    <definedName name="table_packing_cost">[150]Assum!$C$225:$M$232</definedName>
    <definedName name="table_packing_cost_growth">[95]Sens!$C$27:$O$27</definedName>
    <definedName name="table_packing_inventory_days">[95]Assum!$C$841:$O$850</definedName>
    <definedName name="table_packing_material_days">[137]Assum!#REF!</definedName>
    <definedName name="table_plant_capacity">[95]Assum!#REF!</definedName>
    <definedName name="table_power_cost_growth">[95]Sens!$C$33:$O$39</definedName>
    <definedName name="table_prod_overheads">[95]Assum!$C$386:$O$394</definedName>
    <definedName name="table_prod_overheads_growth">[95]Sens!$C$29:$O$29</definedName>
    <definedName name="table_product_volume">[95]Assum!$C$112:$O$120</definedName>
    <definedName name="table_raw_material_cost">[150]Assum!$C$203:$M$210</definedName>
    <definedName name="table_raw_material_days">[137]Assum!#REF!</definedName>
    <definedName name="table_realisation_growth">[95]Sens!$C$10:$O$18</definedName>
    <definedName name="table_rebuild_sch">[95]Assum!$C$46:$O$59</definedName>
    <definedName name="table_return_investments">[95]Assum!$C$928:$O$928</definedName>
    <definedName name="table_RM_cons">[95]Assum!$C$354:$O$356</definedName>
    <definedName name="table_RM_cost">[95]Assum!$C$359:$O$361</definedName>
    <definedName name="table_RM_cost_growth">[95]Sens!$C$21:$O$24</definedName>
    <definedName name="table_RM_inventory_days">[95]Assum!$C$829:$O$838</definedName>
    <definedName name="table_salary_growth">[150]Assum!$C$393:$M$401</definedName>
    <definedName name="table_sale_volume">[150]Assum!$C$155:$M$163</definedName>
    <definedName name="table_sales_realisation">[150]Assum!$C$179:$M$186</definedName>
    <definedName name="table_savings_shift_gas">[95]Assum!$C$587:$O$595</definedName>
    <definedName name="table_secured_additions">[95]Assum!$C$936:$O$950</definedName>
    <definedName name="table_secured_int_rates">[95]Assum!$C$969:$F$983</definedName>
    <definedName name="table_secured_repayments">[95]Assum!$C$953:$O$966</definedName>
    <definedName name="table_selling_expenses">[150]Assum!$C$289:$M$296</definedName>
    <definedName name="table_selling_expenses_growth">[95]Sens!$C$30:$O$30</definedName>
    <definedName name="table_stores_inventory_days">[95]Assum!$C$854:$O$863</definedName>
    <definedName name="table_stores_spares_cost">[150]Assum!$C$247:$M$254</definedName>
    <definedName name="table_stores_spares_cost_growth">[95]Sens!$C$28:$O$28</definedName>
    <definedName name="table_stores_spares_days">[137]Assum!#REF!</definedName>
    <definedName name="table_sundry_creditor_days">[95]Assum!$C$906:$O$915</definedName>
    <definedName name="table_sundry_debtor_days">[95]Assum!$C$880:$O$889</definedName>
    <definedName name="table_tax_dep_rate">[95]Assum!$C$787:$F$796</definedName>
    <definedName name="table_tax_rate">[95]Assum!$C$803:$O$803</definedName>
    <definedName name="table_total_depreciation">[150]Assum!$C$588:$M$597</definedName>
    <definedName name="table_unsecured_additions">[95]Assum!$C$988:$O$992</definedName>
    <definedName name="table_unsecured_int_rates">[95]Assum!$C$1002:$F$1006</definedName>
    <definedName name="table_unsecured_repayments">[95]Assum!$C$995:$O$999</definedName>
    <definedName name="table_wages_cost">[150]Assum!$C$415:$M$422</definedName>
    <definedName name="table_WIP_days">[137]Assum!#REF!</definedName>
    <definedName name="table_WIP_inventory">[137]WCAP!#REF!</definedName>
    <definedName name="table_WIP_inventory_days">[95]Assum!$C$867:$O$876</definedName>
    <definedName name="TABLE1">#REF!</definedName>
    <definedName name="TAFName">[94]Masters!$C$19</definedName>
    <definedName name="TAMNo">[94]Masters!$C$23</definedName>
    <definedName name="TAName">[94]Masters!$C$20</definedName>
    <definedName name="TAno">'[84]Core Assumptions'!$F$218</definedName>
    <definedName name="TAPlace">[94]Masters!$C$43</definedName>
    <definedName name="Target">#REF!</definedName>
    <definedName name="Target_IRR">#REF!</definedName>
    <definedName name="Target1">#REF!</definedName>
    <definedName name="Tariff">[99]Assumptions!$H$8</definedName>
    <definedName name="tariff_var_mod">[99]Assumptions!$L$37</definedName>
    <definedName name="tariffgrowthyr1">#REF!</definedName>
    <definedName name="tariffgrowthyr2">#REF!</definedName>
    <definedName name="tariffgrowthyr3">#REF!</definedName>
    <definedName name="tariffgrowthyr4">#REF!</definedName>
    <definedName name="tariffgrowthyr5onwards">#REF!</definedName>
    <definedName name="TAV">'[276]Occ, Other Rev, Exp, Dispo'!$E$85</definedName>
    <definedName name="TAV_Bldg">'[276]Occ, Other Rev, Exp, Dispo'!$E$87</definedName>
    <definedName name="TAV_Land">'[276]Occ, Other Rev, Exp, Dispo'!$E$86</definedName>
    <definedName name="TAX">#REF!</definedName>
    <definedName name="Tax_Charge">'[63]2. Forecast Drivers'!$E$269:$S$269</definedName>
    <definedName name="Tax_Cred_Bal">'[63]2. Forecast Drivers'!$E$274:$S$274</definedName>
    <definedName name="Tax_Cred_Delta">'[63]2. Forecast Drivers'!$F$275:$S$275</definedName>
    <definedName name="TAX_DIFF">#REF!</definedName>
    <definedName name="Tax_Effect_Income">#REF!</definedName>
    <definedName name="Tax_Effect_Liabs">#REF!</definedName>
    <definedName name="Tax_Effect_RetEarn">#REF!</definedName>
    <definedName name="Tax_MAT">#REF!</definedName>
    <definedName name="Tax_Paid">'[63]2. Forecast Drivers'!$F$273:$S$273</definedName>
    <definedName name="TAX_PAS">#REF!</definedName>
    <definedName name="Tax_Rate" localSheetId="10">#REF!</definedName>
    <definedName name="Tax_Rate">#REF!</definedName>
    <definedName name="TaxAudAdd">[94]Masters!$C$24</definedName>
    <definedName name="TaxAuditDate">[94]Masters!$C$40</definedName>
    <definedName name="TAXCOMP">#REF!</definedName>
    <definedName name="TAXCOMP1">[45]FINAL!$A$10:$B$28</definedName>
    <definedName name="TaxCSTSalesArea">[102]Assumptions!#REF!</definedName>
    <definedName name="taxdepr">#REF!</definedName>
    <definedName name="TAXES">'[109]MN T.B.'!$N$67:$FM$8005</definedName>
    <definedName name="taxestable">[111]wwww!$E$67:$P$70</definedName>
    <definedName name="taxliab">#REF!</definedName>
    <definedName name="TaxLocalSalesArea">[102]Assumptions!#REF!</definedName>
    <definedName name="TaxPaid10">[162]Assumptions!$B$22</definedName>
    <definedName name="taxpayc">'[38]NOTES '!#REF!</definedName>
    <definedName name="taxpayp">'[38]NOTES '!#REF!</definedName>
    <definedName name="TaxRate11">[162]Assumptions!$B$20</definedName>
    <definedName name="Taxrate12">#REF!</definedName>
    <definedName name="TaxTV">10%</definedName>
    <definedName name="TaxVATSalesArea">[102]Assumptions!#REF!</definedName>
    <definedName name="taxworking">#REF!</definedName>
    <definedName name="TaxXL">5%</definedName>
    <definedName name="tb">#REF!</definedName>
    <definedName name="TB_data">[297]TB_data!$A$2:$I$1183</definedName>
    <definedName name="TB_Phil">'[298]phil-tb'!$A$1:$I$943</definedName>
    <definedName name="TBdata">#REF!</definedName>
    <definedName name="tbl_ProdInfo" hidden="1">#REF!</definedName>
    <definedName name="tbsep">#REF!</definedName>
    <definedName name="tbsep21">'[299]#REF'!$D$10:$J$751</definedName>
    <definedName name="TBTable">'[114]TB-Bud'!$A$11:$Y$133</definedName>
    <definedName name="TCS.AmtTCSClaimedThisYear">[39]DDT_TDS_TCS!$F$1540:$F$1542</definedName>
    <definedName name="td">#REF!</definedName>
    <definedName name="Tdg_Fin">#REF!</definedName>
    <definedName name="TDS">#REF!</definedName>
    <definedName name="TDS2.ClaimOutOfTotTDSOnAmtPaid">[39]DDT_TDS_TCS!$H$21:$H$1533</definedName>
    <definedName name="TDSCERTICATES">#REF!</definedName>
    <definedName name="TDSCR_FCSPV">#REF!</definedName>
    <definedName name="TECH1">#REF!</definedName>
    <definedName name="TECH2">#REF!</definedName>
    <definedName name="TECH3">#REF!</definedName>
    <definedName name="TECH4">#REF!</definedName>
    <definedName name="TECH5">#REF!</definedName>
    <definedName name="telecom">'[67]Cost Breakup Depreciation&amp; Tax'!$C$13</definedName>
    <definedName name="Telefonica__Spain">[87]List_ratios!#REF!</definedName>
    <definedName name="Telekom_Malaysia">[87]List_ratios!#REF!</definedName>
    <definedName name="Telephone">"eDoctor"</definedName>
    <definedName name="Telkom">[87]List_ratios!#REF!</definedName>
    <definedName name="Telstra">[87]List_ratios!#REF!</definedName>
    <definedName name="Temp" localSheetId="10">{"Client Name or Project Name"}</definedName>
    <definedName name="Temp">{"Client Name or Project Name"}</definedName>
    <definedName name="TEMPLATENUMBER1">[60]CRITERIA1!$B$32</definedName>
    <definedName name="TEMPLATESTYLE1">[60]CRITERIA1!$B$31</definedName>
    <definedName name="TEMPLATETYPE1">[60]CRITERIA1!$B$30</definedName>
    <definedName name="Ten">#REF!</definedName>
    <definedName name="Term_in_years">'[80]FITZ MORT 94'!$C$8</definedName>
    <definedName name="TERMDEBTS">#REF!</definedName>
    <definedName name="TERRYTOWEL">#REF!</definedName>
    <definedName name="test" localSheetId="10" hidden="1">{#N/A,#N/A,FALSE,"COVER1.XLS ";#N/A,#N/A,FALSE,"RACT1.XLS";#N/A,#N/A,FALSE,"RACT2.XLS";#N/A,#N/A,FALSE,"ECCMP";#N/A,#N/A,FALSE,"WELDER.XLS"}</definedName>
    <definedName name="test" hidden="1">{#N/A,#N/A,FALSE,"COVER1.XLS ";#N/A,#N/A,FALSE,"RACT1.XLS";#N/A,#N/A,FALSE,"RACT2.XLS";#N/A,#N/A,FALSE,"ECCMP";#N/A,#N/A,FALSE,"WELDER.XLS"}</definedName>
    <definedName name="TEST0" localSheetId="10">#REF!</definedName>
    <definedName name="TEST0">#REF!</definedName>
    <definedName name="TEST1" localSheetId="10">#REF!</definedName>
    <definedName name="TEST1">#REF!</definedName>
    <definedName name="TEST10" localSheetId="10">#REF!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61">#REF!</definedName>
    <definedName name="TEST62">#REF!</definedName>
    <definedName name="TEST63">#REF!</definedName>
    <definedName name="TEST64">#REF!</definedName>
    <definedName name="TEST65">#REF!</definedName>
    <definedName name="TEST66">#REF!</definedName>
    <definedName name="TEST67">#REF!</definedName>
    <definedName name="TEST68">#REF!</definedName>
    <definedName name="TEST69">#REF!</definedName>
    <definedName name="TEST7">#REF!</definedName>
    <definedName name="TEST70">#REF!</definedName>
    <definedName name="TEST71">#REF!</definedName>
    <definedName name="TEST72">#REF!</definedName>
    <definedName name="TEST73">#REF!</definedName>
    <definedName name="TEST74">#REF!</definedName>
    <definedName name="TEST75">#REF!</definedName>
    <definedName name="TEST76">#REF!</definedName>
    <definedName name="TEST77">#REF!</definedName>
    <definedName name="TEST78">#REF!</definedName>
    <definedName name="TEST79">#REF!</definedName>
    <definedName name="TEST8">#REF!</definedName>
    <definedName name="TEST80">#REF!</definedName>
    <definedName name="TEST81">#REF!</definedName>
    <definedName name="TEST82">#REF!</definedName>
    <definedName name="TEST83">#REF!</definedName>
    <definedName name="TEST84">#REF!</definedName>
    <definedName name="TEST85">#REF!</definedName>
    <definedName name="TEST86">#REF!</definedName>
    <definedName name="TEST87">#REF!</definedName>
    <definedName name="TEST88">#REF!</definedName>
    <definedName name="TEST9">#REF!</definedName>
    <definedName name="TestAdd">"Test RefersTo1"</definedName>
    <definedName name="TESTHKEY" localSheetId="10">#REF!</definedName>
    <definedName name="TESTHKEY">#REF!</definedName>
    <definedName name="TESTKEYS" localSheetId="10">#REF!</definedName>
    <definedName name="TESTKEYS">#REF!</definedName>
    <definedName name="TESTVKEY" localSheetId="10">#REF!</definedName>
    <definedName name="TESTVKEY">#REF!</definedName>
    <definedName name="Text">#REF!</definedName>
    <definedName name="text1">#REF!</definedName>
    <definedName name="TextRef">#REF!</definedName>
    <definedName name="TextRefCopy1" localSheetId="10">[300]BRS!#REF!</definedName>
    <definedName name="TextRefCopy1">#REF!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#N/A</definedName>
    <definedName name="TextRefCopy106">#N/A</definedName>
    <definedName name="TextRefCopy107" localSheetId="10">TextRefCopy49</definedName>
    <definedName name="TextRefCopy107">TextRefCopy49</definedName>
    <definedName name="TextRefCopy108">[2]Schedules!$E$146</definedName>
    <definedName name="TextRefCopy109" localSheetId="10">TextRefCopy50</definedName>
    <definedName name="TextRefCopy109">TextRefCopy50</definedName>
    <definedName name="TextRefCopy11">[2]Schedules!$E$62</definedName>
    <definedName name="TextRefCopy110">[2]Schedules!$E$149</definedName>
    <definedName name="TextRefCopy111">[2]Schedules!$E$159</definedName>
    <definedName name="TextRefCopy112">[2]Schedules!$E$160</definedName>
    <definedName name="TextRefCopy113">[2]Schedules!$E$161</definedName>
    <definedName name="TextRefCopy114" localSheetId="10">TextRefCopy113</definedName>
    <definedName name="TextRefCopy114">TextRefCopy113</definedName>
    <definedName name="TextRefCopy115" localSheetId="10">TextRefCopy113</definedName>
    <definedName name="TextRefCopy115">TextRefCopy113</definedName>
    <definedName name="TextRefCopy116">[2]Schedules!$E$162</definedName>
    <definedName name="TextRefCopy117">[2]Schedules!$E$163</definedName>
    <definedName name="TextRefCopy118">[2]Schedules!#REF!</definedName>
    <definedName name="TextRefCopy119">[2]Schedules!$E$164</definedName>
    <definedName name="TextRefCopy12">[2]Schedules!$E$91</definedName>
    <definedName name="TextRefCopy120">[2]Schedules!#REF!</definedName>
    <definedName name="TextRefCopy121">[2]Schedules!$E$165</definedName>
    <definedName name="TextRefCopy122">[2]Schedules!#REF!</definedName>
    <definedName name="TextRefCopy123" localSheetId="10">TextRefCopy122</definedName>
    <definedName name="TextRefCopy123">TextRefCopy122</definedName>
    <definedName name="TextRefCopy124" localSheetId="10">TextRefCopy122</definedName>
    <definedName name="TextRefCopy124">TextRefCopy122</definedName>
    <definedName name="TextRefCopy125" localSheetId="10">TextRefCopy122</definedName>
    <definedName name="TextRefCopy125">TextRefCopy122</definedName>
    <definedName name="TextRefCopy126">[2]Schedules!$E$167</definedName>
    <definedName name="TextRefCopy127" localSheetId="10">TextRefCopy126</definedName>
    <definedName name="TextRefCopy127">TextRefCopy126</definedName>
    <definedName name="TextRefCopy128">[2]Schedules!#REF!</definedName>
    <definedName name="TextRefCopy129">#N/A</definedName>
    <definedName name="TextRefCopy13">'[301]FA Leadsheet &amp; Movement'!$L$36</definedName>
    <definedName name="TextRefCopy130">#N/A</definedName>
    <definedName name="TextRefCopy131" localSheetId="10">TextRefCopy60</definedName>
    <definedName name="TextRefCopy131">TextRefCopy60</definedName>
    <definedName name="TextRefCopy132" localSheetId="10">TextRefCopy60</definedName>
    <definedName name="TextRefCopy132">TextRefCopy60</definedName>
    <definedName name="TextRefCopy133" localSheetId="10">TextRefCopy111</definedName>
    <definedName name="TextRefCopy133">TextRefCopy111</definedName>
    <definedName name="TextRefCopy134" localSheetId="10">TextRefCopy112</definedName>
    <definedName name="TextRefCopy134">TextRefCopy112</definedName>
    <definedName name="TextRefCopy135" localSheetId="10">TextRefCopy117</definedName>
    <definedName name="TextRefCopy135">TextRefCopy117</definedName>
    <definedName name="TextRefCopy136" localSheetId="10">TextRefCopy117</definedName>
    <definedName name="TextRefCopy136">TextRefCopy117</definedName>
    <definedName name="TextRefCopy137" localSheetId="10">TextRefCopy117</definedName>
    <definedName name="TextRefCopy137">TextRefCopy117</definedName>
    <definedName name="TextRefCopy138" localSheetId="10">TextRefCopy121</definedName>
    <definedName name="TextRefCopy138">TextRefCopy121</definedName>
    <definedName name="TextRefCopy139" localSheetId="10">TextRefCopy121</definedName>
    <definedName name="TextRefCopy139">TextRefCopy121</definedName>
    <definedName name="TextRefCopy14" localSheetId="10">TextRefCopy11</definedName>
    <definedName name="TextRefCopy14">TextRefCopy11</definedName>
    <definedName name="TextRefCopy140" localSheetId="10">TextRefCopy128</definedName>
    <definedName name="TextRefCopy140">TextRefCopy128</definedName>
    <definedName name="TextRefCopy141">#N/A</definedName>
    <definedName name="TextRefCopy142">#N/A</definedName>
    <definedName name="TextRefCopy143" localSheetId="10">TextRefCopy42</definedName>
    <definedName name="TextRefCopy143">TextRefCopy42</definedName>
    <definedName name="TextRefCopy144" localSheetId="10">TextRefCopy113</definedName>
    <definedName name="TextRefCopy144">TextRefCopy113</definedName>
    <definedName name="TextRefCopy145" localSheetId="10">TextRefCopy60</definedName>
    <definedName name="TextRefCopy145">TextRefCopy60</definedName>
    <definedName name="TextRefCopy146" localSheetId="10">TextRefCopy113</definedName>
    <definedName name="TextRefCopy146">TextRefCopy113</definedName>
    <definedName name="TextRefCopy147">#REF!</definedName>
    <definedName name="TextRefCopy148" localSheetId="10">TextRefCopy55</definedName>
    <definedName name="TextRefCopy148">TextRefCopy55</definedName>
    <definedName name="TextRefCopy149" localSheetId="10">TextRefCopy116</definedName>
    <definedName name="TextRefCopy149">TextRefCopy116</definedName>
    <definedName name="TextRefCopy15">'[2]Balance Sheet'!$E$31</definedName>
    <definedName name="TextRefCopy150">#N/A</definedName>
    <definedName name="TextRefCopy151">#N/A</definedName>
    <definedName name="TextRefCopy152">#N/A</definedName>
    <definedName name="TextRefCopy153">#N/A</definedName>
    <definedName name="TextRefCopy154">#N/A</definedName>
    <definedName name="TextRefCopy155">#N/A</definedName>
    <definedName name="TextRefCopy156">#N/A</definedName>
    <definedName name="TextRefCopy157">#N/A</definedName>
    <definedName name="TextRefCopy158" localSheetId="10">TextRefCopy48</definedName>
    <definedName name="TextRefCopy158">TextRefCopy48</definedName>
    <definedName name="TextRefCopy159" localSheetId="10">TextRefCopy49</definedName>
    <definedName name="TextRefCopy159">TextRefCopy49</definedName>
    <definedName name="TextRefCopy16" localSheetId="10">TextRefCopy11</definedName>
    <definedName name="TextRefCopy16">TextRefCopy11</definedName>
    <definedName name="TextRefCopy160" localSheetId="10">TextRefCopy108</definedName>
    <definedName name="TextRefCopy160">TextRefCopy108</definedName>
    <definedName name="TextRefCopy161" localSheetId="10">TextRefCopy50</definedName>
    <definedName name="TextRefCopy161">TextRefCopy50</definedName>
    <definedName name="TextRefCopy162" localSheetId="10">TextRefCopy110</definedName>
    <definedName name="TextRefCopy162">TextRefCopy110</definedName>
    <definedName name="TextRefCopy163" localSheetId="10">TextRefCopy51</definedName>
    <definedName name="TextRefCopy163">TextRefCopy51</definedName>
    <definedName name="TextRefCopy164" localSheetId="10">TextRefCopy52</definedName>
    <definedName name="TextRefCopy164">TextRefCopy52</definedName>
    <definedName name="TextRefCopy165" localSheetId="10">TextRefCopy54</definedName>
    <definedName name="TextRefCopy165">TextRefCopy54</definedName>
    <definedName name="TextRefCopy166" localSheetId="10">TextRefCopy55</definedName>
    <definedName name="TextRefCopy166">TextRefCopy55</definedName>
    <definedName name="TextRefCopy167" localSheetId="10">TextRefCopy56</definedName>
    <definedName name="TextRefCopy167">TextRefCopy56</definedName>
    <definedName name="TextRefCopy168" localSheetId="10">TextRefCopy56</definedName>
    <definedName name="TextRefCopy168">TextRefCopy56</definedName>
    <definedName name="TextRefCopy169" localSheetId="10">TextRefCopy57</definedName>
    <definedName name="TextRefCopy169">TextRefCopy57</definedName>
    <definedName name="TextRefCopy17">'[301]FA Leadsheet &amp; Movement'!$L$49</definedName>
    <definedName name="TextRefCopy170" localSheetId="10">TextRefCopy58</definedName>
    <definedName name="TextRefCopy170">TextRefCopy58</definedName>
    <definedName name="TextRefCopy171" localSheetId="10">TextRefCopy111</definedName>
    <definedName name="TextRefCopy171">TextRefCopy111</definedName>
    <definedName name="TextRefCopy172" localSheetId="10">TextRefCopy112</definedName>
    <definedName name="TextRefCopy172">TextRefCopy112</definedName>
    <definedName name="TextRefCopy173" localSheetId="10">TextRefCopy113</definedName>
    <definedName name="TextRefCopy173">TextRefCopy113</definedName>
    <definedName name="TextRefCopy174" localSheetId="10">TextRefCopy116</definedName>
    <definedName name="TextRefCopy174">TextRefCopy116</definedName>
    <definedName name="TextRefCopy175" localSheetId="10">TextRefCopy117</definedName>
    <definedName name="TextRefCopy175">TextRefCopy117</definedName>
    <definedName name="TextRefCopy176" localSheetId="10">TextRefCopy119</definedName>
    <definedName name="TextRefCopy176">TextRefCopy119</definedName>
    <definedName name="TextRefCopy177" localSheetId="10">TextRefCopy121</definedName>
    <definedName name="TextRefCopy177">TextRefCopy121</definedName>
    <definedName name="TextRefCopy179" localSheetId="10">TextRefCopy126</definedName>
    <definedName name="TextRefCopy179">TextRefCopy126</definedName>
    <definedName name="TextRefCopy18" localSheetId="10">TextRefCopy15</definedName>
    <definedName name="TextRefCopy18">TextRefCopy15</definedName>
    <definedName name="TextRefCopy180" localSheetId="10">TextRefCopy19</definedName>
    <definedName name="TextRefCopy180">TextRefCopy19</definedName>
    <definedName name="TextRefCopy181" localSheetId="10">TextRefCopy23</definedName>
    <definedName name="TextRefCopy181">TextRefCopy23</definedName>
    <definedName name="TextRefCopy182" localSheetId="10">TextRefCopy21</definedName>
    <definedName name="TextRefCopy182">TextRefCopy21</definedName>
    <definedName name="TextRefCopy183" localSheetId="10">TextRefCopy21</definedName>
    <definedName name="TextRefCopy183">TextRefCopy21</definedName>
    <definedName name="TextRefCopy184" localSheetId="10">TextRefCopy19</definedName>
    <definedName name="TextRefCopy184">TextRefCopy19</definedName>
    <definedName name="TextRefCopy185" localSheetId="10">TextRefCopy23</definedName>
    <definedName name="TextRefCopy185">TextRefCopy23</definedName>
    <definedName name="TextRefCopy186" localSheetId="10">TextRefCopy21</definedName>
    <definedName name="TextRefCopy186">TextRefCopy21</definedName>
    <definedName name="TextRefCopy187" localSheetId="10">TextRefCopy23</definedName>
    <definedName name="TextRefCopy187">TextRefCopy23</definedName>
    <definedName name="TextRefCopy188" localSheetId="10">TextRefCopy24</definedName>
    <definedName name="TextRefCopy188">TextRefCopy24</definedName>
    <definedName name="TextRefCopy189" localSheetId="10">TextRefCopy61</definedName>
    <definedName name="TextRefCopy189">TextRefCopy61</definedName>
    <definedName name="TextRefCopy19">[2]Schedules!$D$99</definedName>
    <definedName name="TextRefCopy190" localSheetId="10">TextRefCopy78</definedName>
    <definedName name="TextRefCopy190">TextRefCopy78</definedName>
    <definedName name="TextRefCopy191">'[2]Balance Sheet'!$E$33</definedName>
    <definedName name="TextRefCopy192" localSheetId="10">TextRefCopy12</definedName>
    <definedName name="TextRefCopy192">TextRefCopy12</definedName>
    <definedName name="TextRefCopy193" localSheetId="10">TextRefCopy96</definedName>
    <definedName name="TextRefCopy193">TextRefCopy96</definedName>
    <definedName name="TextRefCopy194" localSheetId="10">TextRefCopy9</definedName>
    <definedName name="TextRefCopy194">TextRefCopy9</definedName>
    <definedName name="TextRefCopy195" localSheetId="10">TextRefCopy95</definedName>
    <definedName name="TextRefCopy195">TextRefCopy95</definedName>
    <definedName name="TextRefCopy196" localSheetId="10">TextRefCopy8</definedName>
    <definedName name="TextRefCopy196">TextRefCopy8</definedName>
    <definedName name="TextRefCopy197" localSheetId="10">TextRefCopy191</definedName>
    <definedName name="TextRefCopy197">TextRefCopy191</definedName>
    <definedName name="TextRefCopy198">[2]Schedules!#REF!</definedName>
    <definedName name="TextRefCopy2" localSheetId="10">#REF!</definedName>
    <definedName name="TextRefCopy2">#REF!</definedName>
    <definedName name="TextRefCopy20">[2]Schedules!#REF!</definedName>
    <definedName name="TextRefCopy21">[2]Schedules!$D$102</definedName>
    <definedName name="TextRefCopy22" localSheetId="10">TextRefCopy21</definedName>
    <definedName name="TextRefCopy22">TextRefCopy21</definedName>
    <definedName name="TextRefCopy23">[2]Schedules!$D$100</definedName>
    <definedName name="TextRefCopy24">[2]Schedules!$D$106</definedName>
    <definedName name="TextRefCopy25">#REF!</definedName>
    <definedName name="TextRefCopy26">#REF!</definedName>
    <definedName name="TextRefCopy27">#REF!</definedName>
    <definedName name="TextRefCopy28">#REF!</definedName>
    <definedName name="TextRefCopy29">#REF!</definedName>
    <definedName name="TextRefCopy3">#N/A</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#N/A</definedName>
    <definedName name="TextRefCopy40">#REF!</definedName>
    <definedName name="TextRefCopy41">#REF!</definedName>
    <definedName name="TextRefCopy42">[2]Schedules!#REF!</definedName>
    <definedName name="TextRefCopy43">#REF!</definedName>
    <definedName name="TextRefCopy44">#REF!</definedName>
    <definedName name="TextRefCopy45">#REF!</definedName>
    <definedName name="TextRefCopy46">#REF!</definedName>
    <definedName name="TextRefCopy47">#N/A</definedName>
    <definedName name="TextRefCopy48">[2]Schedules!$E$142</definedName>
    <definedName name="TextRefCopy49">[2]Schedules!$E$144</definedName>
    <definedName name="TextRefCopy5">[302]Tax!#REF!</definedName>
    <definedName name="TextRefCopy50">[2]Schedules!$E$148</definedName>
    <definedName name="TextRefCopy51">[2]Schedules!$E$151</definedName>
    <definedName name="TextRefCopy52">[2]Schedules!$E$152</definedName>
    <definedName name="TextRefCopy53" localSheetId="10">TextRefCopy52</definedName>
    <definedName name="TextRefCopy53">TextRefCopy52</definedName>
    <definedName name="TextRefCopy54">[2]Schedules!$E$153</definedName>
    <definedName name="TextRefCopy55">[2]Schedules!$E$154</definedName>
    <definedName name="TextRefCopy56">[2]Schedules!$E$156</definedName>
    <definedName name="TextRefCopy57">[2]Schedules!$E$157</definedName>
    <definedName name="TextRefCopy58">[2]Schedules!$E$158</definedName>
    <definedName name="TextRefCopy59">[2]Schedules!#REF!</definedName>
    <definedName name="TextRefCopy6" localSheetId="10">#REF!</definedName>
    <definedName name="TextRefCopy6">[2]Schedules!#REF!</definedName>
    <definedName name="TextRefCopy60">[2]Schedules!#REF!</definedName>
    <definedName name="TextRefCopy61">'[2]Profit &amp; Loss'!$E$23</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 localSheetId="10">#REF!</definedName>
    <definedName name="TextRefCopy7">[302]Tax!#REF!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#N/A</definedName>
    <definedName name="TextRefCopy77" localSheetId="10">TextRefCopy28</definedName>
    <definedName name="TextRefCopy77">TextRefCopy28</definedName>
    <definedName name="TextRefCopy78">'[2]Balance Sheet'!$E$25</definedName>
    <definedName name="TextRefCopy79" localSheetId="10">TextRefCopy78</definedName>
    <definedName name="TextRefCopy79">TextRefCopy78</definedName>
    <definedName name="TextRefCopy8">[2]Schedules!$E$89</definedName>
    <definedName name="TextRefCopy80">'[2]Balance Sheet'!$F$40</definedName>
    <definedName name="TextRefCopy81" localSheetId="10">TextRefCopy80</definedName>
    <definedName name="TextRefCopy81">TextRefCopy80</definedName>
    <definedName name="TextRefCopy82" localSheetId="10">TextRefCopy80</definedName>
    <definedName name="TextRefCopy82">TextRefCopy80</definedName>
    <definedName name="TextRefCopy83">'[2]Profit &amp; Loss'!$E$22</definedName>
    <definedName name="TextRefCopy84">#REF!</definedName>
    <definedName name="TextRefCopy85">#REF!</definedName>
    <definedName name="TextRefCopy86">#REF!</definedName>
    <definedName name="TextRefCopy87" localSheetId="10">TextRefCopy61</definedName>
    <definedName name="TextRefCopy87">TextRefCopy61</definedName>
    <definedName name="TextRefCopy88" localSheetId="10">TextRefCopy19</definedName>
    <definedName name="TextRefCopy88">TextRefCopy19</definedName>
    <definedName name="TextRefCopy89" localSheetId="10">TextRefCopy23</definedName>
    <definedName name="TextRefCopy89">TextRefCopy23</definedName>
    <definedName name="TextRefCopy9">[2]Schedules!$E$87</definedName>
    <definedName name="TextRefCopy90" localSheetId="10">TextRefCopy21</definedName>
    <definedName name="TextRefCopy90">TextRefCopy21</definedName>
    <definedName name="TextRefCopy91" localSheetId="10">TextRefCopy24</definedName>
    <definedName name="TextRefCopy91">TextRefCopy24</definedName>
    <definedName name="TextRefCopy92" localSheetId="10">TextRefCopy24</definedName>
    <definedName name="TextRefCopy92">TextRefCopy24</definedName>
    <definedName name="TextRefCopy93" localSheetId="10">TextRefCopy9</definedName>
    <definedName name="TextRefCopy93">TextRefCopy9</definedName>
    <definedName name="TextRefCopy94" localSheetId="10">TextRefCopy8</definedName>
    <definedName name="TextRefCopy94">TextRefCopy8</definedName>
    <definedName name="TextRefCopy95">[2]Schedules!$E$88</definedName>
    <definedName name="TextRefCopy96">[2]Schedules!$E$85</definedName>
    <definedName name="TextRefCopy97" localSheetId="10">TextRefCopy9</definedName>
    <definedName name="TextRefCopy97">TextRefCopy9</definedName>
    <definedName name="TextRefCopy98">#REF!</definedName>
    <definedName name="TextRefCopy99">#REF!</definedName>
    <definedName name="TextRefCopyRangeCount" localSheetId="10" hidden="1">1</definedName>
    <definedName name="TextRefCopyRangeCount" hidden="1">104</definedName>
    <definedName name="TEXTURISING">#REF!</definedName>
    <definedName name="tfcq1">#REF!</definedName>
    <definedName name="tfcq2">#REF!</definedName>
    <definedName name="tfcq3">#REF!</definedName>
    <definedName name="tfcq4">#REF!</definedName>
    <definedName name="Tg_1">0</definedName>
    <definedName name="Tgt">#REF!</definedName>
    <definedName name="THAI_PLASTIC_in_KUSD">#REF!</definedName>
    <definedName name="This_year_Bsheet">#REF!</definedName>
    <definedName name="This_Year_Profit_Loss">#REF!</definedName>
    <definedName name="ThisYear">[121]Summary!#REF!</definedName>
    <definedName name="thousand">1000</definedName>
    <definedName name="THREE">'[197]CAPITAL (2)'!#REF!</definedName>
    <definedName name="ThreeCD">#REF!</definedName>
    <definedName name="Threshold" localSheetId="10">'[59]Excess Calc'!#REF!</definedName>
    <definedName name="Threshold">#REF!</definedName>
    <definedName name="THRESOLD">[39]SI!$M$11</definedName>
    <definedName name="TI">[39]Calculator!$M$5</definedName>
    <definedName name="ticker">#REF!</definedName>
    <definedName name="Time_Period">#REF!</definedName>
    <definedName name="TimeSheetOnProjects">#REF!</definedName>
    <definedName name="title">#REF!</definedName>
    <definedName name="TL">[56]Facility!#REF!</definedName>
    <definedName name="tlpandm">#REF!</definedName>
    <definedName name="tlplantmach">#REF!</definedName>
    <definedName name="TLT">#REF!</definedName>
    <definedName name="TMTable">'[114]TM-Bud'!$A$11:$Y$133</definedName>
    <definedName name="tohuda">'[67]Cost Breakup Depreciation&amp; Tax'!$C$30</definedName>
    <definedName name="TOL">#N/A</definedName>
    <definedName name="TOLC">[226]海外WORK!#REF!</definedName>
    <definedName name="Tolerance">0.0025</definedName>
    <definedName name="Toll_Growth">#REF!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T">#REF!</definedName>
    <definedName name="Tot_knw_Xfoot">#REF!</definedName>
    <definedName name="Tot_lik_Xfoot">#REF!</definedName>
    <definedName name="Total">[303]CBS!$L$1</definedName>
    <definedName name="Total___US">'[233]BS Rec Control Sheet'!#REF!</definedName>
    <definedName name="total_A">#REF!</definedName>
    <definedName name="Total_Amount">[18]CMA_Calculations!$D$125</definedName>
    <definedName name="total_B">#REF!</definedName>
    <definedName name="total_budget">#REF!</definedName>
    <definedName name="total_C">#REF!</definedName>
    <definedName name="Total_Interest">#REF!</definedName>
    <definedName name="Total_Pay">#REF!</definedName>
    <definedName name="Total_payments" localSheetId="10">[0]!Payments_per_year*[0]!Term_in_years</definedName>
    <definedName name="Total_payments">[0]!Payments_per_year*[0]!Term_in_years</definedName>
    <definedName name="TotalAssets" localSheetId="10">CapitalEmployed+CurrentLiab</definedName>
    <definedName name="TotalAssets">CapitalEmployed+CurrentLiab</definedName>
    <definedName name="TotalBalance">[121]Summary!#REF!</definedName>
    <definedName name="TotalDebt" localSheetId="10">LongTermDebt+ShortTermDebt+CurrentPortion</definedName>
    <definedName name="TotalDebt">LongTermDebt+ShortTermDebt+CurrentPortion</definedName>
    <definedName name="TOTALINCOME">#REF!</definedName>
    <definedName name="TotalLocal">#REF!</definedName>
    <definedName name="TotalLossSum_R">[121]Rollup!#REF!</definedName>
    <definedName name="totalmiscecharge">'[112]Capex-fixed'!#REF!</definedName>
    <definedName name="totalmv97">#REF!</definedName>
    <definedName name="TotalRoE10">[162]Assumptions!$B$23</definedName>
    <definedName name="TOTALS_1998">#REF!</definedName>
    <definedName name="TotalUSD">#REF!</definedName>
    <definedName name="TotData">#REF!</definedName>
    <definedName name="Totdebt">[87]List_ratios!#REF!</definedName>
    <definedName name="tothpincome">'[39]CYLA BFLA'!$O$11</definedName>
    <definedName name="tothploss">'[39]CYLA BFLA'!$P$11</definedName>
    <definedName name="totofbfloss.BusLossOthThanSpecLossCF8">[39]CFL!$F$11</definedName>
    <definedName name="totofbfloss.HPLossCF8">[39]CFL!$E$11</definedName>
    <definedName name="totofbfloss.LossFrmSpecBusCF8">[39]CFL!$G$11</definedName>
    <definedName name="totofbfloss.LossFrmSpecifiedBusCF8">[39]CFL!$H$11</definedName>
    <definedName name="totofbfloss.LTCGLossCF8">[39]CFL!$J$11</definedName>
    <definedName name="totofbfloss.OthSrcLossNotRaceHorseCF8">[39]CFL!$K$11</definedName>
    <definedName name="totofbfloss.OthSrcLossRaceHorseCF8">[39]CFL!$L$11</definedName>
    <definedName name="totofbfloss.STCGLossCF8">[39]CFL!$I$11</definedName>
    <definedName name="totpay">'[167]EMPLOYEE DESOSIT RECEIVED'!$C$345</definedName>
    <definedName name="totslot_ext">'[112]Capex-fixed'!#REF!</definedName>
    <definedName name="totsum">'[175]DSM checkbook'!$A$21:$M$68</definedName>
    <definedName name="totusincome">[39]Calculator!$V$15</definedName>
    <definedName name="totusratio">[39]Calculator!$W$15</definedName>
    <definedName name="tour">[131]tb!$G$540:$O$669</definedName>
    <definedName name="TPC">'[67]Cost Breakup Depreciation&amp; Tax'!$C$41</definedName>
    <definedName name="TPC_Copy">#REF!</definedName>
    <definedName name="TPC_Copy1">#REF!</definedName>
    <definedName name="TPC_Orig">#REF!</definedName>
    <definedName name="TPC_Orig1">#REF!</definedName>
    <definedName name="TPNL">#REF!</definedName>
    <definedName name="TPS">[113]TPS!$A$1:$N$68</definedName>
    <definedName name="TPSA__Poland">[87]List_ratios!#REF!</definedName>
    <definedName name="tr" localSheetId="10" hidden="1">{#N/A,#N/A,FALSE,"COVER.XLS";#N/A,#N/A,FALSE,"RACT1.XLS";#N/A,#N/A,FALSE,"RACT2.XLS";#N/A,#N/A,FALSE,"ECCMP";#N/A,#N/A,FALSE,"WELDER.XLS"}</definedName>
    <definedName name="tr" hidden="1">{#N/A,#N/A,FALSE,"COVER.XLS";#N/A,#N/A,FALSE,"RACT1.XLS";#N/A,#N/A,FALSE,"RACT2.XLS";#N/A,#N/A,FALSE,"ECCMP";#N/A,#N/A,FALSE,"WELDER.XLS"}</definedName>
    <definedName name="TR.RelfClaimed90">[39]TR_FA!$F$8:$F$12</definedName>
    <definedName name="TR.RelfClaimed90GTotal">[39]TR_FA!$F$13</definedName>
    <definedName name="TR.RelfClaimed91">[39]TR_FA!$G$8:$G$12</definedName>
    <definedName name="TR.RelfClaimed91GTotal">[39]TR_FA!$G$13</definedName>
    <definedName name="TR.TaxesPaidGTotal">[39]TR_FA!$E$13</definedName>
    <definedName name="TR.TotalTaxesPaid">[39]TR_FA!$E$8:$E$12</definedName>
    <definedName name="TR.TotalTaxesPaidOutIndia">[39]TR_FA!$G$16</definedName>
    <definedName name="TR.TotalTaxesPaidOutIndiaDTAAAppli">[39]TR_FA!$G$17</definedName>
    <definedName name="track">'[67]Cost Breakup Depreciation&amp; Tax'!$C$11</definedName>
    <definedName name="TRAD">#REF!</definedName>
    <definedName name="TradCred">'[63]2. Forecast Drivers'!$E$51:$S$51</definedName>
    <definedName name="TradDebt">'[63]2. Forecast Drivers'!$E$48:$S$48</definedName>
    <definedName name="Traffic">#REF!</definedName>
    <definedName name="Traffic_Growth">#REF!</definedName>
    <definedName name="trafficgrowthyr1">#REF!</definedName>
    <definedName name="trafficgrowthyr2">#REF!</definedName>
    <definedName name="trafficgrowthyr3">#REF!</definedName>
    <definedName name="trafficgrowthyr4">#REF!</definedName>
    <definedName name="trafficgrowthyr5onwards">#REF!</definedName>
    <definedName name="Translation">'[63]2. Forecast Drivers'!$E$242:$S$242</definedName>
    <definedName name="Transportation">[62]Assumptions!$D$60</definedName>
    <definedName name="Transportation_Base">#REF!</definedName>
    <definedName name="Transportation_SEN">#REF!</definedName>
    <definedName name="TRAVEL">#REF!</definedName>
    <definedName name="trcompay">[131]tb!$G$756:$O$802</definedName>
    <definedName name="treeList" hidden="1">"10000000000000000000000000000000000000000000000000000000000000000000000000000000000000000000000000000000000000000000000000000000000000000000000000000000000000000000000000000000000000000000000000000000"</definedName>
    <definedName name="trenchingcost">'[112]Capex-fixed'!#REF!</definedName>
    <definedName name="TRIA">#REF!</definedName>
    <definedName name="TRIAL">#REF!</definedName>
    <definedName name="Trianglelosspercent">#REF!</definedName>
    <definedName name="tripping">#REF!</definedName>
    <definedName name="try">[304]InputPO_Del!#REF!</definedName>
    <definedName name="tt"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tt"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ttl_dscnt">#REF!</definedName>
    <definedName name="ttt">#REF!</definedName>
    <definedName name="ttttt" localSheetId="10"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ttt"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wac">'[84]Core Assumptions'!$E$219</definedName>
    <definedName name="TWNo">'[84]Core Assumptions'!$E$218</definedName>
    <definedName name="TXN_Calc">[39]Calculator!$D$17</definedName>
    <definedName name="tyu">'[112]Capex-fixed'!#REF!</definedName>
    <definedName name="TZEN">#REF!</definedName>
    <definedName name="U">#REF!</definedName>
    <definedName name="U30a57">#REF!</definedName>
    <definedName name="UD.AmtDepCurYr">[39]UD!$D$4:$D$12</definedName>
    <definedName name="UD.Balance">[39]UD!$F$4:$F$12</definedName>
    <definedName name="UD.BF">[39]UD!$C$4:$C$12</definedName>
    <definedName name="UD.Setoff">[39]UD!$E$4:$E$12</definedName>
    <definedName name="UER">#REF!</definedName>
    <definedName name="uio">'[112]Capex-fixed'!#REF!</definedName>
    <definedName name="ukdata">#REF!</definedName>
    <definedName name="uma" localSheetId="10" hidden="1">{#N/A,#N/A,FALSE,"COVER1.XLS ";#N/A,#N/A,FALSE,"RACT1.XLS";#N/A,#N/A,FALSE,"RACT2.XLS";#N/A,#N/A,FALSE,"ECCMP";#N/A,#N/A,FALSE,"WELDER.XLS"}</definedName>
    <definedName name="uma" hidden="1">{#N/A,#N/A,FALSE,"COVER1.XLS ";#N/A,#N/A,FALSE,"RACT1.XLS";#N/A,#N/A,FALSE,"RACT2.XLS";#N/A,#N/A,FALSE,"ECCMP";#N/A,#N/A,FALSE,"WELDER.XLS"}</definedName>
    <definedName name="unit" localSheetId="10">[305]Input!$D$385</definedName>
    <definedName name="Unit">#REF!</definedName>
    <definedName name="Unit_label">'[63]2. Forecast Drivers'!$D$331</definedName>
    <definedName name="uNIT1">#REF!</definedName>
    <definedName name="uNIT2">#REF!</definedName>
    <definedName name="uNIT3">#REF!</definedName>
    <definedName name="Units">'[63]2. Forecast Drivers'!$D$15</definedName>
    <definedName name="unitwise">#REF!</definedName>
    <definedName name="unsecured_Loans_99">#REF!</definedName>
    <definedName name="UOL">#REF!</definedName>
    <definedName name="up_p">[230]Macros!$D$10</definedName>
    <definedName name="Update">[77]Introduction!#REF!</definedName>
    <definedName name="upfp">'[82]Phasing+ Int'!$C$151</definedName>
    <definedName name="urban_kiosk_to">#REF!</definedName>
    <definedName name="urban_shop_TO">#REF!</definedName>
    <definedName name="Urbanpopulationpercentage">#REF!</definedName>
    <definedName name="usa2data">#REF!</definedName>
    <definedName name="UScompanies">#REF!</definedName>
    <definedName name="USD" localSheetId="10">#REF!</definedName>
    <definedName name="usd">#REF!</definedName>
    <definedName name="USD.A">#REF!</definedName>
    <definedName name="USD.E">#REF!</definedName>
    <definedName name="USD_B">#REF!</definedName>
    <definedName name="usd_esc">[82]Sensitivity!$E$12</definedName>
    <definedName name="USD_Rate">[306]KPIs!$AM$2</definedName>
    <definedName name="UseEPS">[126]Setting!#REF!</definedName>
    <definedName name="usincome">[39]Calculator!$Q$4</definedName>
    <definedName name="USNetCFDepJ1">[158]IRR!#REF!</definedName>
    <definedName name="USNetCFWODepJ1">[158]IRR!#REF!</definedName>
    <definedName name="usrNext1Period">#REF!</definedName>
    <definedName name="util">[215]Sensitivity!$F$15</definedName>
    <definedName name="utilitydiversion">'[67]Cost Breakup Depreciation&amp; Tax'!$C$22</definedName>
    <definedName name="uttam">#REF!</definedName>
    <definedName name="uuu">#REF!</definedName>
    <definedName name="V" localSheetId="10">#REF!</definedName>
    <definedName name="V">[234]rm9900!#REF!</definedName>
    <definedName name="V_Gawade">#REF!</definedName>
    <definedName name="vAARIANCE">'[233]BS Rec Control Sheet'!#REF!</definedName>
    <definedName name="Val_Date">'[63]2. Forecast Drivers'!$D$11</definedName>
    <definedName name="valid">#REF!</definedName>
    <definedName name="validationr1">[111]Validation!$C$27:$O$27,[111]Validation!$D$22:$O$22,[111]Validation!$C$17:$O$17,[111]Validation!$D$10:$O$10</definedName>
    <definedName name="ValidClass">'[155]Dont Alter'!$B$3:$B$15</definedName>
    <definedName name="VALTHSALA">#REF!</definedName>
    <definedName name="value">3</definedName>
    <definedName name="values">'[307]Determination of Threshold'!$B$3,'[307]Determination of Threshold'!$B$4,'[307]Determination of Threshold'!$B$15</definedName>
    <definedName name="Values_Entered" localSheetId="10">IF(Loan_Amount*'Depreciation Schedule'!Interest_Rate*Loan_Years*Loan_Start&gt;0,1,0)</definedName>
    <definedName name="Values_Entered">#N/A</definedName>
    <definedName name="ValuesBSA">[307]BS!$B$2:$O$3,[307]BS!$B$7:$O$13,[307]BS!$C$16:$O$17,[307]BS!$B$20:$O$20,[307]BS!$B$35:$O$37,[307]BS!$B$55:$O$55</definedName>
    <definedName name="ValuesBSL">#REF!,[307]BS!$C$24:$O$28,#REF!,#REF!,[307]BS!$B$42:$O$44</definedName>
    <definedName name="ValuesChecks">'[307]Checks &amp; Inputs'!$C$16:$O$17,'[307]Checks &amp; Inputs'!$B$2</definedName>
    <definedName name="ValueShort_R">[121]Rollup!#REF!</definedName>
    <definedName name="ValuesIS">[307]IS!$B$2:$N$4,[307]IS!$B$7:$N$54,[307]IS!$B$60:$N$61,[307]IS!#REF!,[307]IS!$B$75:$N$75,[307]IS!#REF!,[307]IS!#REF!</definedName>
    <definedName name="VAR_1">#REF!</definedName>
    <definedName name="VAR_10">#REF!</definedName>
    <definedName name="VAR_11">#REF!</definedName>
    <definedName name="VAR_12">#REF!</definedName>
    <definedName name="VAR_13">#REF!</definedName>
    <definedName name="VAR_14">#REF!</definedName>
    <definedName name="VAR_15">#REF!</definedName>
    <definedName name="VAR_16">#REF!</definedName>
    <definedName name="VAR_17">#REF!</definedName>
    <definedName name="VAR_18">#REF!</definedName>
    <definedName name="VAR_19">#REF!</definedName>
    <definedName name="VAR_2">#REF!</definedName>
    <definedName name="VAR_20">#REF!</definedName>
    <definedName name="VAR_21">#REF!</definedName>
    <definedName name="VAR_22">#REF!</definedName>
    <definedName name="VAR_23">#REF!</definedName>
    <definedName name="VAR_24">#REF!</definedName>
    <definedName name="VAR_25">#REF!</definedName>
    <definedName name="VAR_26">#REF!</definedName>
    <definedName name="VAR_27">#REF!</definedName>
    <definedName name="VAR_28">#REF!</definedName>
    <definedName name="VAR_29">#REF!</definedName>
    <definedName name="VAR_3">#REF!</definedName>
    <definedName name="VAR_30">#REF!</definedName>
    <definedName name="VAR_4">#REF!</definedName>
    <definedName name="VAR_5">#REF!</definedName>
    <definedName name="VAR_6">#REF!</definedName>
    <definedName name="VAR_7">#REF!</definedName>
    <definedName name="VAR_8">#REF!</definedName>
    <definedName name="VAR_9">#REF!</definedName>
    <definedName name="Var_IntRate">[161]Senstivity!$E$9</definedName>
    <definedName name="Var_IntRateP75">[161]Senstivity!$E$22</definedName>
    <definedName name="Var_ONM">[161]Senstivity!$E$8</definedName>
    <definedName name="Var_ONMP75">[161]Senstivity!$E$21</definedName>
    <definedName name="var_P75">[161]Senstivity!$E$17</definedName>
    <definedName name="Var_PLF">[161]Senstivity!$E$7</definedName>
    <definedName name="Var_PLFP75">[161]Senstivity!$E$20</definedName>
    <definedName name="Var_Tariff">[161]Senstivity!$E$6</definedName>
    <definedName name="Var_TariffP75">[161]Senstivity!$E$19</definedName>
    <definedName name="Variance">#REF!</definedName>
    <definedName name="VarIntRate">[161]Senstivity!$F$9</definedName>
    <definedName name="varioustaxes">[308]wwww!$C$59:$C$62</definedName>
    <definedName name="VarONM">[161]Senstivity!$F$8</definedName>
    <definedName name="VarPLF">[161]Senstivity!$F$7</definedName>
    <definedName name="VarTariff">[161]Senstivity!$F$6</definedName>
    <definedName name="VB">[56]PAP!#REF!</definedName>
    <definedName name="vdfv">[309]Setting!$I$11</definedName>
    <definedName name="Ve_1">0</definedName>
    <definedName name="Ve_2">0</definedName>
    <definedName name="VEH">#REF!</definedName>
    <definedName name="venu">150</definedName>
    <definedName name="versionno">1</definedName>
    <definedName name="vg">[257]Assumptions!#REF!</definedName>
    <definedName name="VIA.Section80GGA">'[39]80_'!$G$43</definedName>
    <definedName name="VIA.Section80GGC">'[39]80_'!$G$45</definedName>
    <definedName name="VIA.Section80IA">'[39]80_'!$G$46</definedName>
    <definedName name="VIA.Section80IAB">'[39]80_'!$G$47</definedName>
    <definedName name="VIA.Section80IB">'[39]80_'!$G$48</definedName>
    <definedName name="VIA.Section80IC">'[39]80_'!$G$49</definedName>
    <definedName name="VIA.Section80ID">'[39]80_'!$G$50</definedName>
    <definedName name="VIA.Section80JJA">'[39]80_'!$G$51</definedName>
    <definedName name="VIA.Section80JJAA">'[39]80_'!$G$52</definedName>
    <definedName name="VIA.Section80LA">'[39]80_'!$G$54</definedName>
    <definedName name="VIA.SectionGGB">'[39]80_'!$G$44</definedName>
    <definedName name="VIA.TotalChapVIADeductions">'[39]80_'!$G$55</definedName>
    <definedName name="viaduct">'[67]Cost Breakup Depreciation&amp; Tax'!$C$4</definedName>
    <definedName name="VINOD_GAWADE">#REF!</definedName>
    <definedName name="vip" hidden="1">#REF!</definedName>
    <definedName name="vital5">'[134]Customize Your Invoice'!$E$15</definedName>
    <definedName name="Vivek">#REF!</definedName>
    <definedName name="vjsfnzxb.xcv">#REF!</definedName>
    <definedName name="VLSI">#REF!</definedName>
    <definedName name="VLSIsum">#REF!</definedName>
    <definedName name="VOLUME">#REF!</definedName>
    <definedName name="vv" localSheetId="10" hidden="1">{#N/A,#N/A,TRUE,"Sheet1"}</definedName>
    <definedName name="vv" hidden="1">{#N/A,#N/A,TRUE,"Sheet1"}</definedName>
    <definedName name="w" localSheetId="10"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 hidden="1">'[265]SCH 10'!#REF!</definedName>
    <definedName name="w_1">[39]Calculator!$P$3</definedName>
    <definedName name="w_14">[39]Calculator!$P$1</definedName>
    <definedName name="w_4">[39]Calculator!$P$2</definedName>
    <definedName name="w1deductions">[39]Calculator!$O$3</definedName>
    <definedName name="WACC">'[63]2. Forecast Drivers'!$F$223:$AD$223</definedName>
    <definedName name="wacc97">#REF!</definedName>
    <definedName name="WACCF">'[63]2. Forecast Drivers'!$O$223</definedName>
    <definedName name="wages">#REF!</definedName>
    <definedName name="Waiting">"Picture 1"</definedName>
    <definedName name="Warehouses">#REF!</definedName>
    <definedName name="WC_Bal">'[63]2. Forecast Drivers'!$E$59:$S$59</definedName>
    <definedName name="WC_Delta">'[63]2. Forecast Drivers'!$E$60:$Z$60</definedName>
    <definedName name="wcap">#REF!</definedName>
    <definedName name="WDV">#REF!</definedName>
    <definedName name="wdvadditionalhead1">#REF!</definedName>
    <definedName name="wdvadditionalhead2">#REF!</definedName>
    <definedName name="wdvcivil">#REF!</definedName>
    <definedName name="wdvduct">#REF!</definedName>
    <definedName name="wdvelectro">#REF!</definedName>
    <definedName name="wdvutilities">#REF!</definedName>
    <definedName name="we" localSheetId="10">MATCH(0.01,End_Bal,-1)+1</definedName>
    <definedName name="we">MATCH(0.01,End_Bal,-1)+1</definedName>
    <definedName name="WebPercent">[102]Assumptions!#REF!</definedName>
    <definedName name="WEEK_1A">#REF!</definedName>
    <definedName name="WEEK_1B">#REF!</definedName>
    <definedName name="WEEK_2A">#REF!</definedName>
    <definedName name="WEEK_2B">#REF!</definedName>
    <definedName name="wer">'[112]Capex-fixed'!#REF!</definedName>
    <definedName name="WG">#N/A</definedName>
    <definedName name="WGJDFHJ">#REF!</definedName>
    <definedName name="wgn.bsall." localSheetId="10" hidden="1">{"bs",#N/A,FALSE,"BS";"pl",#N/A,FALSE,"PL";"res",#N/A,FALSE,"S.CAP,RES";"loans",#N/A,FALSE,"Loans";"inv",#N/A,FALSE,"C.Assets";"fa",#N/A,FALSE,"F.Assets";"ca",#N/A,FALSE,"C.Assets";"cl",#N/A,FALSE,"CL,Sales,Income";"ovh",#N/A,FALSE,"OVH"}</definedName>
    <definedName name="wgn.bsall." hidden="1">{"bs",#N/A,FALSE,"BS";"pl",#N/A,FALSE,"PL";"res",#N/A,FALSE,"S.CAP,RES";"loans",#N/A,FALSE,"Loans";"inv",#N/A,FALSE,"C.Assets";"fa",#N/A,FALSE,"F.Assets";"ca",#N/A,FALSE,"C.Assets";"cl",#N/A,FALSE,"CL,Sales,Income";"ovh",#N/A,FALSE,"OVH"}</definedName>
    <definedName name="wkgs_admin.exp">#REF!</definedName>
    <definedName name="wkgs_adv.dir.mktg">#REF!</definedName>
    <definedName name="wkgs_adv.ele.media">#REF!</definedName>
    <definedName name="wkgs_adv.eqp.sub">#REF!</definedName>
    <definedName name="wkgs_adv.ose.bill">#REF!</definedName>
    <definedName name="wkgs_adv.ose.cc">#REF!</definedName>
    <definedName name="wkgs_adv.ose.conv">#REF!</definedName>
    <definedName name="wkgs_adv.ose.trg">#REF!</definedName>
    <definedName name="wkgs_adv.ose.tvlg">#REF!</definedName>
    <definedName name="wkgs_adv.outdoor.media">#REF!</definedName>
    <definedName name="wkgs_adv.pr">#REF!</definedName>
    <definedName name="wkgs_adv.prn.media">#REF!</definedName>
    <definedName name="wkgs_adv.prntg">#REF!</definedName>
    <definedName name="wkgs_adv.snd.caf">#REF!</definedName>
    <definedName name="wkgs_adv.snd.cl.ent">#REF!</definedName>
    <definedName name="wkgs_adv.snd.log">#REF!</definedName>
    <definedName name="wkgs_adv.snd.mr">#REF!</definedName>
    <definedName name="wkgs_adv.snd.osf">#REF!</definedName>
    <definedName name="wkgs_amc.costs">#REF!</definedName>
    <definedName name="wkgs_bw.dia">#REF!</definedName>
    <definedName name="wkgs_bw.dua">[310]data.exp!#REF!</definedName>
    <definedName name="wkgs_bw.ipvpn">[310]data.exp!#REF!</definedName>
    <definedName name="wkgs_bw.ll">#REF!</definedName>
    <definedName name="wkgs_bw.vc">[310]data.exp!#REF!</definedName>
    <definedName name="wkgs_fault.repairs">#REF!</definedName>
    <definedName name="wkgs_hiring.charges.vehicles">#REF!</definedName>
    <definedName name="wkgs_ic.costs">#REF!</definedName>
    <definedName name="wkgs_nw.admin.exp">#REF!</definedName>
    <definedName name="wkgs_nw.salaries">#REF!</definedName>
    <definedName name="wkgs_power.costs">#REF!</definedName>
    <definedName name="wkgs_route.surveillance">#REF!</definedName>
    <definedName name="wkgs_splicevan.running">#REF!</definedName>
    <definedName name="Work_C">[311]Names!$A$2:$A$15</definedName>
    <definedName name="Working">#REF!</definedName>
    <definedName name="Working_capital_Rate_of_Interest_for_FY_10_11">[98]Assumption_PwC!$C$116</definedName>
    <definedName name="working2">#REF!</definedName>
    <definedName name="workingdays">#REF!</definedName>
    <definedName name="WorkingDaysPerYear">[100]Assumptions!#REF!</definedName>
    <definedName name="Workings">#REF!</definedName>
    <definedName name="WORKINGS1">#REF!</definedName>
    <definedName name="WORKINGS2">#REF!</definedName>
    <definedName name="WORKINGS3">#REF!</definedName>
    <definedName name="WorkstationCostPerUserPerYear">[102]Assumptions!#REF!</definedName>
    <definedName name="wr" localSheetId="10" hidden="1">{#N/A,#N/A,FALSE,"17MAY";#N/A,#N/A,FALSE,"24MAY"}</definedName>
    <definedName name="wr" hidden="1">{#N/A,#N/A,FALSE,"17MAY";#N/A,#N/A,FALSE,"24MAY"}</definedName>
    <definedName name="WRI" localSheetId="10" hidden="1">{#N/A,#N/A,FALSE,"COMP"}</definedName>
    <definedName name="WRI" hidden="1">{#N/A,#N/A,FALSE,"COMP"}</definedName>
    <definedName name="wrn" localSheetId="10"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1." localSheetId="10" hidden="1">{#N/A,#N/A,FALSE,"17MAY";#N/A,#N/A,FALSE,"24MAY"}</definedName>
    <definedName name="wrn.1." hidden="1">{#N/A,#N/A,FALSE,"17MAY";#N/A,#N/A,FALSE,"24MAY"}</definedName>
    <definedName name="wrn.2." localSheetId="10" hidden="1">{#N/A,#N/A,TRUE,"Sheet1"}</definedName>
    <definedName name="wrn.2." hidden="1">{#N/A,#N/A,TRUE,"Sheet1"}</definedName>
    <definedName name="wrn.2.2" localSheetId="10" hidden="1">{#N/A,#N/A,FALSE,"17MAY";#N/A,#N/A,FALSE,"24MAY"}</definedName>
    <definedName name="wrn.2.2" hidden="1">{#N/A,#N/A,FALSE,"17MAY";#N/A,#N/A,FALSE,"24MAY"}</definedName>
    <definedName name="wrn.Aging" localSheetId="10"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_.Reports." localSheetId="1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Belgium_Total." localSheetId="10" hidden="1">{"Belgium_Total",#N/A,FALSE,"Belg Wksheet"}</definedName>
    <definedName name="wrn.Belgium_Total." hidden="1">{"Belgium_Total",#N/A,FALSE,"Belg Wksheet"}</definedName>
    <definedName name="wrn.BelgSummary." localSheetId="10" hidden="1">{"BelgSummary",#N/A,FALSE,"Belg Summary"}</definedName>
    <definedName name="wrn.BelgSummary." hidden="1">{"BelgSummary",#N/A,FALSE,"Belg Summary"}</definedName>
    <definedName name="wrn.Book." localSheetId="10" hidden="1">{"EVA",#N/A,FALSE,"SMT2";#N/A,#N/A,FALSE,"Summary";#N/A,#N/A,FALSE,"Graphs";#N/A,#N/A,FALSE,"4 Panel"}</definedName>
    <definedName name="wrn.Book." hidden="1">{"EVA",#N/A,FALSE,"SMT2";#N/A,#N/A,FALSE,"Summary";#N/A,#N/A,FALSE,"Graphs";#N/A,#N/A,FALSE,"4 Panel"}</definedName>
    <definedName name="wrn.bs1." localSheetId="10" hidden="1">{"bs",#N/A,FALSE,"BS";"pl",#N/A,FALSE,"PL"}</definedName>
    <definedName name="wrn.bs1." hidden="1">{"bs",#N/A,FALSE,"BS";"pl",#N/A,FALSE,"PL"}</definedName>
    <definedName name="wrn.bs2" localSheetId="10" hidden="1">{"bs",#N/A,FALSE,"BS";"pl",#N/A,FALSE,"PL"}</definedName>
    <definedName name="wrn.bs2" hidden="1">{"bs",#N/A,FALSE,"BS";"pl",#N/A,FALSE,"PL"}</definedName>
    <definedName name="wrn.bsall." localSheetId="10" hidden="1">{"bs",#N/A,FALSE,"BS";"pl",#N/A,FALSE,"PL";"res",#N/A,FALSE,"S.CAP,RES";"loans",#N/A,FALSE,"Loans";"inv",#N/A,FALSE,"C.Assets";"fa",#N/A,FALSE,"F.Assets";"ca",#N/A,FALSE,"C.Assets";"cl",#N/A,FALSE,"CL,Sales,Income";"ovh",#N/A,FALSE,"OVH"}</definedName>
    <definedName name="wrn.bsall." hidden="1">{"bs",#N/A,FALSE,"BS";"pl",#N/A,FALSE,"PL";"res",#N/A,FALSE,"S.CAP,RES";"loans",#N/A,FALSE,"Loans";"inv",#N/A,FALSE,"C.Assets";"fa",#N/A,FALSE,"F.Assets";"ca",#N/A,FALSE,"C.Assets";"cl",#N/A,FALSE,"CL,Sales,Income";"ovh",#N/A,FALSE,"OVH"}</definedName>
    <definedName name="wrn.BSPL." localSheetId="10" hidden="1">{"BS",#N/A,FALSE,"Accounts2002 New";"PL",#N/A,FALSE,"Accounts2002 New"}</definedName>
    <definedName name="wrn.BSPL." hidden="1">{"BS",#N/A,FALSE,"Accounts2002 New";"PL",#N/A,FALSE,"Accounts2002 New"}</definedName>
    <definedName name="wrn.Complete." localSheetId="10" hidden="1">{#N/A,#N/A,FALSE,"SMT1";#N/A,#N/A,FALSE,"SMT2";#N/A,#N/A,FALSE,"Summary";#N/A,#N/A,FALSE,"Graphs";#N/A,#N/A,FALSE,"4 Panel"}</definedName>
    <definedName name="wrn.Complete." hidden="1">{#N/A,#N/A,FALSE,"SMT1";#N/A,#N/A,FALSE,"SMT2";#N/A,#N/A,FALSE,"Summary";#N/A,#N/A,FALSE,"Graphs";#N/A,#N/A,FALSE,"4 Panel"}</definedName>
    <definedName name="wrn.Complete._.Set." localSheetId="10"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consumable." localSheetId="10" hidden="1">{#N/A,#N/A,FALSE,"consu_cover";#N/A,#N/A,FALSE,"consu_strategy";#N/A,#N/A,FALSE,"consu_flow";#N/A,#N/A,FALSE,"Summary_reqmt";#N/A,#N/A,FALSE,"field_ppg";#N/A,#N/A,FALSE,"ppg_shop";#N/A,#N/A,FALSE,"strl";#N/A,#N/A,FALSE,"tankages";#N/A,#N/A,FALSE,"gases"}</definedName>
    <definedName name="wrn.consumable." hidden="1">{#N/A,#N/A,FALSE,"consu_cover";#N/A,#N/A,FALSE,"consu_strategy";#N/A,#N/A,FALSE,"consu_flow";#N/A,#N/A,FALSE,"Summary_reqmt";#N/A,#N/A,FALSE,"field_ppg";#N/A,#N/A,FALSE,"ppg_shop";#N/A,#N/A,FALSE,"strl";#N/A,#N/A,FALSE,"tankages";#N/A,#N/A,FALSE,"gases"}</definedName>
    <definedName name="wrn.Country._.Summary." localSheetId="10" hidden="1">{"Summary",#N/A,FALSE,"Country Summary"}</definedName>
    <definedName name="wrn.Country._.Summary." hidden="1">{"Summary",#N/A,FALSE,"Country Summary"}</definedName>
    <definedName name="wrn.Country._.Worksheet." localSheetId="10" hidden="1">{"WkSheet",#N/A,FALSE,"Country Wksheet"}</definedName>
    <definedName name="wrn.Country._.Worksheet." hidden="1">{"WkSheet",#N/A,FALSE,"Country Wksheet"}</definedName>
    <definedName name="wrn.elect." localSheetId="10"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elect."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final." localSheetId="1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wrn.final."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wrn.Financials._.April._.02._.Rs._.000." localSheetId="1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cials._.April._.02._.Rs._.00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CIALS._.MAR._.01." localSheetId="10" hidden="1">{"PG1",#N/A,FALSE,"SSL-FIN";"PG2",#N/A,FALSE,"SSL-FIN";"PG3",#N/A,FALSE,"SSL-FIN";"PG4",#N/A,FALSE,"SSL-FIN";"PG5",#N/A,FALSE,"SSL-FIN";"PG6",#N/A,FALSE,"SSL-FIN";"PG7",#N/A,FALSE,"SSL-FIN"}</definedName>
    <definedName name="wrn.FINANCIALS._.MAR._.01." hidden="1">{"PG1",#N/A,FALSE,"SSL-FIN";"PG2",#N/A,FALSE,"SSL-FIN";"PG3",#N/A,FALSE,"SSL-FIN";"PG4",#N/A,FALSE,"SSL-FIN";"PG5",#N/A,FALSE,"SSL-FIN";"PG6",#N/A,FALSE,"SSL-FIN";"PG7",#N/A,FALSE,"SSL-FIN"}</definedName>
    <definedName name="wrn.Food._.Packaging." localSheetId="10" hidden="1">{#N/A,#N/A,TRUE,"Cover";#N/A,#N/A,TRUE,"Results-Summ";#N/A,#N/A,TRUE,"Top10-FP";#N/A,#N/A,TRUE,"3MthFor";#N/A,#N/A,TRUE,"Bus-Dev";#N/A,#N/A,TRUE,"Top5-Dai";#N/A,#N/A,TRUE,"Top5-ICR";#N/A,#N/A,TRUE,"Top5-EFats";#N/A,#N/A,TRUE,"Top5-OP"}</definedName>
    <definedName name="wrn.Food._.Packaging." hidden="1">{#N/A,#N/A,TRUE,"Cover";#N/A,#N/A,TRUE,"Results-Summ";#N/A,#N/A,TRUE,"Top10-FP";#N/A,#N/A,TRUE,"3MthFor";#N/A,#N/A,TRUE,"Bus-Dev";#N/A,#N/A,TRUE,"Top5-Dai";#N/A,#N/A,TRUE,"Top5-ICR";#N/A,#N/A,TRUE,"Top5-EFats";#N/A,#N/A,TRUE,"Top5-OP"}</definedName>
    <definedName name="wrn.Food._.Service." localSheetId="10" hidden="1">{#N/A,#N/A,TRUE,"Cover";#N/A,#N/A,TRUE,"Results-Summ";#N/A,#N/A,TRUE,"Top10-FS";#N/A,#N/A,TRUE,"Top10-TP";#N/A,#N/A,TRUE,"3MthFor";#N/A,#N/A,TRUE,"Bus-Dev";#N/A,#N/A,TRUE,"Top10-Cat";#N/A,#N/A,TRUE,"Top10-Con";#N/A,#N/A,TRUE,"Top10-QSR";#N/A,#N/A,TRUE,"Top10-RM";#N/A,#N/A,TRUE,"Top10-FrF"}</definedName>
    <definedName name="wrn.Food._.Service." hidden="1">{#N/A,#N/A,TRUE,"Cover";#N/A,#N/A,TRUE,"Results-Summ";#N/A,#N/A,TRUE,"Top10-FS";#N/A,#N/A,TRUE,"Top10-TP";#N/A,#N/A,TRUE,"3MthFor";#N/A,#N/A,TRUE,"Bus-Dev";#N/A,#N/A,TRUE,"Top10-Cat";#N/A,#N/A,TRUE,"Top10-Con";#N/A,#N/A,TRUE,"Top10-QSR";#N/A,#N/A,TRUE,"Top10-RM";#N/A,#N/A,TRUE,"Top10-FrF"}</definedName>
    <definedName name="wrn.FORM1." localSheetId="10" hidden="1">{#N/A,#N/A,FALSE,"COMP"}</definedName>
    <definedName name="wrn.FORM1." hidden="1">{#N/A,#N/A,FALSE,"COMP"}</definedName>
    <definedName name="wrn.full." localSheetId="10" hidden="1">{#N/A,#N/A,FALSE,"Cover";#N/A,#N/A,FALSE,"Pres ";#N/A,#N/A,FALSE,"Outputs";#N/A,#N/A,FALSE,"Sensit";#N/A,#N/A,FALSE,"DCF ";#N/A,#N/A,FALSE,"Graphs";#N/A,#N/A,FALSE,"CFS";#N/A,#N/A,FALSE,"BS";#N/A,#N/A,FALSE,"PL";#N/A,#N/A,FALSE,"Control (In)";#N/A,#N/A,FALSE,"Broker (In)";#N/A,#N/A,FALSE,"In-House (In)";#N/A,#N/A,FALSE,"Assumptions";#N/A,#N/A,FALSE,"WACC";#N/A,#N/A,FALSE,"Check"}</definedName>
    <definedName name="wrn.full." hidden="1">{#N/A,#N/A,FALSE,"Cover";#N/A,#N/A,FALSE,"Pres ";#N/A,#N/A,FALSE,"Outputs";#N/A,#N/A,FALSE,"Sensit";#N/A,#N/A,FALSE,"DCF ";#N/A,#N/A,FALSE,"Graphs";#N/A,#N/A,FALSE,"CFS";#N/A,#N/A,FALSE,"BS";#N/A,#N/A,FALSE,"PL";#N/A,#N/A,FALSE,"Control (In)";#N/A,#N/A,FALSE,"Broker (In)";#N/A,#N/A,FALSE,"In-House (In)";#N/A,#N/A,FALSE,"Assumptions";#N/A,#N/A,FALSE,"WACC";#N/A,#N/A,FALSE,"Check"}</definedName>
    <definedName name="wrn.Full._.Financials." localSheetId="10" hidden="1">{#N/A,#N/A,TRUE,"Financials";#N/A,#N/A,TRUE,"Operating Statistics";#N/A,#N/A,TRUE,"Capex &amp; Depreciation";#N/A,#N/A,TRUE,"Debt"}</definedName>
    <definedName name="wrn.Full._.Financials." hidden="1">{#N/A,#N/A,TRUE,"Financials";#N/A,#N/A,TRUE,"Operating Statistics";#N/A,#N/A,TRUE,"Capex &amp; Depreciation";#N/A,#N/A,TRUE,"Debt"}</definedName>
    <definedName name="wrn.imprim." localSheetId="1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MDS1." localSheetId="1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One._.Pager._.plus._.Technicals." localSheetId="10" hidden="1">{#N/A,#N/A,FALSE,"One Pager";#N/A,#N/A,FALSE,"Technical"}</definedName>
    <definedName name="wrn.One._.Pager._.plus._.Technicals." hidden="1">{#N/A,#N/A,FALSE,"One Pager";#N/A,#N/A,FALSE,"Technical"}</definedName>
    <definedName name="wrn.P98." localSheetId="10"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wrn.P98."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wrn.piping." localSheetId="1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p97schedules." localSheetId="10" hidden="1">{"plansummary",#N/A,FALSE,"PlanSummary";"sales",#N/A,FALSE,"Sales Rec";"productivity",#N/A,FALSE,"Productivity Rec";"capitalspending",#N/A,FALSE,"Capital Spending"}</definedName>
    <definedName name="wrn.pp97schedules." hidden="1">{"plansummary",#N/A,FALSE,"PlanSummary";"sales",#N/A,FALSE,"Sales Rec";"productivity",#N/A,FALSE,"Productivity Rec";"capitalspending",#N/A,FALSE,"Capital Spending"}</definedName>
    <definedName name="wrn.Print." localSheetId="10" hidden="1">{"scenario",#N/A,FALSE,"Scenarios";"IS",#N/A,FALSE,"IS";"BS",#N/A,FALSE,"BS";"CFS",#N/A,FALSE,"CFS";"Tax",#N/A,FALSE,"Tax";"Debt",#N/A,FALSE,"Debt";"VAS",#N/A,FALSE,"VAS_Rev";"EFS",#N/A,FALSE,"EFS";"EDI",#N/A,FALSE,"EDI";"MMS",#N/A,FALSE,"MMS";"Intra",#N/A,FALSE,"Intranet";"FA",#N/A,FALSE,"Fix_Assets";"PSTN",#N/A,FALSE,"PSTN_Lines";"PreOp",#N/A,FALSE,"Pre-Op";"InterExp",#N/A,FALSE,"Int'l_Exp";"Propcost",#N/A,FALSE,"PROP_COST";"LLCost",#N/A,FALSE,"LL_Cost";"NetCost",#N/A,FALSE,"Inet_Conn";"Phase1",#N/A,FALSE,"Phase1";"Srvrcost",#N/A,FALSE,"SRV_Cost";"DCF",#N/A,FALSE,"DCF";"DCFCO",#N/A,FALSE,"DCF_CO"}</definedName>
    <definedName name="wrn.Print." hidden="1">{"scenario",#N/A,FALSE,"Scenarios";"IS",#N/A,FALSE,"IS";"BS",#N/A,FALSE,"BS";"CFS",#N/A,FALSE,"CFS";"Tax",#N/A,FALSE,"Tax";"Debt",#N/A,FALSE,"Debt";"VAS",#N/A,FALSE,"VAS_Rev";"EFS",#N/A,FALSE,"EFS";"EDI",#N/A,FALSE,"EDI";"MMS",#N/A,FALSE,"MMS";"Intra",#N/A,FALSE,"Intranet";"FA",#N/A,FALSE,"Fix_Assets";"PSTN",#N/A,FALSE,"PSTN_Lines";"PreOp",#N/A,FALSE,"Pre-Op";"InterExp",#N/A,FALSE,"Int'l_Exp";"Propcost",#N/A,FALSE,"PROP_COST";"LLCost",#N/A,FALSE,"LL_Cost";"NetCost",#N/A,FALSE,"Inet_Conn";"Phase1",#N/A,FALSE,"Phase1";"Srvrcost",#N/A,FALSE,"SRV_Cost";"DCF",#N/A,FALSE,"DCF";"DCFCO",#N/A,FALSE,"DCF_CO"}</definedName>
    <definedName name="wrn.Print._.All._.A4." localSheetId="10"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1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10"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10"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PrintAll." localSheetId="10"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intAll."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intShort." localSheetId="10" hidden="1">{"scenario",#N/A,FALSE,"Scenarios";"IS",#N/A,FALSE,"IS";"BS",#N/A,FALSE,"BS";"CFS",#N/A,FALSE,"CFS";"Intra",#N/A,FALSE,"Intranet";"MMS",#N/A,FALSE,"MMS";"EDI",#N/A,FALSE,"EDI";"EFS",#N/A,FALSE,"EFS";"DCF",#N/A,FALSE,"DCF";"Tax",#N/A,FALSE,"Tax";"Debt",#N/A,FALSE,"Debt";"VAS",#N/A,FALSE,"VAS_Rev";"FA",#N/A,FALSE,"Fix_Assets";"Summary",#N/A,FALSE,"SUMMARY"}</definedName>
    <definedName name="wrn.PrintShort." hidden="1">{"scenario",#N/A,FALSE,"Scenarios";"IS",#N/A,FALSE,"IS";"BS",#N/A,FALSE,"BS";"CFS",#N/A,FALSE,"CFS";"Intra",#N/A,FALSE,"Intranet";"MMS",#N/A,FALSE,"MMS";"EDI",#N/A,FALSE,"EDI";"EFS",#N/A,FALSE,"EFS";"DCF",#N/A,FALSE,"DCF";"Tax",#N/A,FALSE,"Tax";"Debt",#N/A,FALSE,"Debt";"VAS",#N/A,FALSE,"VAS_Rev";"FA",#N/A,FALSE,"Fix_Assets";"Summary",#N/A,FALSE,"SUMMARY"}</definedName>
    <definedName name="wrn.RCC." localSheetId="10" hidden="1">{#N/A,#N/A,FALSE,"RCC_cover";#N/A,#N/A,FALSE,"philoshophy";#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CC." hidden="1">{#N/A,#N/A,FALSE,"RCC_cover";#N/A,#N/A,FALSE,"philoshophy";#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eport." localSheetId="10" hidden="1">{#N/A,#N/A,FALSE,"COVER.XLS";#N/A,#N/A,FALSE,"RACT1.XLS";#N/A,#N/A,FALSE,"RACT2.XLS";#N/A,#N/A,FALSE,"ECCMP";#N/A,#N/A,FALSE,"WELDER.XLS"}</definedName>
    <definedName name="wrn.report." hidden="1">{#N/A,#N/A,FALSE,"COVER.XLS";#N/A,#N/A,FALSE,"RACT1.XLS";#N/A,#N/A,FALSE,"RACT2.XLS";#N/A,#N/A,FALSE,"ECCMP";#N/A,#N/A,FALSE,"WELDER.XLS"}</definedName>
    <definedName name="wrn.report1" localSheetId="10" hidden="1">{#N/A,#N/A,FALSE,"COVER.XLS";#N/A,#N/A,FALSE,"RACT1.XLS";#N/A,#N/A,FALSE,"RACT2.XLS";#N/A,#N/A,FALSE,"ECCMP";#N/A,#N/A,FALSE,"WELDER.XLS"}</definedName>
    <definedName name="wrn.report1" hidden="1">{#N/A,#N/A,FALSE,"COVER.XLS";#N/A,#N/A,FALSE,"RACT1.XLS";#N/A,#N/A,FALSE,"RACT2.XLS";#N/A,#N/A,FALSE,"ECCMP";#N/A,#N/A,FALSE,"WELDER.XLS"}</definedName>
    <definedName name="wrn.RPLINS." localSheetId="10" hidden="1">{#N/A,#N/A,FALSE,"str_title";#N/A,#N/A,FALSE,"SUM";#N/A,#N/A,FALSE,"Scope";#N/A,#N/A,FALSE,"PIE-Jn";#N/A,#N/A,FALSE,"PIE-Jn_Hz";#N/A,#N/A,FALSE,"Liq_Plan";#N/A,#N/A,FALSE,"S_Curve";#N/A,#N/A,FALSE,"Liq_Prof";#N/A,#N/A,FALSE,"Man_Pwr";#N/A,#N/A,FALSE,"Man_Prof"}</definedName>
    <definedName name="wrn.RPLINS." hidden="1">{#N/A,#N/A,FALSE,"str_title";#N/A,#N/A,FALSE,"SUM";#N/A,#N/A,FALSE,"Scope";#N/A,#N/A,FALSE,"PIE-Jn";#N/A,#N/A,FALSE,"PIE-Jn_Hz";#N/A,#N/A,FALSE,"Liq_Plan";#N/A,#N/A,FALSE,"S_Curve";#N/A,#N/A,FALSE,"Liq_Prof";#N/A,#N/A,FALSE,"Man_Pwr";#N/A,#N/A,FALSE,"Man_Prof"}</definedName>
    <definedName name="wrn.Schedules." localSheetId="10" hidden="1">{"S 1 2",#N/A,FALSE,"Accounts2002 New";"S 3 4",#N/A,FALSE,"Accounts2002 New";"S 6 7 8",#N/A,FALSE,"Accounts2002 New";"S 9 10 11 12 13",#N/A,FALSE,"Accounts2002 New";"S 14 15 16 17",#N/A,FALSE,"Accounts2002 New";"S 18 19",#N/A,FALSE,"Accounts2002 New"}</definedName>
    <definedName name="wrn.Schedules." hidden="1">{"S 1 2",#N/A,FALSE,"Accounts2002 New";"S 3 4",#N/A,FALSE,"Accounts2002 New";"S 6 7 8",#N/A,FALSE,"Accounts2002 New";"S 9 10 11 12 13",#N/A,FALSE,"Accounts2002 New";"S 14 15 16 17",#N/A,FALSE,"Accounts2002 New";"S 18 19",#N/A,FALSE,"Accounts2002 New"}</definedName>
    <definedName name="wrn.Staff._.cost1998." localSheetId="10" hidden="1">{#N/A,#N/A,TRUE,"Staffnos &amp; cost"}</definedName>
    <definedName name="wrn.Staff._.cost1998." hidden="1">{#N/A,#N/A,TRUE,"Staffnos &amp; cost"}</definedName>
    <definedName name="wrn.Staffcost." localSheetId="10" hidden="1">{#N/A,#N/A,FALSE,"Staffnos &amp; cost"}</definedName>
    <definedName name="wrn.Staffcost." hidden="1">{#N/A,#N/A,FALSE,"Staffnos &amp; cost"}</definedName>
    <definedName name="wrn.summ1" localSheetId="10" hidden="1">{#N/A,#N/A,FALSE,"COVER1.XLS ";#N/A,#N/A,FALSE,"RACT1.XLS";#N/A,#N/A,FALSE,"RACT2.XLS";#N/A,#N/A,FALSE,"ECCMP";#N/A,#N/A,FALSE,"WELDER.XLS"}</definedName>
    <definedName name="wrn.summ1" hidden="1">{#N/A,#N/A,FALSE,"COVER1.XLS ";#N/A,#N/A,FALSE,"RACT1.XLS";#N/A,#N/A,FALSE,"RACT2.XLS";#N/A,#N/A,FALSE,"ECCMP";#N/A,#N/A,FALSE,"WELDER.XLS"}</definedName>
    <definedName name="wrn.summary." localSheetId="10" hidden="1">{#N/A,#N/A,FALSE,"COVER1.XLS ";#N/A,#N/A,FALSE,"RACT1.XLS";#N/A,#N/A,FALSE,"RACT2.XLS";#N/A,#N/A,FALSE,"ECCMP";#N/A,#N/A,FALSE,"WELDER.XLS"}</definedName>
    <definedName name="wrn.summary." hidden="1">{#N/A,#N/A,FALSE,"COVER1.XLS ";#N/A,#N/A,FALSE,"RACT1.XLS";#N/A,#N/A,FALSE,"RACT2.XLS";#N/A,#N/A,FALSE,"ECCMP";#N/A,#N/A,FALSE,"WELDER.XLS"}</definedName>
    <definedName name="wrn.Tier._.I." localSheetId="10" hidden="1">{#N/A,#N/A,FALSE,"Part ABC"}</definedName>
    <definedName name="wrn.Tier._.I." hidden="1">{#N/A,#N/A,FALSE,"Part ABC"}</definedName>
    <definedName name="wrn.TRAVELLING." localSheetId="10" hidden="1">{#N/A,#N/A,FALSE,"Sheet3"}</definedName>
    <definedName name="wrn.TRAVELLING." hidden="1">{#N/A,#N/A,FALSE,"Sheet3"}</definedName>
    <definedName name="WRN0" localSheetId="10" hidden="1">{#N/A,#N/A,FALSE,"COVER1.XLS ";#N/A,#N/A,FALSE,"RACT1.XLS";#N/A,#N/A,FALSE,"RACT2.XLS";#N/A,#N/A,FALSE,"ECCMP";#N/A,#N/A,FALSE,"WELDER.XLS"}</definedName>
    <definedName name="WRN0" hidden="1">{#N/A,#N/A,FALSE,"COVER1.XLS ";#N/A,#N/A,FALSE,"RACT1.XLS";#N/A,#N/A,FALSE,"RACT2.XLS";#N/A,#N/A,FALSE,"ECCMP";#N/A,#N/A,FALSE,"WELDER.XLS"}</definedName>
    <definedName name="WRTGHold">'[84]Core Assumptions'!$C$360</definedName>
    <definedName name="WRTGOGI">'[84]Core Assumptions'!$G$360</definedName>
    <definedName name="WRTMHold">'[84]Core Assumptions'!$C$359</definedName>
    <definedName name="WRTMOGI">'[84]Core Assumptions'!$G$359</definedName>
    <definedName name="WTTSPG">#REF!</definedName>
    <definedName name="wvu.BTP." localSheetId="10" hidden="1">{TRUE,TRUE,7.75,2.5,467.25,234,FALSE,TRUE,TRUE,TRUE,0,21,#N/A,70,#N/A,3.96551724137931,9.21428571428571,1,FALSE,FALSE,1,TRUE,1,FALSE,100,"Swvu.BTP.","ACwvu.BTP.",#N/A,FALSE,FALSE,0.5,0.75,0.5,0.5,2,"","",TRUE,TRUE,FALSE,FALSE,1,#N/A,1,1,"=R2C1:R75C2",FALSE,"Rwvu.BTP.",#N/A,FALSE,FALSE,FALSE,8,180,180,FALSE,FALSE,TRUE,TRUE,TRUE}</definedName>
    <definedName name="wvu.BTP." hidden="1">{TRUE,TRUE,7.75,2.5,467.25,234,FALSE,TRUE,TRUE,TRUE,0,21,#N/A,70,#N/A,3.96551724137931,9.21428571428571,1,FALSE,FALSE,1,TRUE,1,FALSE,100,"Swvu.BTP.","ACwvu.BTP.",#N/A,FALSE,FALSE,0.5,0.75,0.5,0.5,2,"","",TRUE,TRUE,FALSE,FALSE,1,#N/A,1,1,"=R2C1:R75C2",FALSE,"Rwvu.BTP.",#N/A,FALSE,FALSE,FALSE,8,180,180,FALSE,FALSE,TRUE,TRUE,TRUE}</definedName>
    <definedName name="wvu.KTP." localSheetId="10" hidden="1">{TRUE,TRUE,7.75,2.5,467.25,234,FALSE,TRUE,TRUE,TRUE,0,10,#N/A,73,#N/A,3.96551724137931,9.17857142857143,1,FALSE,FALSE,1,TRUE,1,FALSE,100,"Swvu.KTP.","ACwvu.KTP.",#N/A,FALSE,FALSE,0.5,0.75,0.5,0.5,2,"","",TRUE,TRUE,FALSE,FALSE,1,#N/A,1,1,"=R2C1:R75C2",FALSE,#N/A,#N/A,FALSE,FALSE,FALSE,8,180,180,FALSE,FALSE,TRUE,TRUE,TRUE}</definedName>
    <definedName name="wvu.KTP." hidden="1">{TRUE,TRUE,7.75,2.5,467.25,234,FALSE,TRUE,TRUE,TRUE,0,10,#N/A,73,#N/A,3.96551724137931,9.17857142857143,1,FALSE,FALSE,1,TRUE,1,FALSE,100,"Swvu.KTP.","ACwvu.KTP.",#N/A,FALSE,FALSE,0.5,0.75,0.5,0.5,2,"","",TRUE,TRUE,FALSE,FALSE,1,#N/A,1,1,"=R2C1:R75C2",FALSE,#N/A,#N/A,FALSE,FALSE,FALSE,8,180,180,FALSE,FALSE,TRUE,TRUE,TRUE}</definedName>
    <definedName name="wvu.TOTAL." localSheetId="10" hidden="1">{TRUE,TRUE,7.75,2.5,467.25,234,FALSE,TRUE,TRUE,TRUE,0,32,#N/A,69,#N/A,4.55555555555556,9.21428571428571,1,FALSE,FALSE,1,TRUE,1,FALSE,100,"Swvu.TOTAL.","ACwvu.TOTAL.",#N/A,FALSE,FALSE,0.5,0.75,0.5,0.5,2,"","",TRUE,TRUE,FALSE,FALSE,1,#N/A,1,1,"=R2C1:R75C2",FALSE,"Rwvu.TOTAL.",#N/A,FALSE,FALSE,FALSE,8,180,180,FALSE,FALSE,TRUE,TRUE,TRUE}</definedName>
    <definedName name="wvu.TOTAL." hidden="1">{TRUE,TRUE,7.75,2.5,467.25,234,FALSE,TRUE,TRUE,TRUE,0,32,#N/A,69,#N/A,4.55555555555556,9.21428571428571,1,FALSE,FALSE,1,TRUE,1,FALSE,100,"Swvu.TOTAL.","ACwvu.TOTAL.",#N/A,FALSE,FALSE,0.5,0.75,0.5,0.5,2,"","",TRUE,TRUE,FALSE,FALSE,1,#N/A,1,1,"=R2C1:R75C2",FALSE,"Rwvu.TOTAL.",#N/A,FALSE,FALSE,FALSE,8,180,180,FALSE,FALSE,TRUE,TRUE,TRUE}</definedName>
    <definedName name="ww" localSheetId="10" hidden="1">{#N/A,#N/A,FALSE,"COMP"}</definedName>
    <definedName name="ww" hidden="1">'[312]O Equip.'!#REF!</definedName>
    <definedName name="www" localSheetId="1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ww"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www" hidden="1">[313]SUMMARY!$E$36:$H$36</definedName>
    <definedName name="x">'[314]Pd 13, 1999 or Budget-Yr 2000'!#REF!</definedName>
    <definedName name="X1_">#REF!</definedName>
    <definedName name="X11__?___QUIT_">#REF!</definedName>
    <definedName name="xa" localSheetId="10" hidden="1">{#N/A,#N/A,FALSE,"Aging Summary";#N/A,#N/A,FALSE,"Ratio Analysis";#N/A,#N/A,FALSE,"Test 120 Day Accts";#N/A,#N/A,FALSE,"Tickmarks"}</definedName>
    <definedName name="xa" hidden="1">{#N/A,#N/A,FALSE,"Aging Summary";#N/A,#N/A,FALSE,"Ratio Analysis";#N/A,#N/A,FALSE,"Test 120 Day Accts";#N/A,#N/A,FALSE,"Tickmarks"}</definedName>
    <definedName name="xc">[315]Company!$J$16</definedName>
    <definedName name="XCtblkcntbdl">#REF!</definedName>
    <definedName name="xcxcxcc">#REF!</definedName>
    <definedName name="xcxvxv">'[212]04REL'!#REF!</definedName>
    <definedName name="xczczczc">#REF!</definedName>
    <definedName name="xczxzxz">#REF!,#REF!</definedName>
    <definedName name="xfzdsfzsf">#REF!</definedName>
    <definedName name="XRef" hidden="1">#REF!</definedName>
    <definedName name="XREF_11" hidden="1">[316]Summary!$J$1:$J$65536</definedName>
    <definedName name="XREF_13" hidden="1">[316]Additions!$T$1:$T$65536</definedName>
    <definedName name="XREF_COLUMN_1" localSheetId="10" hidden="1">#REF!</definedName>
    <definedName name="XREF_COLUMN_1" hidden="1">[317]blockwise!#REF!</definedName>
    <definedName name="XREF_COLUMN_10" localSheetId="10" hidden="1">#REF!</definedName>
    <definedName name="XREF_COLUMN_10" hidden="1">[312]DPE!#REF!</definedName>
    <definedName name="XREF_COLUMN_11" localSheetId="10" hidden="1">#REF!</definedName>
    <definedName name="XREF_COLUMN_11" hidden="1">[312]DPE!#REF!</definedName>
    <definedName name="XREF_COLUMN_12" localSheetId="10" hidden="1">#REF!</definedName>
    <definedName name="XREF_COLUMN_12" hidden="1">[312]DPE!#REF!</definedName>
    <definedName name="XREF_COLUMN_13" localSheetId="10" hidden="1">#REF!</definedName>
    <definedName name="XREF_COLUMN_13" hidden="1">[312]DPE!#REF!</definedName>
    <definedName name="XREF_COLUMN_14" localSheetId="10" hidden="1">#REF!</definedName>
    <definedName name="XREF_COLUMN_14" hidden="1">'[318]TL SBI'!#REF!</definedName>
    <definedName name="XREF_COLUMN_15" localSheetId="10" hidden="1">#REF!</definedName>
    <definedName name="XREF_COLUMN_15" hidden="1">'[318]DDB Summary wrking'!#REF!</definedName>
    <definedName name="XREF_COLUMN_16" localSheetId="10" hidden="1">#REF!</definedName>
    <definedName name="XREF_COLUMN_16" hidden="1">'[318]LOC 100cr ILFS'!#REF!</definedName>
    <definedName name="XREF_COLUMN_17" localSheetId="10" hidden="1">#REF!</definedName>
    <definedName name="XREF_COLUMN_17" hidden="1">[319]TopSheet!#REF!</definedName>
    <definedName name="XREF_COLUMN_18" localSheetId="10" hidden="1">#REF!</definedName>
    <definedName name="XREF_COLUMN_18" hidden="1">'[320]Leasehold mprovements'!#REF!</definedName>
    <definedName name="XREF_COLUMN_19" localSheetId="10" hidden="1">#REF!</definedName>
    <definedName name="XREF_COLUMN_19" hidden="1">[319]TopSheet!#REF!</definedName>
    <definedName name="XREF_COLUMN_2" localSheetId="10" hidden="1">#REF!</definedName>
    <definedName name="XREF_COLUMN_2" hidden="1">#REF!</definedName>
    <definedName name="XREF_COLUMN_20" localSheetId="10" hidden="1">#REF!</definedName>
    <definedName name="XREF_COLUMN_20" hidden="1">'[320]Leasehold mprovements'!#REF!</definedName>
    <definedName name="XREF_COLUMN_21" hidden="1">[321]Resignation!#REF!</definedName>
    <definedName name="XREF_COLUMN_22" hidden="1">[321]Resignation!#REF!</definedName>
    <definedName name="XREF_COLUMN_23" hidden="1">[321]Resignation!#REF!</definedName>
    <definedName name="XREF_COLUMN_24" hidden="1">[319]TopSheet!#REF!</definedName>
    <definedName name="XREF_COLUMN_25" hidden="1">[319]TopSheet!#REF!</definedName>
    <definedName name="XREF_COLUMN_26" hidden="1">[319]TopSheet!#REF!</definedName>
    <definedName name="XREF_COLUMN_27" hidden="1">[319]TopSheet!#REF!</definedName>
    <definedName name="XREF_COLUMN_28" hidden="1">[319]TopSheet!#REF!</definedName>
    <definedName name="XREF_COLUMN_29" hidden="1">[319]TopSheet!#REF!</definedName>
    <definedName name="XREF_COLUMN_3" localSheetId="10" hidden="1">#REF!</definedName>
    <definedName name="XREF_COLUMN_3" hidden="1">'[312]F &amp; F PY'!#REF!</definedName>
    <definedName name="XREF_COLUMN_30" hidden="1">[319]TopSheet!#REF!</definedName>
    <definedName name="XREF_COLUMN_31" hidden="1">[319]TopSheet!#REF!</definedName>
    <definedName name="XREF_COLUMN_32" hidden="1">#REF!</definedName>
    <definedName name="XREF_COLUMN_33" hidden="1">#REF!</definedName>
    <definedName name="XREF_COLUMN_4" hidden="1">#REF!</definedName>
    <definedName name="XREF_COLUMN_40" hidden="1">[319]TopSheet!#REF!</definedName>
    <definedName name="XREF_COLUMN_5" localSheetId="10" hidden="1">#REF!</definedName>
    <definedName name="XREF_COLUMN_5" hidden="1">#REF!</definedName>
    <definedName name="XREF_COLUMN_6" localSheetId="10" hidden="1">'[322]NETTING OFF-Mar-15'!#REF!</definedName>
    <definedName name="XREF_COLUMN_6" hidden="1">'[312]O Equip.'!#REF!</definedName>
    <definedName name="XREF_COLUMN_7" localSheetId="10" hidden="1">#REF!</definedName>
    <definedName name="XREF_COLUMN_7" hidden="1">'[312]O Equip.'!#REF!</definedName>
    <definedName name="XREF_COLUMN_8" localSheetId="10" hidden="1">#REF!</definedName>
    <definedName name="XREF_COLUMN_8" hidden="1">'[312]O Equip.'!#REF!</definedName>
    <definedName name="XREF_COLUMN_9" localSheetId="10" hidden="1">#REF!</definedName>
    <definedName name="XREF_COLUMN_9" hidden="1">'[312]O Equip.'!#REF!</definedName>
    <definedName name="XREF11" hidden="1">[323]ANNE1!#REF!</definedName>
    <definedName name="XREF12" hidden="1">[323]ANNE2!#REF!</definedName>
    <definedName name="XREF15" hidden="1">[316]Additions!$V$1:$V$65536</definedName>
    <definedName name="XREF17" hidden="1">[316]Summary!$E$31</definedName>
    <definedName name="XREF21" hidden="1">[323]ANNE2!#REF!</definedName>
    <definedName name="XRefActiveRow" localSheetId="10" hidden="1">#REF!</definedName>
    <definedName name="XRefActiveRow" hidden="1">#REF!</definedName>
    <definedName name="XRefColumnsCount" localSheetId="10" hidden="1">42</definedName>
    <definedName name="XRefColumnsCount" hidden="1">23</definedName>
    <definedName name="XRefCopy1" localSheetId="10" hidden="1">#REF!</definedName>
    <definedName name="XRefCopy1" hidden="1">[317]blockwise!#REF!</definedName>
    <definedName name="XRefCopy10" localSheetId="10" hidden="1">#REF!</definedName>
    <definedName name="XRefCopy10" hidden="1">[317]blockwise!#REF!</definedName>
    <definedName name="XRefCopy100" hidden="1">[319]TopSheet!#REF!</definedName>
    <definedName name="XRefCopy100Row" hidden="1">#REF!</definedName>
    <definedName name="XRefCopy101" localSheetId="10" hidden="1">#REF!</definedName>
    <definedName name="XRefCopy101" hidden="1">[319]TopSheet!#REF!</definedName>
    <definedName name="XRefCopy101Row" localSheetId="10" hidden="1">#REF!</definedName>
    <definedName name="XRefCopy101Row" hidden="1">#REF!</definedName>
    <definedName name="XRefCopy102" localSheetId="10" hidden="1">#REF!</definedName>
    <definedName name="XRefCopy102" hidden="1">[319]TopSheet!#REF!</definedName>
    <definedName name="XRefCopy102Row" localSheetId="10" hidden="1">#REF!</definedName>
    <definedName name="XRefCopy102Row" hidden="1">#REF!</definedName>
    <definedName name="XRefCopy103" localSheetId="10" hidden="1">#REF!</definedName>
    <definedName name="XRefCopy103" hidden="1">[319]TopSheet!#REF!</definedName>
    <definedName name="XRefCopy103Row" hidden="1">#REF!</definedName>
    <definedName name="XRefCopy104" localSheetId="10" hidden="1">#REF!</definedName>
    <definedName name="XRefCopy104" hidden="1">[319]TopSheet!#REF!</definedName>
    <definedName name="XRefCopy104Row" localSheetId="10" hidden="1">#REF!</definedName>
    <definedName name="XRefCopy104Row" hidden="1">#REF!</definedName>
    <definedName name="XRefCopy105" localSheetId="10" hidden="1">#REF!</definedName>
    <definedName name="XRefCopy105" hidden="1">[319]TopSheet!#REF!</definedName>
    <definedName name="XRefCopy105Row" localSheetId="10" hidden="1">#REF!</definedName>
    <definedName name="XRefCopy105Row" hidden="1">#REF!</definedName>
    <definedName name="XRefCopy106" hidden="1">[319]TopSheet!#REF!</definedName>
    <definedName name="XRefCopy106Row" localSheetId="10" hidden="1">#REF!</definedName>
    <definedName name="XRefCopy106Row" hidden="1">#REF!</definedName>
    <definedName name="XRefCopy107" hidden="1">[319]TopSheet!#REF!</definedName>
    <definedName name="XRefCopy107Row" localSheetId="10" hidden="1">#REF!</definedName>
    <definedName name="XRefCopy107Row" hidden="1">#REF!</definedName>
    <definedName name="XRefCopy108" localSheetId="10" hidden="1">#REF!</definedName>
    <definedName name="XRefCopy108" hidden="1">[319]TopSheet!#REF!</definedName>
    <definedName name="XRefCopy108Row" localSheetId="10" hidden="1">#REF!</definedName>
    <definedName name="XRefCopy108Row" hidden="1">#REF!</definedName>
    <definedName name="XRefCopy109" localSheetId="10" hidden="1">#REF!</definedName>
    <definedName name="XRefCopy109" hidden="1">[319]TopSheet!#REF!</definedName>
    <definedName name="XRefCopy109Row" localSheetId="10" hidden="1">#REF!</definedName>
    <definedName name="XRefCopy109Row" hidden="1">#REF!</definedName>
    <definedName name="XRefCopy10Row" localSheetId="10" hidden="1">#REF!</definedName>
    <definedName name="XRefCopy10Row" hidden="1">#REF!</definedName>
    <definedName name="XRefCopy11" localSheetId="10" hidden="1">'[324]CWIP P&amp;M'!$D$15</definedName>
    <definedName name="XRefCopy11" hidden="1">#REF!</definedName>
    <definedName name="XRefCopy110" localSheetId="10" hidden="1">#REF!</definedName>
    <definedName name="XRefCopy110" hidden="1">[319]TopSheet!#REF!</definedName>
    <definedName name="XRefCopy110Row" localSheetId="10" hidden="1">#REF!</definedName>
    <definedName name="XRefCopy110Row" hidden="1">#REF!</definedName>
    <definedName name="XRefCopy111" localSheetId="10" hidden="1">#REF!</definedName>
    <definedName name="XRefCopy111" hidden="1">[319]TopSheet!#REF!</definedName>
    <definedName name="XRefCopy111Row" localSheetId="10" hidden="1">#REF!</definedName>
    <definedName name="XRefCopy111Row" hidden="1">#REF!</definedName>
    <definedName name="XRefCopy112" localSheetId="10" hidden="1">#REF!</definedName>
    <definedName name="XRefCopy112" hidden="1">[319]TopSheet!#REF!</definedName>
    <definedName name="XRefCopy112Row" localSheetId="10" hidden="1">#REF!</definedName>
    <definedName name="XRefCopy112Row" hidden="1">#REF!</definedName>
    <definedName name="XRefCopy113" localSheetId="10" hidden="1">#REF!</definedName>
    <definedName name="XRefCopy113" hidden="1">[319]TopSheet!#REF!</definedName>
    <definedName name="XRefCopy113Row" localSheetId="10" hidden="1">#REF!</definedName>
    <definedName name="XRefCopy113Row" hidden="1">#REF!</definedName>
    <definedName name="XRefCopy114" localSheetId="10" hidden="1">#REF!</definedName>
    <definedName name="XRefCopy114" hidden="1">[319]TopSheet!#REF!</definedName>
    <definedName name="XRefCopy114Row" localSheetId="10" hidden="1">#REF!</definedName>
    <definedName name="XRefCopy114Row" hidden="1">#REF!</definedName>
    <definedName name="XRefCopy115" localSheetId="10" hidden="1">#REF!</definedName>
    <definedName name="XRefCopy115" hidden="1">[319]TopSheet!#REF!</definedName>
    <definedName name="XRefCopy115Row" localSheetId="10" hidden="1">#REF!</definedName>
    <definedName name="XRefCopy115Row" hidden="1">#REF!</definedName>
    <definedName name="XRefCopy116" localSheetId="10" hidden="1">#REF!</definedName>
    <definedName name="XRefCopy116" hidden="1">[319]TopSheet!#REF!</definedName>
    <definedName name="XRefCopy116Row" localSheetId="10" hidden="1">#REF!</definedName>
    <definedName name="XRefCopy116Row" hidden="1">#REF!</definedName>
    <definedName name="XRefCopy117" localSheetId="10" hidden="1">#REF!</definedName>
    <definedName name="XRefCopy117" hidden="1">[319]TopSheet!#REF!</definedName>
    <definedName name="XRefCopy117Row" localSheetId="10" hidden="1">#REF!</definedName>
    <definedName name="XRefCopy117Row" hidden="1">#REF!</definedName>
    <definedName name="XRefCopy118" localSheetId="10" hidden="1">#REF!</definedName>
    <definedName name="XRefCopy118" hidden="1">[319]TopSheet!#REF!</definedName>
    <definedName name="XRefCopy118Row" localSheetId="10" hidden="1">#REF!</definedName>
    <definedName name="XRefCopy118Row" hidden="1">#REF!</definedName>
    <definedName name="XRefCopy119" localSheetId="10" hidden="1">#REF!</definedName>
    <definedName name="XRefCopy119" hidden="1">#REF!</definedName>
    <definedName name="XRefCopy119Row" hidden="1">#REF!</definedName>
    <definedName name="XRefCopy11Row" localSheetId="10" hidden="1">[325]XREF!#REF!</definedName>
    <definedName name="XRefCopy11Row" hidden="1">#REF!</definedName>
    <definedName name="XRefCopy12" localSheetId="10" hidden="1">#REF!</definedName>
    <definedName name="XRefCopy12" hidden="1">#REF!</definedName>
    <definedName name="XRefCopy120" localSheetId="10" hidden="1">#REF!</definedName>
    <definedName name="XRefCopy120" hidden="1">#REF!</definedName>
    <definedName name="XRefCopy120Row" localSheetId="10" hidden="1">#REF!</definedName>
    <definedName name="XRefCopy120Row" hidden="1">[326]XREF!#REF!</definedName>
    <definedName name="XRefCopy121" localSheetId="10" hidden="1">#REF!</definedName>
    <definedName name="XRefCopy121" hidden="1">#REF!</definedName>
    <definedName name="XRefCopy121Row" localSheetId="10"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localSheetId="10" hidden="1">#REF!</definedName>
    <definedName name="XRefCopy126Row" hidden="1">[326]XREF!#REF!</definedName>
    <definedName name="XRefCopy127" hidden="1">#REF!</definedName>
    <definedName name="XRefCopy127Row" localSheetId="10" hidden="1">#REF!</definedName>
    <definedName name="XRefCopy127Row" hidden="1">#REF!</definedName>
    <definedName name="XRefCopy128" hidden="1">#REF!</definedName>
    <definedName name="XRefCopy128Row" hidden="1">#REF!</definedName>
    <definedName name="XRefCopy129Row" hidden="1">#REF!</definedName>
    <definedName name="XRefCopy12Row" hidden="1">#REF!</definedName>
    <definedName name="XRefCopy13" hidden="1">#REF!</definedName>
    <definedName name="XRefCopy130Row" hidden="1">#REF!</definedName>
    <definedName name="XRefCopy131Row" hidden="1">#REF!</definedName>
    <definedName name="XRefCopy132Row" hidden="1">#REF!</definedName>
    <definedName name="XRefCopy133Row" hidden="1">#REF!</definedName>
    <definedName name="XRefCopy134Row" hidden="1">#REF!</definedName>
    <definedName name="XRefCopy135Row" hidden="1">#REF!</definedName>
    <definedName name="XRefCopy136Row" hidden="1">#REF!</definedName>
    <definedName name="XRefCopy137Row" hidden="1">#REF!</definedName>
    <definedName name="XRefCopy138Row" hidden="1">#REF!</definedName>
    <definedName name="XRefCopy139Row" hidden="1">#REF!</definedName>
    <definedName name="XRefCopy13Row" hidden="1">#REF!</definedName>
    <definedName name="XRefCopy14"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Row" hidden="1">#REF!</definedName>
    <definedName name="XRefCopy14Row" hidden="1">#REF!</definedName>
    <definedName name="XRefCopy15" hidden="1">#REF!</definedName>
    <definedName name="XRefCopy150Row" hidden="1">#REF!</definedName>
    <definedName name="XRefCopy151" hidden="1">'[327]Sept 06'!#REF!</definedName>
    <definedName name="XRefCopy151Row" localSheetId="10" hidden="1">#REF!</definedName>
    <definedName name="XRefCopy151Row" hidden="1">#REF!</definedName>
    <definedName name="XRefCopy152" hidden="1">'[327]Sept 06'!#REF!</definedName>
    <definedName name="XRefCopy152Row" localSheetId="10" hidden="1">#REF!</definedName>
    <definedName name="XRefCopy152Row" hidden="1">#REF!</definedName>
    <definedName name="XRefCopy153" hidden="1">'[327]Sept 06'!#REF!</definedName>
    <definedName name="XRefCopy153Row" hidden="1">#REF!</definedName>
    <definedName name="XRefCopy154" hidden="1">'[327]Sept 06'!#REF!</definedName>
    <definedName name="XRefCopy154Row" hidden="1">#REF!</definedName>
    <definedName name="XRefCopy155" hidden="1">'[327]Sept 06'!#REF!</definedName>
    <definedName name="XRefCopy155Row" localSheetId="10" hidden="1">#REF!</definedName>
    <definedName name="XRefCopy155Row" hidden="1">#REF!</definedName>
    <definedName name="XRefCopy156" hidden="1">'[327]Sept 06'!#REF!</definedName>
    <definedName name="XRefCopy156Row" localSheetId="10" hidden="1">#REF!</definedName>
    <definedName name="XRefCopy156Row" hidden="1">#REF!</definedName>
    <definedName name="XRefCopy157" hidden="1">'[327]Sept 06'!#REF!</definedName>
    <definedName name="XRefCopy157Row" localSheetId="10" hidden="1">#REF!</definedName>
    <definedName name="XRefCopy157Row" hidden="1">#REF!</definedName>
    <definedName name="XRefCopy158" hidden="1">'[327]Sept 06'!#REF!</definedName>
    <definedName name="XRefCopy158Row" localSheetId="10" hidden="1">#REF!</definedName>
    <definedName name="XRefCopy158Row" hidden="1">#REF!</definedName>
    <definedName name="XRefCopy159" hidden="1">'[327]Sept 06'!#REF!</definedName>
    <definedName name="XRefCopy159Row" localSheetId="10" hidden="1">#REF!</definedName>
    <definedName name="XRefCopy159Row" hidden="1">#REF!</definedName>
    <definedName name="XRefCopy15Row" localSheetId="10" hidden="1">#REF!</definedName>
    <definedName name="XRefCopy15Row" hidden="1">#REF!</definedName>
    <definedName name="XRefCopy16" hidden="1">#REF!</definedName>
    <definedName name="XRefCopy160" hidden="1">'[327]Sept 06'!#REF!</definedName>
    <definedName name="XRefCopy160Row" localSheetId="10" hidden="1">#REF!</definedName>
    <definedName name="XRefCopy160Row" hidden="1">#REF!</definedName>
    <definedName name="XRefCopy161" hidden="1">'[327]Sept 06'!#REF!</definedName>
    <definedName name="XRefCopy161Row" localSheetId="10" hidden="1">#REF!</definedName>
    <definedName name="XRefCopy161Row" hidden="1">#REF!</definedName>
    <definedName name="XRefCopy162" hidden="1">'[327]Sept 06'!#REF!</definedName>
    <definedName name="XRefCopy162Row" localSheetId="10" hidden="1">#REF!</definedName>
    <definedName name="XRefCopy162Row" hidden="1">#REF!</definedName>
    <definedName name="XRefCopy163" hidden="1">'[327]Sept 06'!#REF!</definedName>
    <definedName name="XRefCopy163Row" localSheetId="10" hidden="1">#REF!</definedName>
    <definedName name="XRefCopy163Row" hidden="1">#REF!</definedName>
    <definedName name="XRefCopy164" hidden="1">'[327]Sept 06'!#REF!</definedName>
    <definedName name="XRefCopy164Row" localSheetId="10" hidden="1">#REF!</definedName>
    <definedName name="XRefCopy164Row" hidden="1">#REF!</definedName>
    <definedName name="XRefCopy165" hidden="1">'[327]Sept 06'!#REF!</definedName>
    <definedName name="XRefCopy165Row" localSheetId="10" hidden="1">#REF!</definedName>
    <definedName name="XRefCopy165Row" hidden="1">#REF!</definedName>
    <definedName name="XRefCopy166" hidden="1">'[327]Sept 06'!#REF!</definedName>
    <definedName name="XRefCopy166Row" localSheetId="10" hidden="1">#REF!</definedName>
    <definedName name="XRefCopy166Row" hidden="1">#REF!</definedName>
    <definedName name="XRefCopy167" hidden="1">'[327]Sept 06'!#REF!</definedName>
    <definedName name="XRefCopy167Row" localSheetId="10" hidden="1">#REF!</definedName>
    <definedName name="XRefCopy167Row" hidden="1">#REF!</definedName>
    <definedName name="XRefCopy168" hidden="1">'[327]Sept 06'!#REF!</definedName>
    <definedName name="XRefCopy168Row" localSheetId="10" hidden="1">#REF!</definedName>
    <definedName name="XRefCopy168Row" hidden="1">#REF!</definedName>
    <definedName name="XRefCopy169" hidden="1">'[327]Sept 06'!#REF!</definedName>
    <definedName name="XRefCopy169Row" localSheetId="10" hidden="1">#REF!</definedName>
    <definedName name="XRefCopy169Row" hidden="1">#REF!</definedName>
    <definedName name="XRefCopy16Row" localSheetId="10" hidden="1">#REF!</definedName>
    <definedName name="XRefCopy16Row" hidden="1">#REF!</definedName>
    <definedName name="XRefCopy17" hidden="1">#REF!</definedName>
    <definedName name="XRefCopy170" hidden="1">'[327]Sept 06'!#REF!</definedName>
    <definedName name="XRefCopy170Row" localSheetId="10" hidden="1">#REF!</definedName>
    <definedName name="XRefCopy170Row" hidden="1">#REF!</definedName>
    <definedName name="XRefCopy171" hidden="1">'[327]Sept 06'!#REF!</definedName>
    <definedName name="XRefCopy171Row" localSheetId="10" hidden="1">#REF!</definedName>
    <definedName name="XRefCopy171Row" hidden="1">#REF!</definedName>
    <definedName name="XRefCopy172" hidden="1">'[327]Sept 06'!#REF!</definedName>
    <definedName name="XRefCopy172Row" localSheetId="10" hidden="1">#REF!</definedName>
    <definedName name="XRefCopy172Row" hidden="1">#REF!</definedName>
    <definedName name="XRefCopy173" hidden="1">'[327]Sept 06'!#REF!</definedName>
    <definedName name="XRefCopy173Row" localSheetId="10" hidden="1">#REF!</definedName>
    <definedName name="XRefCopy173Row" hidden="1">#REF!</definedName>
    <definedName name="XRefCopy174" hidden="1">'[327]Sept 06'!#REF!</definedName>
    <definedName name="XRefCopy174Row" localSheetId="10" hidden="1">#REF!</definedName>
    <definedName name="XRefCopy174Row" hidden="1">#REF!</definedName>
    <definedName name="XRefCopy175" hidden="1">'[327]Sept 06'!#REF!</definedName>
    <definedName name="XRefCopy175Row" localSheetId="10" hidden="1">#REF!</definedName>
    <definedName name="XRefCopy175Row" hidden="1">#REF!</definedName>
    <definedName name="XRefCopy176" hidden="1">'[327]Sept 06'!#REF!</definedName>
    <definedName name="XRefCopy176Row" localSheetId="10" hidden="1">#REF!</definedName>
    <definedName name="XRefCopy176Row" hidden="1">#REF!</definedName>
    <definedName name="XRefCopy177" hidden="1">'[327]Sept 06'!#REF!</definedName>
    <definedName name="XRefCopy177Row" localSheetId="10" hidden="1">#REF!</definedName>
    <definedName name="XRefCopy177Row" hidden="1">#REF!</definedName>
    <definedName name="XRefCopy178" hidden="1">'[327]Sept 06'!#REF!</definedName>
    <definedName name="XRefCopy178Row" localSheetId="10" hidden="1">#REF!</definedName>
    <definedName name="XRefCopy178Row" hidden="1">#REF!</definedName>
    <definedName name="XRefCopy179" hidden="1">'[327]Sept 06'!#REF!</definedName>
    <definedName name="XRefCopy179Row" localSheetId="10" hidden="1">#REF!</definedName>
    <definedName name="XRefCopy179Row" hidden="1">#REF!</definedName>
    <definedName name="XRefCopy17Row" localSheetId="10" hidden="1">#REF!</definedName>
    <definedName name="XRefCopy17Row" hidden="1">#REF!</definedName>
    <definedName name="XRefCopy18" localSheetId="10" hidden="1">'[328]Annexure-3B '!#REF!</definedName>
    <definedName name="XRefCopy18" hidden="1">#REF!</definedName>
    <definedName name="XRefCopy180" hidden="1">'[327]Sept 06'!#REF!</definedName>
    <definedName name="XRefCopy180Row" localSheetId="10" hidden="1">#REF!</definedName>
    <definedName name="XRefCopy180Row" hidden="1">#REF!</definedName>
    <definedName name="XRefCopy181" hidden="1">'[327]Sept 06'!#REF!</definedName>
    <definedName name="XRefCopy181Row" localSheetId="10" hidden="1">#REF!</definedName>
    <definedName name="XRefCopy181Row" hidden="1">#REF!</definedName>
    <definedName name="XRefCopy182" hidden="1">'[327]Sept 06'!#REF!</definedName>
    <definedName name="XRefCopy182Row" localSheetId="10" hidden="1">#REF!</definedName>
    <definedName name="XRefCopy182Row" hidden="1">#REF!</definedName>
    <definedName name="XRefCopy183" hidden="1">'[327]Sept 06'!#REF!</definedName>
    <definedName name="XRefCopy183Row" localSheetId="10" hidden="1">#REF!</definedName>
    <definedName name="XRefCopy183Row" hidden="1">#REF!</definedName>
    <definedName name="XRefCopy184" hidden="1">'[327]Sept 06'!#REF!</definedName>
    <definedName name="XRefCopy184Row" localSheetId="10" hidden="1">#REF!</definedName>
    <definedName name="XRefCopy184Row" hidden="1">#REF!</definedName>
    <definedName name="XRefCopy185" hidden="1">'[327]Sept 06'!#REF!</definedName>
    <definedName name="XRefCopy185Row" hidden="1">#REF!</definedName>
    <definedName name="XRefCopy186Row" localSheetId="10" hidden="1">#REF!</definedName>
    <definedName name="XRefCopy186Row" hidden="1">#REF!</definedName>
    <definedName name="XRefCopy187Row" hidden="1">#REF!</definedName>
    <definedName name="XRefCopy188Row" hidden="1">#REF!</definedName>
    <definedName name="XRefCopy189Row" hidden="1">#REF!</definedName>
    <definedName name="XRefCopy18Row" hidden="1">#REF!</definedName>
    <definedName name="XRefCopy19" localSheetId="10" hidden="1">'[328]Annexure-3B '!#REF!</definedName>
    <definedName name="XRefCopy19" hidden="1">#REF!</definedName>
    <definedName name="XRefCopy190Row" localSheetId="10" hidden="1">#REF!</definedName>
    <definedName name="XRefCopy190Row" hidden="1">#REF!</definedName>
    <definedName name="XRefCopy191Row" hidden="1">#REF!</definedName>
    <definedName name="XRefCopy192Row" hidden="1">#REF!</definedName>
    <definedName name="XRefCopy193Row" hidden="1">#REF!</definedName>
    <definedName name="XRefCopy194Row" hidden="1">#REF!</definedName>
    <definedName name="XRefCopy195Row" hidden="1">#REF!</definedName>
    <definedName name="XRefCopy196Row" hidden="1">#REF!</definedName>
    <definedName name="XRefCopy197Row" hidden="1">#REF!</definedName>
    <definedName name="XRefCopy198Row" hidden="1">#REF!</definedName>
    <definedName name="XRefCopy19Row" hidden="1">#REF!</definedName>
    <definedName name="XRefCopy1Row" hidden="1">#REF!</definedName>
    <definedName name="XRefCopy2" localSheetId="10" hidden="1">'[322]NETTING OFF-Mar-15'!#REF!</definedName>
    <definedName name="XRefCopy2" hidden="1">[317]blockwise!#REF!</definedName>
    <definedName name="XRefCopy20" localSheetId="10" hidden="1">#REF!</definedName>
    <definedName name="XRefCopy20" hidden="1">#REF!</definedName>
    <definedName name="XRefCopy200Row" hidden="1">#REF!</definedName>
    <definedName name="XRefCopy201Row" hidden="1">#REF!</definedName>
    <definedName name="XRefCopy202Row" hidden="1">#REF!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localSheetId="10" hidden="1">#REF!</definedName>
    <definedName name="XRefCopy20Row" hidden="1">#REF!</definedName>
    <definedName name="XRefCopy21" hidden="1">#REF!</definedName>
    <definedName name="XRefCopy210Row" hidden="1">#REF!</definedName>
    <definedName name="XRefCopy211Row" hidden="1">#REF!</definedName>
    <definedName name="XRefCopy212Row" hidden="1">#REF!</definedName>
    <definedName name="XRefCopy213Row" hidden="1">#REF!</definedName>
    <definedName name="XRefCopy214Row" hidden="1">#REF!</definedName>
    <definedName name="XRefCopy215Row" hidden="1">#REF!</definedName>
    <definedName name="XRefCopy216Row" hidden="1">#REF!</definedName>
    <definedName name="XRefCopy217Row" hidden="1">#REF!</definedName>
    <definedName name="XRefCopy218Row" hidden="1">#REF!</definedName>
    <definedName name="XRefCopy219Row" hidden="1">#REF!</definedName>
    <definedName name="XRefCopy21Row" hidden="1">#REF!</definedName>
    <definedName name="XRefCopy22" hidden="1">#REF!</definedName>
    <definedName name="XRefCopy220Row" hidden="1">#REF!</definedName>
    <definedName name="XRefCopy221Row" hidden="1">#REF!</definedName>
    <definedName name="XRefCopy222Row" hidden="1">#REF!</definedName>
    <definedName name="XRefCopy223Row" hidden="1">#REF!</definedName>
    <definedName name="XRefCopy224Row" hidden="1">#REF!</definedName>
    <definedName name="XRefCopy225Row" hidden="1">#REF!</definedName>
    <definedName name="XRefCopy22Row" hidden="1">#REF!</definedName>
    <definedName name="XRefCopy23" hidden="1">#REF!</definedName>
    <definedName name="XRefCopy230Row" hidden="1">#REF!</definedName>
    <definedName name="XRefCopy231Row" hidden="1">#REF!</definedName>
    <definedName name="XRefCopy232Row" hidden="1">#REF!</definedName>
    <definedName name="XRefCopy233Row" hidden="1">#REF!</definedName>
    <definedName name="XRefCopy234Row" hidden="1">#REF!</definedName>
    <definedName name="XRefCopy235Row" hidden="1">#REF!</definedName>
    <definedName name="XRefCopy236Row" hidden="1">#REF!</definedName>
    <definedName name="XRefCopy237Row" hidden="1">#REF!</definedName>
    <definedName name="XRefCopy23Row" hidden="1">#REF!</definedName>
    <definedName name="XRefCopy24" hidden="1">#REF!</definedName>
    <definedName name="XRefCopy240Row" hidden="1">#REF!</definedName>
    <definedName name="XRefCopy241Row" hidden="1">#REF!</definedName>
    <definedName name="XRefCopy242Row" hidden="1">#REF!</definedName>
    <definedName name="XRefCopy243Row" hidden="1">#REF!</definedName>
    <definedName name="XRefCopy244Row" hidden="1">#REF!</definedName>
    <definedName name="XRefCopy245Row" hidden="1">#REF!</definedName>
    <definedName name="XRefCopy246Row" hidden="1">#REF!</definedName>
    <definedName name="XRefCopy24Row" hidden="1">#REF!</definedName>
    <definedName name="XRefCopy25" hidden="1">#REF!</definedName>
    <definedName name="XRefCopy254"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localSheetId="10" hidden="1">#REF!</definedName>
    <definedName name="XRefCopy3" hidden="1">[317]blockwise!#REF!</definedName>
    <definedName name="XRefCopy30" localSheetId="10"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localSheetId="10" hidden="1">#REF!</definedName>
    <definedName name="XRefCopy33Row" hidden="1">[329]XREF!#REF!</definedName>
    <definedName name="XRefCopy34" localSheetId="10" hidden="1">#REF!</definedName>
    <definedName name="XRefCopy34" hidden="1">'[320]Leasehold mprovements'!#REF!</definedName>
    <definedName name="XRefCopy34Row" localSheetId="10" hidden="1">#REF!</definedName>
    <definedName name="XRefCopy34Row" hidden="1">#REF!</definedName>
    <definedName name="XRefCopy35" localSheetId="10"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localSheetId="10" hidden="1">[330]XREF!#REF!</definedName>
    <definedName name="XRefCopy3Row" hidden="1">#REF!</definedName>
    <definedName name="XRefCopy4" localSheetId="10" hidden="1">#REF!</definedName>
    <definedName name="XRefCopy4" hidden="1">[317]blockwise!#REF!</definedName>
    <definedName name="XRefCopy40" localSheetId="10" hidden="1">#REF!</definedName>
    <definedName name="XRefCopy40" hidden="1">#REF!</definedName>
    <definedName name="XRefCopy40Row" hidden="1">#REF!</definedName>
    <definedName name="XRefCopy41" localSheetId="10"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localSheetId="10" hidden="1">#REF!</definedName>
    <definedName name="XRefCopy43Row" hidden="1">[331]XREF!#REF!</definedName>
    <definedName name="XRefCopy44" localSheetId="10" hidden="1">#REF!</definedName>
    <definedName name="XRefCopy44" hidden="1">#REF!</definedName>
    <definedName name="XRefCopy44Row" localSheetId="10"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localSheetId="10" hidden="1">#REF!</definedName>
    <definedName name="XRefCopy5" hidden="1">[317]blockwise!#REF!</definedName>
    <definedName name="XRefCopy50" localSheetId="10" hidden="1">#REF!</definedName>
    <definedName name="XRefCopy50" hidden="1">#REF!</definedName>
    <definedName name="XRefCopy50Row" hidden="1">#REF!</definedName>
    <definedName name="XRefCopy51" hidden="1">#REF!</definedName>
    <definedName name="XRefCopy51Row" localSheetId="10" hidden="1">#REF!</definedName>
    <definedName name="XRefCopy51Row" hidden="1">[332]XREF!#REF!</definedName>
    <definedName name="XRefCopy52" hidden="1">#REF!</definedName>
    <definedName name="XRefCopy52Row" localSheetId="10" hidden="1">#REF!</definedName>
    <definedName name="XRefCopy52Row" hidden="1">#REF!</definedName>
    <definedName name="XRefCopy53" hidden="1">#REF!</definedName>
    <definedName name="XRefCopy53Row" localSheetId="10" hidden="1">#REF!</definedName>
    <definedName name="XRefCopy53Row" hidden="1">[332]XREF!#REF!</definedName>
    <definedName name="XRefCopy54" localSheetId="10" hidden="1">#REF!</definedName>
    <definedName name="XRefCopy54" hidden="1">#REF!</definedName>
    <definedName name="XRefCopy54Row" localSheetId="10" hidden="1">#REF!</definedName>
    <definedName name="XRefCopy54Row" hidden="1">#REF!</definedName>
    <definedName name="XRefCopy55" hidden="1">#REF!</definedName>
    <definedName name="XRefCopy55Row" localSheetId="10" hidden="1">#REF!</definedName>
    <definedName name="XRefCopy55Row" hidden="1">[332]XREF!#REF!</definedName>
    <definedName name="XRefCopy56" localSheetId="10" hidden="1">#REF!</definedName>
    <definedName name="XRefCopy56" hidden="1">#REF!</definedName>
    <definedName name="XRefCopy56Row" localSheetId="10"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localSheetId="10" hidden="1">#REF!</definedName>
    <definedName name="XRefCopy6" hidden="1">[317]blockwise!#REF!</definedName>
    <definedName name="XRefCopy60" localSheetId="10" hidden="1">#REF!</definedName>
    <definedName name="XRefCopy60" hidden="1">#REF!</definedName>
    <definedName name="XRefCopy60Row" localSheetId="1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localSheetId="10" hidden="1">#REF!</definedName>
    <definedName name="XRefCopy7" hidden="1">[317]blockwise!#REF!</definedName>
    <definedName name="XRefCopy70" localSheetId="10" hidden="1">#REF!</definedName>
    <definedName name="XRefCopy70" hidden="1">#REF!</definedName>
    <definedName name="XRefCopy70Row" localSheetId="1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localSheetId="10" hidden="1">#REF!</definedName>
    <definedName name="XRefCopy73Row" hidden="1">[333]XREF!$A$95:$IV$95</definedName>
    <definedName name="XRefCopy74" hidden="1">#REF!</definedName>
    <definedName name="XRefCopy74Row" hidden="1">#REF!</definedName>
    <definedName name="XRefCopy75" hidden="1">#REF!</definedName>
    <definedName name="XRefCopy75Row" hidden="1">#REF!</definedName>
    <definedName name="XRefCopy76" localSheetId="10" hidden="1">#REF!</definedName>
    <definedName name="XRefCopy76" hidden="1">'[320]Leasehold mprovements'!#REF!</definedName>
    <definedName name="XRefCopy76Row" localSheetId="10" hidden="1">#REF!</definedName>
    <definedName name="XRefCopy76Row" hidden="1">[320]XREF!#REF!</definedName>
    <definedName name="XRefCopy77" localSheetId="10" hidden="1">#REF!</definedName>
    <definedName name="XRefCopy77" hidden="1">[319]TopSheet!#REF!</definedName>
    <definedName name="XRefCopy77Row" localSheetId="10" hidden="1">#REF!</definedName>
    <definedName name="XRefCopy77Row" hidden="1">#REF!</definedName>
    <definedName name="XRefCopy78" localSheetId="10" hidden="1">#REF!</definedName>
    <definedName name="XRefCopy78" hidden="1">[319]TopSheet!#REF!</definedName>
    <definedName name="XRefCopy78Row" hidden="1">#REF!</definedName>
    <definedName name="XRefCopy79" localSheetId="10" hidden="1">#REF!</definedName>
    <definedName name="XRefCopy79" hidden="1">[319]TopSheet!#REF!</definedName>
    <definedName name="XRefCopy79Row" hidden="1">#REF!</definedName>
    <definedName name="XRefCopy7Row" localSheetId="10" hidden="1">#REF!</definedName>
    <definedName name="XRefCopy7Row" hidden="1">#REF!</definedName>
    <definedName name="XRefCopy8" localSheetId="10" hidden="1">#REF!</definedName>
    <definedName name="XRefCopy8" hidden="1">[317]blockwise!#REF!</definedName>
    <definedName name="XRefCopy80" localSheetId="10" hidden="1">#REF!</definedName>
    <definedName name="XRefCopy80" hidden="1">[319]TopSheet!#REF!</definedName>
    <definedName name="XRefCopy80Row" localSheetId="10" hidden="1">#REF!</definedName>
    <definedName name="XRefCopy80Row" hidden="1">[332]XREF!#REF!</definedName>
    <definedName name="XRefCopy81" localSheetId="10" hidden="1">#REF!</definedName>
    <definedName name="XRefCopy81" hidden="1">[319]TopSheet!#REF!</definedName>
    <definedName name="XRefCopy81Row" localSheetId="10" hidden="1">#REF!</definedName>
    <definedName name="XRefCopy81Row" hidden="1">[332]XREF!#REF!</definedName>
    <definedName name="XRefCopy82" localSheetId="10" hidden="1">#REF!</definedName>
    <definedName name="XRefCopy82" hidden="1">#REF!</definedName>
    <definedName name="XRefCopy82Row" localSheetId="10"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localSheetId="10" hidden="1">#REF!</definedName>
    <definedName name="XRefCopy86Row" hidden="1">[332]XREF!#REF!</definedName>
    <definedName name="XRefCopy87" localSheetId="10" hidden="1">#REF!</definedName>
    <definedName name="XRefCopy87" hidden="1">#REF!</definedName>
    <definedName name="XRefCopy87Row" localSheetId="10" hidden="1">#REF!</definedName>
    <definedName name="XRefCopy87Row" hidden="1">[332]XREF!#REF!</definedName>
    <definedName name="XRefCopy88" localSheetId="10" hidden="1">#REF!</definedName>
    <definedName name="XRefCopy88" hidden="1">#REF!</definedName>
    <definedName name="XRefCopy88Row" localSheetId="10" hidden="1">#REF!</definedName>
    <definedName name="XRefCopy88Row" hidden="1">#REF!</definedName>
    <definedName name="XRefCopy89" hidden="1">#REF!</definedName>
    <definedName name="XRefCopy89Row" hidden="1">#REF!</definedName>
    <definedName name="XRefCopy8Row" hidden="1">#REF!</definedName>
    <definedName name="XRefCopy9" localSheetId="10" hidden="1">#REF!</definedName>
    <definedName name="XRefCopy9" hidden="1">[317]blockwise!#REF!</definedName>
    <definedName name="XRefCopy90" localSheetId="10" hidden="1">#REF!</definedName>
    <definedName name="XRefCopy90" hidden="1">[319]TopSheet!#REF!</definedName>
    <definedName name="XRefCopy90Row" localSheetId="10" hidden="1">#REF!</definedName>
    <definedName name="XRefCopy90Row" hidden="1">[332]XREF!#REF!</definedName>
    <definedName name="XRefCopy91" localSheetId="10" hidden="1">#REF!</definedName>
    <definedName name="XRefCopy91" hidden="1">[319]TopSheet!#REF!</definedName>
    <definedName name="XRefCopy91Row" localSheetId="10" hidden="1">#REF!</definedName>
    <definedName name="XRefCopy91Row" hidden="1">#REF!</definedName>
    <definedName name="XRefCopy92" localSheetId="10" hidden="1">#REF!</definedName>
    <definedName name="XRefCopy92" hidden="1">[319]TopSheet!#REF!</definedName>
    <definedName name="XRefCopy92Row" localSheetId="10" hidden="1">#REF!</definedName>
    <definedName name="XRefCopy92Row" hidden="1">[332]XREF!#REF!</definedName>
    <definedName name="XRefCopy93" localSheetId="10" hidden="1">#REF!</definedName>
    <definedName name="XRefCopy93" hidden="1">[319]TopSheet!#REF!</definedName>
    <definedName name="XRefCopy93Row" localSheetId="10" hidden="1">#REF!</definedName>
    <definedName name="XRefCopy93Row" hidden="1">[332]XREF!#REF!</definedName>
    <definedName name="XRefCopy94" localSheetId="10" hidden="1">#REF!</definedName>
    <definedName name="XRefCopy94" hidden="1">[319]TopSheet!#REF!</definedName>
    <definedName name="XRefCopy94Row" localSheetId="10" hidden="1">#REF!</definedName>
    <definedName name="XRefCopy94Row" hidden="1">[332]XREF!#REF!</definedName>
    <definedName name="XRefCopy95" localSheetId="10" hidden="1">#REF!</definedName>
    <definedName name="XRefCopy95" hidden="1">[319]TopSheet!#REF!</definedName>
    <definedName name="XRefCopy95Row" localSheetId="10" hidden="1">#REF!</definedName>
    <definedName name="XRefCopy95Row" hidden="1">[332]XREF!#REF!</definedName>
    <definedName name="XRefCopy96" localSheetId="10" hidden="1">#REF!</definedName>
    <definedName name="XRefCopy96" hidden="1">[319]TopSheet!#REF!</definedName>
    <definedName name="XRefCopy96Row" localSheetId="10" hidden="1">#REF!</definedName>
    <definedName name="XRefCopy96Row" hidden="1">[332]XREF!#REF!</definedName>
    <definedName name="XRefCopy97" localSheetId="10" hidden="1">#REF!</definedName>
    <definedName name="XRefCopy97" hidden="1">[319]TopSheet!#REF!</definedName>
    <definedName name="XRefCopy97Row" localSheetId="10" hidden="1">#REF!</definedName>
    <definedName name="XRefCopy97Row" hidden="1">[332]XREF!#REF!</definedName>
    <definedName name="XRefCopy98" localSheetId="10" hidden="1">#REF!</definedName>
    <definedName name="XRefCopy98" hidden="1">[319]TopSheet!#REF!</definedName>
    <definedName name="XRefCopy98Row" hidden="1">#REF!</definedName>
    <definedName name="XRefCopy99" hidden="1">[319]TopSheet!#REF!</definedName>
    <definedName name="XRefCopy99Row" hidden="1">#REF!</definedName>
    <definedName name="XRefCopy9Row" localSheetId="10" hidden="1">#REF!</definedName>
    <definedName name="XRefCopy9Row" hidden="1">#REF!</definedName>
    <definedName name="XRefCopyRangeCount" localSheetId="10" hidden="1">101</definedName>
    <definedName name="XRefCopyRangeCount" hidden="1">42</definedName>
    <definedName name="XRefPaste1" localSheetId="10" hidden="1">#REF!</definedName>
    <definedName name="XRefPaste1" hidden="1">[317]blockwise!#REF!</definedName>
    <definedName name="XRefPaste10" localSheetId="10" hidden="1">#REF!</definedName>
    <definedName name="XRefPaste10" hidden="1">[312]DPE!#REF!</definedName>
    <definedName name="XRefPaste100" hidden="1">#REF!</definedName>
    <definedName name="XRefPaste100Row" hidden="1">[333]XREF!$A$106:$IV$106</definedName>
    <definedName name="XRefPaste101" hidden="1">#REF!</definedName>
    <definedName name="XRefPaste101Row" hidden="1">[333]XREF!$A$110:$IV$110</definedName>
    <definedName name="XRefPaste102" hidden="1">#REF!</definedName>
    <definedName name="XRefPaste102Row" hidden="1">[333]XREF!$A$114:$IV$114</definedName>
    <definedName name="XRefPaste103" hidden="1">#REF!</definedName>
    <definedName name="XRefPaste103Row" hidden="1">[333]XREF!$A$116:$IV$116</definedName>
    <definedName name="XRefPaste104" hidden="1">#REF!</definedName>
    <definedName name="XRefPaste104Row" hidden="1">[333]XREF!$A$119:$IV$119</definedName>
    <definedName name="XRefPaste105" hidden="1">#REF!</definedName>
    <definedName name="XRefPaste105Row" hidden="1">[333]XREF!$A$122:$IV$122</definedName>
    <definedName name="XRefPaste106" hidden="1">#REF!</definedName>
    <definedName name="XRefPaste106Row" hidden="1">[333]XREF!$A$123:$IV$123</definedName>
    <definedName name="XRefPaste107" hidden="1">#REF!</definedName>
    <definedName name="XRefPaste107Row" hidden="1">[333]XREF!$A$124:$IV$124</definedName>
    <definedName name="XRefPaste108" hidden="1">#REF!</definedName>
    <definedName name="XRefPaste108Row" hidden="1">[333]XREF!$A$132:$IV$132</definedName>
    <definedName name="XRefPaste109" hidden="1">#REF!</definedName>
    <definedName name="XRefPaste109Row" hidden="1">[333]XREF!$A$134:$IV$134</definedName>
    <definedName name="XRefPaste10Row" localSheetId="10" hidden="1">[334]XREF!#REF!</definedName>
    <definedName name="XRefPaste10Row" hidden="1">#REF!</definedName>
    <definedName name="XRefPaste11" localSheetId="10" hidden="1">#REF!</definedName>
    <definedName name="XRefPaste11" hidden="1">[312]DPE!#REF!</definedName>
    <definedName name="XRefPaste110" hidden="1">#REF!</definedName>
    <definedName name="XRefPaste110Row" hidden="1">[333]XREF!$A$135:$IV$135</definedName>
    <definedName name="XRefPaste111" hidden="1">#REF!</definedName>
    <definedName name="XRefPaste111Row" hidden="1">[333]XREF!$A$136:$IV$136</definedName>
    <definedName name="XRefPaste112" hidden="1">#REF!</definedName>
    <definedName name="XRefPaste112Row" hidden="1">[333]XREF!$A$138:$IV$138</definedName>
    <definedName name="XRefPaste113" hidden="1">#REF!</definedName>
    <definedName name="XRefPaste113Row" hidden="1">#REF!</definedName>
    <definedName name="XRefPaste114" hidden="1">'[327]Sept 06'!#REF!</definedName>
    <definedName name="XRefPaste114Row" hidden="1">#REF!</definedName>
    <definedName name="XRefPaste11Row" localSheetId="10" hidden="1">#REF!</definedName>
    <definedName name="XRefPaste11Row" hidden="1">#REF!</definedName>
    <definedName name="XRefPaste12" localSheetId="10"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localSheetId="10" hidden="1">#REF!</definedName>
    <definedName name="XRefPaste2" hidden="1">'[312]F &amp; F PY'!#REF!</definedName>
    <definedName name="XRefPaste20" localSheetId="10" hidden="1">#REF!</definedName>
    <definedName name="XRefPaste20" hidden="1">#REF!</definedName>
    <definedName name="XRefPaste20Row" localSheetId="1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[320]XREF!#REF!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localSheetId="10" hidden="1">[334]XREF!#REF!</definedName>
    <definedName name="XRefPaste29Row" hidden="1">#REF!</definedName>
    <definedName name="XRefPaste2Row" localSheetId="10" hidden="1">[330]XREF!#REF!</definedName>
    <definedName name="XRefPaste2Row" hidden="1">[329]XREF!#REF!</definedName>
    <definedName name="XRefPaste3" localSheetId="10" hidden="1">#REF!</definedName>
    <definedName name="XRefPaste3" hidden="1">'[312]F &amp; F PY'!#REF!</definedName>
    <definedName name="XRefPaste30" localSheetId="10" hidden="1">#REF!</definedName>
    <definedName name="XRefPaste30" hidden="1">#REF!</definedName>
    <definedName name="XRefPaste30Row" hidden="1">#REF!</definedName>
    <definedName name="XRefPaste31" hidden="1">#REF!</definedName>
    <definedName name="XRefPaste31Row" localSheetId="10"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localSheetId="10" hidden="1">#REF!</definedName>
    <definedName name="XRefPaste4" hidden="1">'[312]F &amp; F PY'!#REF!</definedName>
    <definedName name="XRefPaste40" localSheetId="10"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#N/A</definedName>
    <definedName name="XRefPaste54Row" hidden="1">#REF!</definedName>
    <definedName name="XRefPaste55" hidden="1">#REF!</definedName>
    <definedName name="XRefPaste55Row" hidden="1">#REF!</definedName>
    <definedName name="XRefPaste56" hidden="1">[335]Lead!#REF!</definedName>
    <definedName name="XRefPaste56Row" hidden="1">#REF!</definedName>
    <definedName name="XRefPaste57" localSheetId="10"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localSheetId="10" hidden="1">#REF!</definedName>
    <definedName name="XRefPaste5Row" hidden="1">[336]XREF!#REF!</definedName>
    <definedName name="XRefPaste6" localSheetId="10" hidden="1">#REF!</definedName>
    <definedName name="XRefPaste6" hidden="1">'[312]O Equip.'!#REF!</definedName>
    <definedName name="XRefPaste60" localSheetId="10" hidden="1">#REF!</definedName>
    <definedName name="XRefPaste60" hidden="1">#REF!</definedName>
    <definedName name="XRefPaste60Row" localSheetId="1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localSheetId="10" hidden="1">#REF!</definedName>
    <definedName name="XRefPaste63" hidden="1">[335]Lead!#REF!</definedName>
    <definedName name="XRefPaste63Row" localSheetId="10" hidden="1">#REF!</definedName>
    <definedName name="XRefPaste63Row" hidden="1">#REF!</definedName>
    <definedName name="XRefPaste64" localSheetId="10" hidden="1">#REF!</definedName>
    <definedName name="XRefPaste64" hidden="1">[335]Lead!#REF!</definedName>
    <definedName name="XRefPaste64Row" localSheetId="10" hidden="1">#REF!</definedName>
    <definedName name="XRefPaste64Row" hidden="1">#REF!</definedName>
    <definedName name="XRefPaste65" localSheetId="10"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localSheetId="10" hidden="1">#REF!</definedName>
    <definedName name="XRefPaste7" hidden="1">'[312]O Equip.'!#REF!</definedName>
    <definedName name="XRefPaste70" localSheetId="10" hidden="1">#REF!</definedName>
    <definedName name="XRefPaste70" hidden="1">#REF!</definedName>
    <definedName name="XRefPaste70Row" localSheetId="10" hidden="1">#REF!</definedName>
    <definedName name="XRefPaste70Row" hidden="1">#REF!</definedName>
    <definedName name="XRefPaste71" localSheetId="10" hidden="1">#REF!</definedName>
    <definedName name="XRefPaste71" hidden="1">[335]Lead!#REF!</definedName>
    <definedName name="XRefPaste71Row" localSheetId="10" hidden="1">#REF!</definedName>
    <definedName name="XRefPaste71Row" hidden="1">#REF!</definedName>
    <definedName name="XRefPaste72" localSheetId="10" hidden="1">#REF!</definedName>
    <definedName name="XRefPaste72" hidden="1">[335]Lead!#REF!</definedName>
    <definedName name="XRefPaste72Row" localSheetId="10" hidden="1">#REF!</definedName>
    <definedName name="XRefPaste72Row" hidden="1">#REF!</definedName>
    <definedName name="XRefPaste73" localSheetId="10"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localSheetId="10" hidden="1">#REF!</definedName>
    <definedName name="XRefPaste8" hidden="1">'[312]O Equip.'!#REF!</definedName>
    <definedName name="XRefPaste80" localSheetId="10" hidden="1">#REF!</definedName>
    <definedName name="XRefPaste80" hidden="1">[335]Lead!#REF!</definedName>
    <definedName name="XRefPaste80Row" localSheetId="10" hidden="1">#REF!</definedName>
    <definedName name="XRefPaste80Row" hidden="1">#REF!</definedName>
    <definedName name="XRefPaste81" localSheetId="10"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localSheetId="10" hidden="1">#REF!</definedName>
    <definedName name="XRefPaste88" hidden="1">[335]Lead!#REF!</definedName>
    <definedName name="XRefPaste88Row" localSheetId="10" hidden="1">#REF!</definedName>
    <definedName name="XRefPaste88Row" hidden="1">#REF!</definedName>
    <definedName name="XRefPaste89" localSheetId="10" hidden="1">#REF!</definedName>
    <definedName name="XRefPaste89" hidden="1">#REF!</definedName>
    <definedName name="XRefPaste89Row" hidden="1">#REF!</definedName>
    <definedName name="XRefPaste8Row" hidden="1">#REF!</definedName>
    <definedName name="XRefPaste9" localSheetId="10" hidden="1">#REF!</definedName>
    <definedName name="XRefPaste9" hidden="1">'[312]O Equip.'!#REF!</definedName>
    <definedName name="XRefPaste90" localSheetId="10" hidden="1">#REF!</definedName>
    <definedName name="XRefPaste90" hidden="1">#REF!</definedName>
    <definedName name="XRefPaste90Row" localSheetId="1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[333]XREF!$A$90:$IV$90</definedName>
    <definedName name="XRefPaste94" hidden="1">#REF!</definedName>
    <definedName name="XRefPaste94Row" hidden="1">[333]XREF!$A$93:$IV$93</definedName>
    <definedName name="XRefPaste95" hidden="1">#REF!</definedName>
    <definedName name="XRefPaste95Row" hidden="1">[333]XREF!$A$97:$IV$97</definedName>
    <definedName name="XRefPaste96" hidden="1">#REF!</definedName>
    <definedName name="XRefPaste96Row" hidden="1">[333]XREF!$A$98:$IV$98</definedName>
    <definedName name="XRefPaste97" hidden="1">#REF!</definedName>
    <definedName name="XRefPaste97Row" hidden="1">[333]XREF!$A$99:$IV$99</definedName>
    <definedName name="XRefPaste98" hidden="1">#REF!</definedName>
    <definedName name="XRefPaste98Row" hidden="1">[333]XREF!$A$101:$IV$101</definedName>
    <definedName name="XRefPaste99" hidden="1">#REF!</definedName>
    <definedName name="XRefPaste99Row" hidden="1">[333]XREF!$A$102:$IV$102</definedName>
    <definedName name="XRefPaste9Row" localSheetId="10" hidden="1">#REF!</definedName>
    <definedName name="XRefPaste9Row" hidden="1">#REF!</definedName>
    <definedName name="XRefPasteRangeCount" localSheetId="10" hidden="1">60</definedName>
    <definedName name="XRefPasteRangeCount" hidden="1">11</definedName>
    <definedName name="xss" hidden="1">#REF!</definedName>
    <definedName name="XWU">#REF!</definedName>
    <definedName name="XWW">#N/A</definedName>
    <definedName name="xx">#REF!</definedName>
    <definedName name="ｘｘ">#REF!</definedName>
    <definedName name="xxx">'[337]TRIAL BALANCE'!#REF!</definedName>
    <definedName name="xxxx" hidden="1">[338]CE!#REF!</definedName>
    <definedName name="xy" localSheetId="10" hidden="1">{#N/A,#N/A,FALSE,"consu_cover";#N/A,#N/A,FALSE,"consu_strategy";#N/A,#N/A,FALSE,"consu_flow";#N/A,#N/A,FALSE,"Summary_reqmt";#N/A,#N/A,FALSE,"field_ppg";#N/A,#N/A,FALSE,"ppg_shop";#N/A,#N/A,FALSE,"strl";#N/A,#N/A,FALSE,"tankages";#N/A,#N/A,FALSE,"gases"}</definedName>
    <definedName name="xy" hidden="1">{#N/A,#N/A,FALSE,"consu_cover";#N/A,#N/A,FALSE,"consu_strategy";#N/A,#N/A,FALSE,"consu_flow";#N/A,#N/A,FALSE,"Summary_reqmt";#N/A,#N/A,FALSE,"field_ppg";#N/A,#N/A,FALSE,"ppg_shop";#N/A,#N/A,FALSE,"strl";#N/A,#N/A,FALSE,"tankages";#N/A,#N/A,FALSE,"gases"}</definedName>
    <definedName name="XYZ" localSheetId="1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XYZ" hidden="1">[339]Grouping!$A$1:$A$65536,[339]Grouping!$A$6:$IV$6</definedName>
    <definedName name="xzxzxcxc">#REF!</definedName>
    <definedName name="Y" localSheetId="10">#REF!</definedName>
    <definedName name="y">#N/A</definedName>
    <definedName name="YE">'[63]2. Forecast Drivers'!$D$10</definedName>
    <definedName name="Year">'[63]2. Forecast Drivers'!$E$337:$AD$337</definedName>
    <definedName name="Year_of_Foreclosure">[121]Summary!#REF!</definedName>
    <definedName name="Year1">#REF!</definedName>
    <definedName name="year2011">#REF!</definedName>
    <definedName name="Years">[130]Data!$A$2:$IV$2</definedName>
    <definedName name="YearType">[130]Data!$A$1:$IV$1</definedName>
    <definedName name="yend">[38]INFO!$B$4</definedName>
    <definedName name="YENDP">[38]INFO!$B$5</definedName>
    <definedName name="yes1">[214]Input!$B$162</definedName>
    <definedName name="yes10">[214]Input!$K$162</definedName>
    <definedName name="yes2">[214]Input!$C$162</definedName>
    <definedName name="yes3">[214]Input!$D$162</definedName>
    <definedName name="yes4">[214]Input!$E$162</definedName>
    <definedName name="yes5">[214]Input!$F$162</definedName>
    <definedName name="yes6">[214]Input!$G$162</definedName>
    <definedName name="yes7">[214]Input!$H$162</definedName>
    <definedName name="yes8">[214]Input!$I$162</definedName>
    <definedName name="yes9">[214]Input!$J$162</definedName>
    <definedName name="YESNO">#REF!</definedName>
    <definedName name="YesNoNA">[27]Sheet1!$A$1:$A$3</definedName>
    <definedName name="YGJDG">#N/A</definedName>
    <definedName name="ygshjshua">#REF!</definedName>
    <definedName name="YIE">'[118]Yield-COB'!$B$4</definedName>
    <definedName name="YOSOUOQL">#REF!</definedName>
    <definedName name="Yr0days">#REF!</definedName>
    <definedName name="Yr1_Months_of_opn">'[112]NLD - Assum'!$B$11</definedName>
    <definedName name="Yr1_R">[121]Rollup!#REF!</definedName>
    <definedName name="Yr10_R">[121]Rollup!#REF!</definedName>
    <definedName name="yr1999.BusLossOthThanSpecLossCF">[39]CFL!$F$3</definedName>
    <definedName name="yr1999.HPLossCF">[39]CFL!$E$3</definedName>
    <definedName name="yr1999.LTCGLossCF">[39]CFL!$J$3</definedName>
    <definedName name="yr1999.STCGLossCF">[39]CFL!$I$3</definedName>
    <definedName name="Yr2_R">[121]Rollup!#REF!</definedName>
    <definedName name="yr2000.BusLossOthThanSpecLossCF1">[39]CFL!$F$4</definedName>
    <definedName name="yr2000.HPLossCF1">[39]CFL!$E$4</definedName>
    <definedName name="yr2000.LossFrmSpecBusCF1">[39]CFL!$G$4</definedName>
    <definedName name="yr2000.LTCGLossCF1">[39]CFL!$J$4</definedName>
    <definedName name="yr2000.STCGLossCF1">[39]CFL!$I$4</definedName>
    <definedName name="yr2001.BusLossOthThanSpecLossCF2">[39]CFL!$F$5</definedName>
    <definedName name="yr2001.HPLossCF2">[39]CFL!$E$5</definedName>
    <definedName name="yr2001.LossFrmSpecBusCF2">[39]CFL!$G$5</definedName>
    <definedName name="yr2001.LTCGLossCF2">[39]CFL!$J$5</definedName>
    <definedName name="yr2001.STCGLossCF2">[39]CFL!$I$5</definedName>
    <definedName name="yr2002.BusLossOthThanSpecLossCF3">[39]CFL!$F$6</definedName>
    <definedName name="yr2002.HPLossCF3">[39]CFL!$E$6</definedName>
    <definedName name="yr2002.LossFrmSpecBusCF3">[39]CFL!$G$6</definedName>
    <definedName name="yr2002.LTCGLossCF3">[39]CFL!$J$6</definedName>
    <definedName name="yr2002.STCGLossCF3">[39]CFL!$I$6</definedName>
    <definedName name="yr2003.BusLossOthThanSpecLossCF4">[39]CFL!$F$7</definedName>
    <definedName name="yr2003.HPLossCF4">[39]CFL!$E$7</definedName>
    <definedName name="yr2003.LossFrmSpecBusCF4">[39]CFL!$G$7</definedName>
    <definedName name="yr2003.LTCGLossCF4">[39]CFL!$J$7</definedName>
    <definedName name="yr2003.OthSrcLossRaceHorseCF4">[39]CFL!$L$7</definedName>
    <definedName name="yr2003.STCGLossCF4">[39]CFL!$I$7</definedName>
    <definedName name="yr2004.BusLossOthThanSpecLossCF5">[39]CFL!$F$8</definedName>
    <definedName name="yr2004.HPLossCF5">[39]CFL!$E$8</definedName>
    <definedName name="yr2004.LossFrmSpecBusCF5">[39]CFL!$G$8</definedName>
    <definedName name="yr2004.LTCGLossCF5">[39]CFL!$J$8</definedName>
    <definedName name="yr2004.OthSrcLossRaceHorseCF5">[39]CFL!$L$8</definedName>
    <definedName name="yr2004.STCGLossCF5">[39]CFL!$I$8</definedName>
    <definedName name="yr2005.BusLossOthThanSpecLossCF6">[39]CFL!$F$9</definedName>
    <definedName name="yr2005.HPLossCF6">[39]CFL!$E$9</definedName>
    <definedName name="yr2005.LossFrmSpecBusCF6">[39]CFL!$G$9</definedName>
    <definedName name="yr2005.LTCGLossCF6">[39]CFL!$J$9</definedName>
    <definedName name="yr2005.OthSrcLossRaceHorseCF6">[39]CFL!$L$9</definedName>
    <definedName name="yr2005.STCGLossCF6">[39]CFL!$I$9</definedName>
    <definedName name="yr2006.BusLossOthThanSpecLossCF7">[39]CFL!$F$10</definedName>
    <definedName name="yr2006.HPLossCF7">[39]CFL!$E$10</definedName>
    <definedName name="yr2006.LossFrmSpecBusCF7">[39]CFL!$G$10</definedName>
    <definedName name="yr2006.LossFrmSpecifiedBusCF7">[39]CFL!$H$10</definedName>
    <definedName name="yr2006.LTCGLossCF7">[39]CFL!$J$10</definedName>
    <definedName name="yr2006.OthSrcLossRaceHorseCF7">[39]CFL!$L$10</definedName>
    <definedName name="yr2006.STCGLossCF7">[39]CFL!$I$10</definedName>
    <definedName name="Yr3_R">[121]Rollup!#REF!</definedName>
    <definedName name="Yr4_R">[121]Rollup!#REF!</definedName>
    <definedName name="Yr5_R">[121]Rollup!#REF!</definedName>
    <definedName name="Yr6_R">[121]Rollup!#REF!</definedName>
    <definedName name="Yr7_R">[121]Rollup!#REF!</definedName>
    <definedName name="Yr8_R">[121]Rollup!#REF!</definedName>
    <definedName name="Yr9_R">[121]Rollup!#REF!</definedName>
    <definedName name="YSTable">'[114]YS-Bud'!$A$11:$Y$133</definedName>
    <definedName name="YTD">#REF!</definedName>
    <definedName name="YTDma">#REF!</definedName>
    <definedName name="yui">'[112]Capex-fixed'!#REF!</definedName>
    <definedName name="Z" localSheetId="10">#REF!</definedName>
    <definedName name="Z">#N/A</definedName>
    <definedName name="Z_0185ADC1_3830_11D3_88E4_00104B2D4E50_.wvu.FilterData" hidden="1">#REF!</definedName>
    <definedName name="Z_0185ADC2_3830_11D3_88E4_00104B2D4E50_.wvu.FilterData" hidden="1">#REF!</definedName>
    <definedName name="Z_020243C4_4FC9_11D3_88E5_00104B2D4E50_.wvu.FilterData" hidden="1">#REF!</definedName>
    <definedName name="Z_020243C5_4FC9_11D3_88E5_00104B2D4E50_.wvu.FilterData" hidden="1">#REF!</definedName>
    <definedName name="Z_020243D6_4FC9_11D3_88E5_00104B2D4E50_.wvu.FilterData" hidden="1">#REF!</definedName>
    <definedName name="Z_020243D9_4FC9_11D3_88E5_00104B2D4E50_.wvu.FilterData" hidden="1">#REF!</definedName>
    <definedName name="Z_14975FFC_4F72_4AAC_B05A_7E3F2538B3AD_.wvu.FilterData" hidden="1">#REF!</definedName>
    <definedName name="Z_18E867C2_363F_11D3_B384_00104B203064_.wvu.Cols" hidden="1">#REF!</definedName>
    <definedName name="Z_18E867C2_363F_11D3_B384_00104B203064_.wvu.FilterData" hidden="1">#REF!</definedName>
    <definedName name="Z_18E867C6_363F_11D3_B384_00104B203064_.wvu.FilterData" hidden="1">#REF!</definedName>
    <definedName name="Z_1A3E9F40_4FCC_11D2_A7FF_0060971217C0_.wvu.PrintArea" hidden="1">#REF!</definedName>
    <definedName name="Z_1A3E9F40_4FCC_11D2_A7FF_0060971217C0_.wvu.PrintTitles" hidden="1">#REF!</definedName>
    <definedName name="Z_2529F30F_675A_11D3_88E6_00104B2D4E50_.wvu.FilterData" hidden="1">#REF!</definedName>
    <definedName name="Z_2F0BD9A2_457D_11D2_8EE8_0060971217D4_.wvu.PrintArea" hidden="1">#REF!</definedName>
    <definedName name="Z_2F0BD9A2_457D_11D2_8EE8_0060971217D4_.wvu.PrintTitles" hidden="1">#REF!</definedName>
    <definedName name="Z_37C90060_2018_11D3_9FEA_008048EE1BB3_.wvu.Cols" hidden="1">#REF!</definedName>
    <definedName name="Z_37C90060_2018_11D3_9FEA_008048EE1BB3_.wvu.FilterData" hidden="1">#REF!</definedName>
    <definedName name="Z_37C90061_2018_11D3_9FEA_008048EE1BB3_.wvu.FilterData" hidden="1">#REF!</definedName>
    <definedName name="Z_37C90063_2018_11D3_9FEA_008048EE1BB3_.wvu.FilterData" hidden="1">#REF!</definedName>
    <definedName name="Z_3AB84060_44C7_11D2_8EE8_0060971217D4_.wvu.PrintArea" hidden="1">#REF!</definedName>
    <definedName name="Z_3AB84060_44C7_11D2_8EE8_0060971217D4_.wvu.PrintTitles" hidden="1">#REF!</definedName>
    <definedName name="Z_40BD8C62_D3AE_11D2_BB99_006097121403_.wvu.Cols" hidden="1">#REF!,#REF!,#REF!,#REF!,#REF!,#REF!</definedName>
    <definedName name="Z_40BD8C62_D3AE_11D2_BB99_006097121403_.wvu.FilterData" hidden="1">#REF!</definedName>
    <definedName name="Z_40BD8C62_D3AE_11D2_BB99_006097121403_.wvu.PrintArea" hidden="1">#REF!</definedName>
    <definedName name="Z_42082262_47C5_4083_A75E_526FAD58A78A_.wvu.Rows" hidden="1">#REF!,#REF!,#REF!,#REF!,#REF!,#REF!</definedName>
    <definedName name="Z_42177D60_3622_11D3_B2D2_008048EE2662_.wvu.FilterData" hidden="1">#REF!</definedName>
    <definedName name="Z_42CB23D9_FE0D_4360_B7CD_56A3AF127F7C_.wvu.Rows" hidden="1">#REF!,#REF!,#REF!,#REF!,#REF!,#REF!</definedName>
    <definedName name="Z_47AE1863_C7DD_11D6_BE51_0050BA324F5C_.wvu.PrintTitles" hidden="1">#REF!</definedName>
    <definedName name="Z_53D5D240_D3BC_11D2_B7DD_000001014838_.wvu.Cols" hidden="1">#REF!,#REF!,#REF!,#REF!,#REF!,#REF!,#REF!</definedName>
    <definedName name="Z_53D5D240_D3BC_11D2_B7DD_000001014838_.wvu.FilterData" hidden="1">#REF!</definedName>
    <definedName name="Z_5F72E90E_5306_4453_8ECA_43061516744D_.wvu.Rows" hidden="1">#REF!,#REF!,#REF!,#REF!,#REF!,#REF!</definedName>
    <definedName name="Z_7268092C_48A6_11D6_BF00_0048545546A4_.wvu.PrintArea" hidden="1">#REF!</definedName>
    <definedName name="Z_7268092C_48A6_11D6_BF00_0048545546A4_.wvu.Rows" hidden="1">#REF!,#REF!,#REF!,#REF!,#REF!,#REF!</definedName>
    <definedName name="Z_746852D3_BFD6_47E8_9DA9_56CF052FA174_.wvu.Rows" hidden="1">#REF!</definedName>
    <definedName name="Z_7CC30400_52D6_11D2_91E6_0060971217D4_.wvu.PrintArea" hidden="1">#REF!</definedName>
    <definedName name="Z_7CC30400_52D6_11D2_91E6_0060971217D4_.wvu.PrintTitles" hidden="1">#REF!</definedName>
    <definedName name="Z_87846904_F246_11D2_88E4_00104B2D4E50_.wvu.PrintTitles" hidden="1">#REF!,#REF!</definedName>
    <definedName name="Z_95199381_509B_11D2_A368_00001C3AD7D3_.wvu.PrintArea" hidden="1">#REF!</definedName>
    <definedName name="Z_95199381_509B_11D2_A368_00001C3AD7D3_.wvu.PrintTitles" hidden="1">#REF!</definedName>
    <definedName name="Z_9C36B7A0_8E17_11D3_B2D2_008048EE2662_.wvu.Rows" hidden="1">#REF!,#REF!,#REF!</definedName>
    <definedName name="Z_A1FB87D3_2893_43D1_8E7A_26B23B8067F7_.wvu.FilterData" hidden="1">#REF!</definedName>
    <definedName name="Z_A3876EF3_8056_414D_9895_185A0A47AC3D_.wvu.Rows" hidden="1">#REF!,#REF!,#REF!,#REF!,#REF!,#REF!</definedName>
    <definedName name="Z_AF67EA27_37A9_11D3_88E4_00104B2D4E50_.wvu.FilterData" hidden="1">#REF!</definedName>
    <definedName name="Z_BF010B80_D537_11D2_8F10_000001014271_.wvu.Cols" hidden="1">#REF!,#REF!,#REF!,#REF!,#REF!,#REF!,#REF!</definedName>
    <definedName name="Z_C2C0FF43_603F_11D2_A368_00001C3AD7D3_.wvu.PrintArea" hidden="1">#REF!</definedName>
    <definedName name="Z_C2C0FF43_603F_11D2_A368_00001C3AD7D3_.wvu.PrintTitles" hidden="1">#REF!</definedName>
    <definedName name="Z_CC26C000_67A6_11D3_B801_444553540000_.wvu.FilterData" hidden="1">#REF!</definedName>
    <definedName name="Z_D068BBA0_44C0_11D2_8EE8_0060971217D4_.wvu.Cols" hidden="1">#REF!,#REF!,#REF!,#REF!</definedName>
    <definedName name="Z_D068BBA0_44C0_11D2_8EE8_0060971217D4_.wvu.PrintArea" hidden="1">#REF!</definedName>
    <definedName name="Z_D068BBA0_44C0_11D2_8EE8_0060971217D4_.wvu.PrintTitles" hidden="1">#REF!</definedName>
    <definedName name="Z_D840F8B1_668B_11D3_88E6_00104B2D4E50_.wvu.FilterData" hidden="1">#REF!</definedName>
    <definedName name="Z_DE54EB4E_7288_4CBC_B1F8_54C2468A83E6_.wvu.Cols" hidden="1">#REF!,#REF!</definedName>
    <definedName name="Z_DE54EB4E_7288_4CBC_B1F8_54C2468A83E6_.wvu.PrintArea" hidden="1">#REF!</definedName>
    <definedName name="Z_DE54EB4E_7288_4CBC_B1F8_54C2468A83E6_.wvu.Rows" hidden="1">#REF!,#REF!,#REF!,#REF!</definedName>
    <definedName name="Z_F0339D6F_2232_11D3_88E4_00104B2D4E50_.wvu.FilterData" hidden="1">#REF!</definedName>
    <definedName name="Z_F3F2DB71_7CF8_11D4_AF24_0080AD91B2FE_.wvu.Rows" hidden="1">#REF!,#REF!,#REF!,#REF!,#REF!,#REF!</definedName>
    <definedName name="z_Group">#REF!</definedName>
    <definedName name="z_Jikko">#REF!</definedName>
    <definedName name="zbhh">#REF!</definedName>
    <definedName name="zcx" localSheetId="1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zcx"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Zentai">[208]全体!$A$1:$N$2</definedName>
    <definedName name="zep" localSheetId="1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zep"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zero">0</definedName>
    <definedName name="Zinsen1_3">#REF!</definedName>
    <definedName name="Zinsen4_5">#REF!</definedName>
    <definedName name="Zinsen6_7">#REF!</definedName>
    <definedName name="Zinsen8up">#REF!</definedName>
    <definedName name="zx" localSheetId="10" hidden="1">{#N/A,#N/A,FALSE,"RCC_cover";#N/A,#N/A,FALSE,"philoshophy";#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zx" hidden="1">{#N/A,#N/A,FALSE,"RCC_cover";#N/A,#N/A,FALSE,"philoshophy";#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zz">[340]ecc_res!#REF!</definedName>
    <definedName name="zzxxx">#REF!,#REF!</definedName>
    <definedName name="ZZZ" localSheetId="10">#REF!</definedName>
    <definedName name="ZZZ">ZZZ</definedName>
    <definedName name="zzzzzzzzzzzz" localSheetId="10" hidden="1">{#N/A,#N/A,FALSE,"COVER.XLS";#N/A,#N/A,FALSE,"RACT1.XLS";#N/A,#N/A,FALSE,"RACT2.XLS";#N/A,#N/A,FALSE,"ECCMP";#N/A,#N/A,FALSE,"WELDER.XLS"}</definedName>
    <definedName name="zzzzzzzzzzzz" hidden="1">{#N/A,#N/A,FALSE,"COVER.XLS";#N/A,#N/A,FALSE,"RACT1.XLS";#N/A,#N/A,FALSE,"RACT2.XLS";#N/A,#N/A,FALSE,"ECCMP";#N/A,#N/A,FALSE,"WELDER.XLS"}</definedName>
    <definedName name="あ">#REF!</definedName>
    <definedName name="あＳ">#REF!</definedName>
    <definedName name="あああ">#REF!</definedName>
    <definedName name="ああああ">#REF!</definedName>
    <definedName name="ああああああ">#REF!</definedName>
    <definedName name="ｻﾏﾘｰ表ﾌﾟﾘﾝﾄｴﾘｱ">#REF!</definedName>
    <definedName name="しがぎんﾘｰｽ">#REF!</definedName>
    <definedName name="ｼﾞｬｲﾛｻﾎﾟｰﾄ">#REF!</definedName>
    <definedName name="ｼﾞｬﾊﾟﾝｽﾎﾟｰﾂﾁｬﾝﾈﾙ">[205]国内work!#REF!</definedName>
    <definedName name="ｽｶｲﾏｰｸｴｱﾗｲﾝｽﾞ">[205]国内work!#REF!</definedName>
    <definedName name="ｾｶﾞ･ﾘｰｽ">#REF!</definedName>
    <definedName name="せとぎんﾘｰｽ">#REF!</definedName>
    <definedName name="その他">#REF!</definedName>
    <definedName name="とりぎんﾘｰｽ">#REF!</definedName>
    <definedName name="ﾆｺﾏｰﾄﾊｳｼﾞﾝｸﾞ">#REF!</definedName>
    <definedName name="ﾆﾁﾒﾝ・ﾃﾞｰﾀ_ｼｽﾃﾑ">#REF!</definedName>
    <definedName name="ﾆｯｾｲ_ﾘｰｽ">#REF!</definedName>
    <definedName name="ふんどし0308">'[341]1'!$A$1:$Q$785</definedName>
    <definedName name="ﾍﾟｶﾞｻｽ_ﾘｰｽ">#REF!</definedName>
    <definedName name="みなとﾘｰｽ">#REF!</definedName>
    <definedName name="ﾗﾝｷﾝｸﾞ20億超集計0406">#REF!</definedName>
    <definedName name="ﾚﾝﾀｶｰ中国">#REF!</definedName>
    <definedName name="ﾚﾝﾀｶｰ北陸">#REF!</definedName>
    <definedName name="中銀ﾘｰｽ">#REF!</definedName>
    <definedName name="佐川ﾘｰｽ">#REF!</definedName>
    <definedName name="再ﾘｽ34期">#REF!</definedName>
    <definedName name="再ﾘｽ35期">#REF!</definedName>
    <definedName name="再ﾘｽ36期">#REF!</definedName>
    <definedName name="再ﾘｽ36期A">[342]再ﾘｰｽ収益!#REF!</definedName>
    <definedName name="再ﾘｽ36期B">[342]再ﾘｰｽ収益!#REF!</definedName>
    <definedName name="利息34期B">[343]利息連結!#REF!</definedName>
    <definedName name="利息35期B">[343]利息連結!#REF!</definedName>
    <definedName name="利息36期A">[342]利息連結!#REF!</definedName>
    <definedName name="利息36期B">[342]利息連結!#REF!</definedName>
    <definedName name="前月">#REF!</definedName>
    <definedName name="前期AR">#REF!</definedName>
    <definedName name="北銀ﾘｰｽ">#REF!</definedName>
    <definedName name="単位千円">#REF!</definedName>
    <definedName name="印刷">#REF!</definedName>
    <definedName name="収益34期A">#REF!</definedName>
    <definedName name="収益34期B">#REF!</definedName>
    <definedName name="収益35期A">#REF!</definedName>
    <definedName name="収益35期B">#REF!</definedName>
    <definedName name="収益36期A">#REF!</definedName>
    <definedName name="収益36期B">#REF!</definedName>
    <definedName name="営業収益34期">#REF!</definedName>
    <definedName name="営業収益35期">#REF!</definedName>
    <definedName name="営業収益36期">#REF!</definedName>
    <definedName name="回収予定年月">#REF!</definedName>
    <definedName name="国1">#REF!</definedName>
    <definedName name="増減表の売却益と評価損">[344]Sheet1!$J$3:$O$23</definedName>
    <definedName name="小田さん用">#REF!</definedName>
    <definedName name="山口ｷｬﾋﾟﾀﾙ">[205]国内work!#REF!</definedName>
    <definedName name="山口ﾘｰｽ">#REF!</definedName>
    <definedName name="山口抵当証券">#REF!</definedName>
    <definedName name="当月">#REF!</definedName>
    <definedName name="徳銀ｵﾘｯｸｽ">#REF!</definedName>
    <definedName name="手数34期">#REF!</definedName>
    <definedName name="手数34期B">[343]受取手数料!#REF!</definedName>
    <definedName name="手数35期">#REF!</definedName>
    <definedName name="手数35期B">[343]受取手数料!#REF!</definedName>
    <definedName name="手数36期">#REF!</definedName>
    <definedName name="手数36期A">[342]受取手数料!#REF!</definedName>
    <definedName name="手数36期B">[342]受取手数料!#REF!</definedName>
    <definedName name="投資有価証券の科目内訳資料記入">#REF!</definedName>
    <definedName name="日立造船ﾋﾞｼﾞﾈｽ_ｸﾚｼﾞｯﾄ">#REF!</definedName>
    <definedName name="明細Ａ_８">#REF!</definedName>
    <definedName name="時価算出の方法について概略をご">#REF!</definedName>
    <definedName name="有価証券残高明細0309">#REF!</definedName>
    <definedName name="未着分見積">[205]AFFI内訳!#REF!</definedName>
    <definedName name="東営１部">#REF!</definedName>
    <definedName name="東営２部">#REF!</definedName>
    <definedName name="東営３部">#REF!</definedName>
    <definedName name="東営４部">#REF!</definedName>
    <definedName name="東営５部">#REF!</definedName>
    <definedName name="東営６部">#REF!</definedName>
    <definedName name="東営７部">#REF!</definedName>
    <definedName name="東営８部">#REF!</definedName>
    <definedName name="東営９部">#REF!</definedName>
    <definedName name="栗林ﾘｰｽ">#REF!</definedName>
    <definedName name="検索データ領域">#REF!</definedName>
    <definedName name="検索借方">#REF!</definedName>
    <definedName name="検索勘定科目">#REF!</definedName>
    <definedName name="検索組織名">#REF!</definedName>
    <definedName name="検索貸方">#REF!</definedName>
    <definedName name="残年数TABLE">#REF!</definedName>
    <definedName name="残高34期A">#REF!</definedName>
    <definedName name="残高34期B">#REF!</definedName>
    <definedName name="残高35期A">#REF!</definedName>
    <definedName name="残高35期B">#REF!</definedName>
    <definedName name="残高36期A">#REF!</definedName>
    <definedName name="残高36期B">#REF!</definedName>
    <definedName name="泉銀総合ﾘｰｽ">#REF!</definedName>
    <definedName name="注意">#REF!</definedName>
    <definedName name="用途一覧">#REF!</definedName>
    <definedName name="発生34期A">#REF!</definedName>
    <definedName name="発生34期B">#REF!</definedName>
    <definedName name="発生35期A">#REF!</definedName>
    <definedName name="発生35期B">#REF!</definedName>
    <definedName name="発生36期A">[342]発生連結!#REF!</definedName>
    <definedName name="発生36期B">[342]発生連結!#REF!</definedName>
    <definedName name="発行済株式数">[345]関連会社明細!$AB$17:$AB$78</definedName>
    <definedName name="百五ﾘｰｽ">#REF!</definedName>
    <definedName name="科目3_AMOUNT1">[346]売却可能公債!#REF!</definedName>
    <definedName name="科目9_ACCOUNT">#REF!</definedName>
    <definedName name="科目9_ACCOUNT1">#REF!</definedName>
    <definedName name="科目9_AMOUNT">#REF!</definedName>
    <definedName name="科目9_AMOUNT1">#REF!</definedName>
    <definedName name="科目9_OPTION">#REF!</definedName>
    <definedName name="科目9_OPTION1">#REF!</definedName>
    <definedName name="税引前利益">'[347]3部提出用累計'!#REF!</definedName>
    <definedName name="総括表">#REF!</definedName>
    <definedName name="繰入36期A">[342]繰入連結!#REF!</definedName>
    <definedName name="繰入36期B">[342]繰入連結!#REF!</definedName>
    <definedName name="背部" localSheetId="10">'Depreciation Schedule'!背部</definedName>
    <definedName name="背部">背部</definedName>
    <definedName name="脚注11_ACCOUNT">#REF!</definedName>
    <definedName name="脚注11_ACCOUNT1">#REF!</definedName>
    <definedName name="脚注11_AMOUNT">#REF!</definedName>
    <definedName name="脚注11_AMOUNT1">#REF!</definedName>
    <definedName name="脚注11_OPTION">#REF!</definedName>
    <definedName name="脚注11_OPTION1">#REF!</definedName>
    <definedName name="脚注12_ACCOUNT1">#REF!</definedName>
    <definedName name="脚注12_AMOUNT1">#REF!</definedName>
    <definedName name="脚注12_OPTION1">#REF!</definedName>
    <definedName name="脚注16_ACCOUNT">#REF!</definedName>
    <definedName name="脚注16_ACCOUNT1">#REF!</definedName>
    <definedName name="脚注16_AMOUNT">#REF!</definedName>
    <definedName name="脚注16_AMOUNT1">#REF!</definedName>
    <definedName name="脚注16_OPTION">#REF!</definedName>
    <definedName name="脚注16_OPTION1">#REF!</definedName>
    <definedName name="脚注3_ACCOUNT">#REF!</definedName>
    <definedName name="脚注3_AMOUNT">#REF!</definedName>
    <definedName name="脚注3_OPTION">#REF!</definedName>
    <definedName name="脚注5_ACCOUNT">#REF!</definedName>
    <definedName name="脚注5_ACCOUNT1">#REF!</definedName>
    <definedName name="脚注5_AMOUNT">#REF!</definedName>
    <definedName name="脚注5_AMOUNT1">#REF!</definedName>
    <definedName name="脚注5_OPTION">#REF!</definedName>
    <definedName name="脚注5_OPTION1">#REF!</definedName>
    <definedName name="薬源">#REF!</definedName>
    <definedName name="諸原価">'[347]3部提出用累計'!#REF!</definedName>
    <definedName name="諸原価34期">[343]諸原価連結!#REF!</definedName>
    <definedName name="諸原価34期B">[343]諸原価連結!#REF!</definedName>
    <definedName name="諸原価35期">[343]諸原価連結!#REF!</definedName>
    <definedName name="諸原価35期B">[343]諸原価連結!#REF!</definedName>
    <definedName name="諸原価36期">[343]諸原価連結!#REF!</definedName>
    <definedName name="諸原価36期A">[342]諸原価連結!#REF!</definedName>
    <definedName name="諸原価36期B">[342]諸原価連結!#REF!</definedName>
    <definedName name="貢献利益">[348]四半期毎MICﾃﾞｰﾀ転記!$B$4:$C$319</definedName>
    <definedName name="販管34期B">[349]単体SGA!#REF!</definedName>
    <definedName name="販管35期B">[349]単体SGA!#REF!</definedName>
    <definedName name="販管36期A">[342]販管連結!#REF!</definedName>
    <definedName name="販管36期B">[342]販管連結!#REF!</definedName>
    <definedName name="販管費">'[347]3部提出用累計'!#REF!</definedName>
    <definedName name="貸倒">'[347]3部提出用累計'!#REF!</definedName>
    <definedName name="貸倒HEAD">#REF!</definedName>
    <definedName name="貸引増減表前期">#REF!</definedName>
    <definedName name="資産平残">'[347]3部提出用累計'!#REF!</definedName>
    <definedName name="資産平残34期">[342]平残連結!#REF!</definedName>
    <definedName name="資産平残35期">[342]平残連結!#REF!</definedName>
    <definedName name="資産平残36期">[342]平残連結!#REF!</definedName>
    <definedName name="配賦.box2_select">[350]!配賦.box2_select</definedName>
    <definedName name="配賦.OptionChk1">[350]!配賦.OptionChk1</definedName>
    <definedName name="配賦.OptionChk2">[350]!配賦.OptionChk2</definedName>
    <definedName name="配賦.OptionChk3">[350]!配賦.OptionChk3</definedName>
    <definedName name="配賦DB_Module.box2_select" localSheetId="10">'Depreciation Schedule'!配賦DB_Module.box2_select</definedName>
    <definedName name="配賦DB_Module.box2_select">配賦DB_Module.box2_select</definedName>
    <definedName name="配賦DB_Module.OptionChk1" localSheetId="10">'Depreciation Schedule'!配賦DB_Module.OptionChk1</definedName>
    <definedName name="配賦DB_Module.OptionChk1">配賦DB_Module.OptionChk1</definedName>
    <definedName name="配賦DB_Module.OptionChk2" localSheetId="10">'Depreciation Schedule'!配賦DB_Module.OptionChk2</definedName>
    <definedName name="配賦DB_Module.OptionChk2">配賦DB_Module.OptionChk2</definedName>
    <definedName name="配賦DB_Module.OptionChk3" localSheetId="10">'Depreciation Schedule'!配賦DB_Module.OptionChk3</definedName>
    <definedName name="配賦DB_Module.OptionChk3">配賦DB_Module.OptionChk3</definedName>
    <definedName name="配賦EX_Module.Haifu_Execute" localSheetId="10">'Depreciation Schedule'!配賦EX_Module.Haifu_Execute</definedName>
    <definedName name="配賦EX_Module.Haifu_Execute">配賦EX_Module.Haifu_Execute</definedName>
    <definedName name="配賦EX_Module.Haifu_NumberEdit" localSheetId="10">'Depreciation Schedule'!配賦EX_Module.Haifu_NumberEdit</definedName>
    <definedName name="配賦EX_Module.Haifu_NumberEdit">配賦EX_Module.Haifu_NumberEdit</definedName>
    <definedName name="間接所有">[345]関連会社明細!$BB$14:$BU$14</definedName>
    <definedName name="項___目">#REF!</definedName>
    <definedName name="香川銀ﾘｰｽ">#REF!</definedName>
  </definedNames>
  <calcPr calcId="191029"/>
</workbook>
</file>

<file path=xl/calcChain.xml><?xml version="1.0" encoding="utf-8"?>
<calcChain xmlns="http://schemas.openxmlformats.org/spreadsheetml/2006/main">
  <c r="C21" i="29" l="1"/>
  <c r="O38" i="34" s="1"/>
  <c r="O37" i="34" s="1"/>
  <c r="O46" i="34"/>
  <c r="O45" i="34"/>
  <c r="O44" i="34"/>
  <c r="O17" i="34"/>
  <c r="R15" i="34" s="1"/>
  <c r="E64" i="31"/>
  <c r="S15" i="34" l="1"/>
  <c r="Q15" i="34"/>
  <c r="O15" i="34"/>
  <c r="P15" i="34"/>
  <c r="T15" i="34"/>
  <c r="T20" i="34"/>
  <c r="O39" i="34"/>
  <c r="T21" i="34" l="1"/>
  <c r="E61" i="31"/>
  <c r="E55" i="31"/>
  <c r="E49" i="31"/>
  <c r="I28" i="31"/>
  <c r="I33" i="31"/>
  <c r="I38" i="31"/>
  <c r="M36" i="23"/>
  <c r="M37" i="23"/>
  <c r="M38" i="23"/>
  <c r="M39" i="23"/>
  <c r="T23" i="30"/>
  <c r="C14" i="29"/>
  <c r="L6" i="23"/>
  <c r="H34" i="22"/>
  <c r="H33" i="22"/>
  <c r="H32" i="22"/>
  <c r="H31" i="22"/>
  <c r="H30" i="22"/>
  <c r="H29" i="22"/>
  <c r="H27" i="22"/>
  <c r="H26" i="22"/>
  <c r="H25" i="22"/>
  <c r="H24" i="22"/>
  <c r="H23" i="22"/>
  <c r="H18" i="22"/>
  <c r="H19" i="22"/>
  <c r="H20" i="22"/>
  <c r="H21" i="22"/>
  <c r="H22" i="22"/>
  <c r="H17" i="22"/>
  <c r="H15" i="22"/>
  <c r="H14" i="22"/>
  <c r="H12" i="22"/>
  <c r="H10" i="22"/>
  <c r="H8" i="22"/>
  <c r="L29" i="23"/>
  <c r="X6" i="30"/>
  <c r="X21" i="30"/>
  <c r="D54" i="35"/>
  <c r="O28" i="34" l="1"/>
  <c r="O26" i="34"/>
  <c r="P14" i="34"/>
  <c r="P10" i="34"/>
  <c r="Q10" i="34"/>
  <c r="R10" i="34"/>
  <c r="S10" i="34"/>
  <c r="T10" i="34"/>
  <c r="O10" i="34"/>
  <c r="P3" i="34"/>
  <c r="Q3" i="34" s="1"/>
  <c r="R3" i="34" s="1"/>
  <c r="S3" i="34" s="1"/>
  <c r="T3" i="34" s="1"/>
  <c r="Q14" i="34" l="1"/>
  <c r="R14" i="34" l="1"/>
  <c r="S14" i="34" l="1"/>
  <c r="T14" i="34" l="1"/>
  <c r="E27" i="34" l="1"/>
  <c r="F27" i="34" s="1"/>
  <c r="G27" i="34" s="1"/>
  <c r="H27" i="34" s="1"/>
  <c r="I27" i="34" s="1"/>
  <c r="O29" i="34"/>
  <c r="D41" i="35"/>
  <c r="D90" i="35"/>
  <c r="C80" i="35"/>
  <c r="C81" i="35" s="1"/>
  <c r="C82" i="35" s="1"/>
  <c r="C83" i="35" s="1"/>
  <c r="C84" i="35" s="1"/>
  <c r="C85" i="35" s="1"/>
  <c r="C86" i="35" s="1"/>
  <c r="C87" i="35" s="1"/>
  <c r="C88" i="35" s="1"/>
  <c r="C89" i="35" s="1"/>
  <c r="B80" i="35"/>
  <c r="B81" i="35" s="1"/>
  <c r="B82" i="35" s="1"/>
  <c r="B83" i="35" s="1"/>
  <c r="B84" i="35" s="1"/>
  <c r="B85" i="35" s="1"/>
  <c r="B86" i="35" s="1"/>
  <c r="B87" i="35" s="1"/>
  <c r="B88" i="35" s="1"/>
  <c r="B89" i="35" s="1"/>
  <c r="C75" i="35"/>
  <c r="M73" i="35"/>
  <c r="L73" i="35"/>
  <c r="K73" i="35"/>
  <c r="J73" i="35"/>
  <c r="I73" i="35"/>
  <c r="H73" i="35"/>
  <c r="G73" i="35"/>
  <c r="F73" i="35"/>
  <c r="E73" i="35"/>
  <c r="D73" i="35"/>
  <c r="C73" i="35"/>
  <c r="C74" i="35" s="1"/>
  <c r="D74" i="35" s="1"/>
  <c r="E74" i="35" s="1"/>
  <c r="F74" i="35" s="1"/>
  <c r="G74" i="35" s="1"/>
  <c r="H74" i="35" s="1"/>
  <c r="I74" i="35" s="1"/>
  <c r="J74" i="35" s="1"/>
  <c r="K74" i="35" s="1"/>
  <c r="L74" i="35" s="1"/>
  <c r="M74" i="35" s="1"/>
  <c r="D72" i="35"/>
  <c r="E72" i="35" s="1"/>
  <c r="F72" i="35" s="1"/>
  <c r="G72" i="35" s="1"/>
  <c r="H72" i="35" s="1"/>
  <c r="I72" i="35" s="1"/>
  <c r="J72" i="35" s="1"/>
  <c r="K72" i="35" s="1"/>
  <c r="L72" i="35" s="1"/>
  <c r="M72" i="35" s="1"/>
  <c r="C70" i="35"/>
  <c r="C58" i="35"/>
  <c r="D58" i="35" s="1"/>
  <c r="E58" i="35" s="1"/>
  <c r="F58" i="35" s="1"/>
  <c r="G58" i="35" s="1"/>
  <c r="H58" i="35" s="1"/>
  <c r="I58" i="35" s="1"/>
  <c r="J58" i="35" s="1"/>
  <c r="K58" i="35" s="1"/>
  <c r="L58" i="35" s="1"/>
  <c r="M58" i="35" s="1"/>
  <c r="D53" i="35"/>
  <c r="D45" i="35"/>
  <c r="D47" i="35"/>
  <c r="D49" i="35" s="1"/>
  <c r="C39" i="35"/>
  <c r="D23" i="35"/>
  <c r="C23" i="35"/>
  <c r="D19" i="35"/>
  <c r="E19" i="35" s="1"/>
  <c r="C18" i="35"/>
  <c r="M11" i="35"/>
  <c r="L11" i="35"/>
  <c r="K11" i="35"/>
  <c r="J11" i="35"/>
  <c r="I11" i="35"/>
  <c r="H11" i="35"/>
  <c r="G11" i="35"/>
  <c r="F11" i="35"/>
  <c r="E11" i="35"/>
  <c r="D11" i="35"/>
  <c r="C11" i="35"/>
  <c r="M10" i="35"/>
  <c r="L10" i="35"/>
  <c r="K10" i="35"/>
  <c r="J10" i="35"/>
  <c r="I10" i="35"/>
  <c r="H10" i="35"/>
  <c r="G10" i="35"/>
  <c r="F10" i="35"/>
  <c r="E10" i="35"/>
  <c r="D10" i="35"/>
  <c r="C10" i="35"/>
  <c r="J9" i="35"/>
  <c r="J12" i="35" s="1"/>
  <c r="F9" i="35"/>
  <c r="F12" i="35" s="1"/>
  <c r="M8" i="35"/>
  <c r="L8" i="35"/>
  <c r="K8" i="35"/>
  <c r="J8" i="35"/>
  <c r="I8" i="35"/>
  <c r="H8" i="35"/>
  <c r="G8" i="35"/>
  <c r="F8" i="35"/>
  <c r="E8" i="35"/>
  <c r="D8" i="35"/>
  <c r="C8" i="35"/>
  <c r="M7" i="35"/>
  <c r="L7" i="35"/>
  <c r="K7" i="35"/>
  <c r="J7" i="35"/>
  <c r="I7" i="35"/>
  <c r="H7" i="35"/>
  <c r="G7" i="35"/>
  <c r="F7" i="35"/>
  <c r="E7" i="35"/>
  <c r="D7" i="35"/>
  <c r="C7" i="35"/>
  <c r="M6" i="35"/>
  <c r="M9" i="35" s="1"/>
  <c r="M12" i="35" s="1"/>
  <c r="L6" i="35"/>
  <c r="L9" i="35" s="1"/>
  <c r="L12" i="35" s="1"/>
  <c r="K6" i="35"/>
  <c r="K9" i="35" s="1"/>
  <c r="K12" i="35" s="1"/>
  <c r="J6" i="35"/>
  <c r="I6" i="35"/>
  <c r="I9" i="35" s="1"/>
  <c r="I12" i="35" s="1"/>
  <c r="H6" i="35"/>
  <c r="H9" i="35" s="1"/>
  <c r="H12" i="35" s="1"/>
  <c r="G6" i="35"/>
  <c r="G9" i="35" s="1"/>
  <c r="G12" i="35" s="1"/>
  <c r="F6" i="35"/>
  <c r="E6" i="35"/>
  <c r="E9" i="35" s="1"/>
  <c r="E12" i="35" s="1"/>
  <c r="D6" i="35"/>
  <c r="D9" i="35" s="1"/>
  <c r="D12" i="35" s="1"/>
  <c r="C6" i="35"/>
  <c r="C9" i="35" s="1"/>
  <c r="C12" i="35" s="1"/>
  <c r="D5" i="35"/>
  <c r="E5" i="35" s="1"/>
  <c r="F5" i="35" s="1"/>
  <c r="G5" i="35" s="1"/>
  <c r="H5" i="35" s="1"/>
  <c r="I5" i="35" s="1"/>
  <c r="J5" i="35" s="1"/>
  <c r="K5" i="35" s="1"/>
  <c r="L5" i="35" s="1"/>
  <c r="M5" i="35" s="1"/>
  <c r="D4" i="35"/>
  <c r="D70" i="35" s="1"/>
  <c r="D55" i="35" l="1"/>
  <c r="D56" i="35" s="1"/>
  <c r="C15" i="35" s="1"/>
  <c r="J60" i="35" s="1"/>
  <c r="J62" i="35" s="1"/>
  <c r="J65" i="35" s="1"/>
  <c r="C76" i="35"/>
  <c r="C13" i="35"/>
  <c r="E23" i="35"/>
  <c r="E24" i="35" s="1"/>
  <c r="F19" i="35"/>
  <c r="E4" i="35"/>
  <c r="D18" i="35"/>
  <c r="L60" i="35" l="1"/>
  <c r="L62" i="35" s="1"/>
  <c r="L65" i="35" s="1"/>
  <c r="C60" i="35"/>
  <c r="C62" i="35" s="1"/>
  <c r="C65" i="35" s="1"/>
  <c r="I60" i="35"/>
  <c r="I62" i="35" s="1"/>
  <c r="I65" i="35" s="1"/>
  <c r="G60" i="35"/>
  <c r="G62" i="35" s="1"/>
  <c r="G65" i="35" s="1"/>
  <c r="M60" i="35"/>
  <c r="M62" i="35" s="1"/>
  <c r="M65" i="35" s="1"/>
  <c r="D60" i="35"/>
  <c r="D62" i="35" s="1"/>
  <c r="D65" i="35" s="1"/>
  <c r="K60" i="35"/>
  <c r="K62" i="35" s="1"/>
  <c r="K65" i="35" s="1"/>
  <c r="F60" i="35"/>
  <c r="F62" i="35" s="1"/>
  <c r="F65" i="35" s="1"/>
  <c r="H60" i="35"/>
  <c r="H62" i="35" s="1"/>
  <c r="H65" i="35" s="1"/>
  <c r="E60" i="35"/>
  <c r="E62" i="35" s="1"/>
  <c r="E65" i="35" s="1"/>
  <c r="F4" i="35"/>
  <c r="E18" i="35"/>
  <c r="E70" i="35"/>
  <c r="F23" i="35"/>
  <c r="F24" i="35" s="1"/>
  <c r="G19" i="35"/>
  <c r="C67" i="35" l="1"/>
  <c r="H19" i="35"/>
  <c r="G23" i="35"/>
  <c r="G24" i="35" s="1"/>
  <c r="G4" i="35"/>
  <c r="F18" i="35"/>
  <c r="F70" i="35"/>
  <c r="G18" i="35" l="1"/>
  <c r="G70" i="35"/>
  <c r="H4" i="35"/>
  <c r="I19" i="35"/>
  <c r="I23" i="35" s="1"/>
  <c r="H23" i="35"/>
  <c r="H24" i="35" s="1"/>
  <c r="I24" i="35" s="1"/>
  <c r="H70" i="35" l="1"/>
  <c r="I4" i="35"/>
  <c r="H18" i="35"/>
  <c r="I18" i="35" l="1"/>
  <c r="J4" i="35"/>
  <c r="I70" i="35"/>
  <c r="K4" i="35" l="1"/>
  <c r="J70" i="35"/>
  <c r="K70" i="35" l="1"/>
  <c r="L4" i="35"/>
  <c r="L70" i="35" l="1"/>
  <c r="M4" i="35"/>
  <c r="M70" i="35" s="1"/>
  <c r="C8" i="29" l="1"/>
  <c r="J17" i="31" l="1"/>
  <c r="I17" i="31"/>
  <c r="L14" i="23" l="1"/>
  <c r="M16" i="23"/>
  <c r="N16" i="23"/>
  <c r="O16" i="23"/>
  <c r="P16" i="23"/>
  <c r="Q16" i="23"/>
  <c r="R16" i="23"/>
  <c r="C15" i="34"/>
  <c r="D15" i="34"/>
  <c r="E15" i="34"/>
  <c r="F15" i="34"/>
  <c r="G15" i="34"/>
  <c r="H15" i="34"/>
  <c r="I15" i="34"/>
  <c r="C36" i="34"/>
  <c r="D26" i="34"/>
  <c r="D28" i="34" s="1"/>
  <c r="E26" i="34"/>
  <c r="F26" i="34"/>
  <c r="G26" i="34"/>
  <c r="G28" i="34" s="1"/>
  <c r="H26" i="34"/>
  <c r="H28" i="34" s="1"/>
  <c r="I26" i="34"/>
  <c r="I28" i="34" s="1"/>
  <c r="C26" i="34"/>
  <c r="E15" i="29"/>
  <c r="E14" i="29"/>
  <c r="C14" i="34"/>
  <c r="C42" i="34"/>
  <c r="C40" i="34"/>
  <c r="F28" i="34"/>
  <c r="E28" i="34"/>
  <c r="D21" i="34"/>
  <c r="D7" i="30"/>
  <c r="C33" i="30" s="1"/>
  <c r="D6" i="30"/>
  <c r="F25" i="30" s="1"/>
  <c r="D5" i="30"/>
  <c r="C21" i="30" s="1"/>
  <c r="D4" i="30"/>
  <c r="F13" i="30" s="1"/>
  <c r="R15" i="23"/>
  <c r="Q15" i="23"/>
  <c r="P15" i="23"/>
  <c r="O15" i="23"/>
  <c r="N15" i="23"/>
  <c r="M15" i="23"/>
  <c r="C15" i="29"/>
  <c r="D30" i="30" l="1"/>
  <c r="I13" i="30"/>
  <c r="E13" i="30"/>
  <c r="I25" i="30"/>
  <c r="E25" i="30"/>
  <c r="C15" i="30"/>
  <c r="D12" i="30" s="1"/>
  <c r="H13" i="30"/>
  <c r="D19" i="30"/>
  <c r="H25" i="30"/>
  <c r="D13" i="30"/>
  <c r="G13" i="30"/>
  <c r="D25" i="30"/>
  <c r="G25" i="30"/>
  <c r="C27" i="30"/>
  <c r="C36" i="30" s="1"/>
  <c r="J13" i="30"/>
  <c r="J25" i="30"/>
  <c r="C28" i="34"/>
  <c r="D18" i="30"/>
  <c r="D20" i="30" s="1"/>
  <c r="D24" i="30" l="1"/>
  <c r="O24" i="34"/>
  <c r="C38" i="34"/>
  <c r="D51" i="34" s="1"/>
  <c r="D32" i="30"/>
  <c r="D33" i="30"/>
  <c r="D15" i="30"/>
  <c r="E12" i="30" s="1"/>
  <c r="E14" i="30" s="1"/>
  <c r="D14" i="30"/>
  <c r="D21" i="30"/>
  <c r="E18" i="30" s="1"/>
  <c r="E21" i="30" s="1"/>
  <c r="D27" i="30"/>
  <c r="E24" i="30" s="1"/>
  <c r="E26" i="30" s="1"/>
  <c r="D26" i="30"/>
  <c r="E20" i="30" l="1"/>
  <c r="E15" i="30"/>
  <c r="F12" i="30" s="1"/>
  <c r="F14" i="30" s="1"/>
  <c r="E27" i="30"/>
  <c r="F24" i="30" s="1"/>
  <c r="F26" i="30" s="1"/>
  <c r="M23" i="23"/>
  <c r="D12" i="34" s="1"/>
  <c r="E30" i="30"/>
  <c r="D36" i="30"/>
  <c r="D37" i="30" s="1"/>
  <c r="C16" i="34" s="1"/>
  <c r="F15" i="30"/>
  <c r="G12" i="30" s="1"/>
  <c r="G14" i="30" s="1"/>
  <c r="F27" i="30" l="1"/>
  <c r="G24" i="30" s="1"/>
  <c r="G26" i="30" s="1"/>
  <c r="O7" i="34"/>
  <c r="E32" i="30"/>
  <c r="N23" i="23" s="1"/>
  <c r="E33" i="30"/>
  <c r="G27" i="30"/>
  <c r="H24" i="30" s="1"/>
  <c r="H26" i="30" s="1"/>
  <c r="G15" i="30"/>
  <c r="H12" i="30" s="1"/>
  <c r="H14" i="30" s="1"/>
  <c r="E12" i="34" l="1"/>
  <c r="P7" i="34"/>
  <c r="F30" i="30"/>
  <c r="E36" i="30"/>
  <c r="E37" i="30" s="1"/>
  <c r="H27" i="30"/>
  <c r="I24" i="30" s="1"/>
  <c r="I26" i="30" s="1"/>
  <c r="H15" i="30"/>
  <c r="I12" i="30" s="1"/>
  <c r="I14" i="30" s="1"/>
  <c r="D16" i="34" l="1"/>
  <c r="O11" i="34"/>
  <c r="F32" i="30"/>
  <c r="O23" i="23" s="1"/>
  <c r="F33" i="30"/>
  <c r="I27" i="30"/>
  <c r="J24" i="30" s="1"/>
  <c r="J26" i="30" s="1"/>
  <c r="I15" i="30"/>
  <c r="J12" i="30" s="1"/>
  <c r="J14" i="30" s="1"/>
  <c r="F12" i="34" l="1"/>
  <c r="Q7" i="34"/>
  <c r="G30" i="30"/>
  <c r="F36" i="30"/>
  <c r="F37" i="30" s="1"/>
  <c r="J27" i="30"/>
  <c r="K24" i="30" s="1"/>
  <c r="K26" i="30" s="1"/>
  <c r="J15" i="30"/>
  <c r="K12" i="30" s="1"/>
  <c r="E16" i="34" l="1"/>
  <c r="P11" i="34"/>
  <c r="G32" i="30"/>
  <c r="P23" i="23" s="1"/>
  <c r="G33" i="30"/>
  <c r="K27" i="30"/>
  <c r="K15" i="30"/>
  <c r="G12" i="34" l="1"/>
  <c r="R7" i="34"/>
  <c r="H30" i="30"/>
  <c r="G36" i="30"/>
  <c r="G37" i="30" s="1"/>
  <c r="F16" i="34" l="1"/>
  <c r="Q11" i="34"/>
  <c r="H32" i="30"/>
  <c r="Q23" i="23" s="1"/>
  <c r="H33" i="30"/>
  <c r="B105" i="33"/>
  <c r="M104" i="33"/>
  <c r="L104" i="33"/>
  <c r="D73" i="33"/>
  <c r="D20" i="33"/>
  <c r="D18" i="33"/>
  <c r="D16" i="33"/>
  <c r="D15" i="33"/>
  <c r="D6" i="33"/>
  <c r="H12" i="34" l="1"/>
  <c r="S7" i="34"/>
  <c r="I30" i="30"/>
  <c r="H36" i="30"/>
  <c r="H37" i="30" s="1"/>
  <c r="B106" i="33"/>
  <c r="C108" i="33" s="1"/>
  <c r="K104" i="33"/>
  <c r="J104" i="33"/>
  <c r="I104" i="33"/>
  <c r="H104" i="33"/>
  <c r="G104" i="33"/>
  <c r="F104" i="33"/>
  <c r="E104" i="33"/>
  <c r="D104" i="33"/>
  <c r="C104" i="33"/>
  <c r="K92" i="33"/>
  <c r="J92" i="33"/>
  <c r="D92" i="33"/>
  <c r="K91" i="33"/>
  <c r="I10" i="25" s="1"/>
  <c r="J91" i="33"/>
  <c r="H10" i="25" s="1"/>
  <c r="D91" i="33"/>
  <c r="E82" i="33"/>
  <c r="F82" i="33" s="1"/>
  <c r="D79" i="33"/>
  <c r="D80" i="33" s="1"/>
  <c r="E73" i="33"/>
  <c r="D69" i="33"/>
  <c r="D70" i="33" s="1"/>
  <c r="E63" i="33"/>
  <c r="F63" i="33" s="1"/>
  <c r="D59" i="33"/>
  <c r="E53" i="33"/>
  <c r="D49" i="33"/>
  <c r="E43" i="33"/>
  <c r="D39" i="33"/>
  <c r="D40" i="33" s="1"/>
  <c r="E33" i="33"/>
  <c r="F33" i="33" s="1"/>
  <c r="D29" i="33"/>
  <c r="D30" i="33" s="1"/>
  <c r="E23" i="33"/>
  <c r="F23" i="33" s="1"/>
  <c r="D93" i="33"/>
  <c r="E15" i="33"/>
  <c r="F15" i="33" s="1"/>
  <c r="D21" i="33"/>
  <c r="D12" i="33"/>
  <c r="E6" i="33"/>
  <c r="E12" i="33" s="1"/>
  <c r="E4" i="33"/>
  <c r="F4" i="33" s="1"/>
  <c r="D2" i="33"/>
  <c r="E59" i="31"/>
  <c r="E54" i="31"/>
  <c r="E60" i="31" s="1"/>
  <c r="E53" i="31"/>
  <c r="E25" i="31"/>
  <c r="E24" i="31" s="1"/>
  <c r="G32" i="31"/>
  <c r="H32" i="31"/>
  <c r="F32" i="31"/>
  <c r="F37" i="31" s="1"/>
  <c r="F36" i="31"/>
  <c r="G36" i="31"/>
  <c r="H36" i="31"/>
  <c r="E36" i="31"/>
  <c r="F31" i="31"/>
  <c r="G31" i="31"/>
  <c r="H31" i="31"/>
  <c r="E31" i="31"/>
  <c r="G27" i="31"/>
  <c r="H27" i="31"/>
  <c r="F27" i="31"/>
  <c r="F26" i="31"/>
  <c r="G26" i="31"/>
  <c r="H26" i="31"/>
  <c r="H40" i="31" s="1"/>
  <c r="E26" i="31"/>
  <c r="F44" i="31"/>
  <c r="G44" i="31" s="1"/>
  <c r="F40" i="31"/>
  <c r="G37" i="31"/>
  <c r="H37" i="31"/>
  <c r="G16" i="34" l="1"/>
  <c r="R11" i="34"/>
  <c r="E47" i="31"/>
  <c r="E46" i="33"/>
  <c r="E45" i="33"/>
  <c r="E44" i="33"/>
  <c r="F83" i="33"/>
  <c r="F84" i="33"/>
  <c r="F35" i="33"/>
  <c r="F34" i="33"/>
  <c r="G33" i="33" s="1"/>
  <c r="D60" i="33"/>
  <c r="D50" i="33"/>
  <c r="E47" i="33"/>
  <c r="F64" i="33"/>
  <c r="F65" i="33"/>
  <c r="E55" i="33"/>
  <c r="E54" i="33"/>
  <c r="F53" i="33" s="1"/>
  <c r="F56" i="33" s="1"/>
  <c r="I32" i="30"/>
  <c r="R23" i="23" s="1"/>
  <c r="I33" i="30"/>
  <c r="F6" i="33"/>
  <c r="F12" i="33" s="1"/>
  <c r="G63" i="33"/>
  <c r="E85" i="33"/>
  <c r="E66" i="33"/>
  <c r="E68" i="33" s="1"/>
  <c r="E69" i="33" s="1"/>
  <c r="F91" i="33"/>
  <c r="D10" i="25" s="1"/>
  <c r="G4" i="33"/>
  <c r="F2" i="33"/>
  <c r="F18" i="33"/>
  <c r="G15" i="33"/>
  <c r="F26" i="33"/>
  <c r="G23" i="33"/>
  <c r="E26" i="33"/>
  <c r="E28" i="33" s="1"/>
  <c r="E36" i="33"/>
  <c r="E38" i="33" s="1"/>
  <c r="E18" i="33"/>
  <c r="E20" i="33" s="1"/>
  <c r="E2" i="33"/>
  <c r="F36" i="33"/>
  <c r="E56" i="33"/>
  <c r="E57" i="33" s="1"/>
  <c r="E92" i="33" s="1"/>
  <c r="G66" i="33"/>
  <c r="F66" i="33"/>
  <c r="E87" i="33"/>
  <c r="D88" i="33"/>
  <c r="D89" i="33" s="1"/>
  <c r="F73" i="33"/>
  <c r="E76" i="33"/>
  <c r="E78" i="33" s="1"/>
  <c r="E79" i="33" s="1"/>
  <c r="G82" i="33"/>
  <c r="F85" i="33"/>
  <c r="F25" i="31"/>
  <c r="I40" i="31"/>
  <c r="E40" i="31"/>
  <c r="G40" i="31"/>
  <c r="H44" i="31"/>
  <c r="G43" i="31"/>
  <c r="F43" i="31"/>
  <c r="I12" i="34" l="1"/>
  <c r="T7" i="34"/>
  <c r="E70" i="33"/>
  <c r="F67" i="33"/>
  <c r="J30" i="30"/>
  <c r="I36" i="30"/>
  <c r="I37" i="30" s="1"/>
  <c r="F43" i="33"/>
  <c r="E48" i="33"/>
  <c r="E49" i="33" s="1"/>
  <c r="E50" i="33" s="1"/>
  <c r="E58" i="33"/>
  <c r="E59" i="33" s="1"/>
  <c r="G6" i="33"/>
  <c r="H63" i="33"/>
  <c r="I63" i="33" s="1"/>
  <c r="D94" i="33"/>
  <c r="F68" i="33"/>
  <c r="F69" i="33" s="1"/>
  <c r="G68" i="33" s="1"/>
  <c r="G53" i="33"/>
  <c r="F28" i="33"/>
  <c r="F29" i="33" s="1"/>
  <c r="E80" i="33"/>
  <c r="E93" i="33"/>
  <c r="E21" i="33"/>
  <c r="H82" i="33"/>
  <c r="G85" i="33"/>
  <c r="G73" i="33"/>
  <c r="F76" i="33"/>
  <c r="F78" i="33" s="1"/>
  <c r="F79" i="33" s="1"/>
  <c r="H66" i="33"/>
  <c r="E39" i="33"/>
  <c r="H4" i="33"/>
  <c r="G2" i="33"/>
  <c r="E88" i="33"/>
  <c r="H15" i="33"/>
  <c r="G18" i="33"/>
  <c r="E91" i="33"/>
  <c r="C10" i="25" s="1"/>
  <c r="H33" i="33"/>
  <c r="G36" i="33"/>
  <c r="E29" i="33"/>
  <c r="E30" i="33" s="1"/>
  <c r="G26" i="33"/>
  <c r="H23" i="33"/>
  <c r="G25" i="31"/>
  <c r="F24" i="31"/>
  <c r="I44" i="31"/>
  <c r="H43" i="31"/>
  <c r="H16" i="34" l="1"/>
  <c r="S11" i="34"/>
  <c r="G28" i="33"/>
  <c r="G29" i="33" s="1"/>
  <c r="F58" i="33"/>
  <c r="J32" i="30"/>
  <c r="J33" i="30"/>
  <c r="E60" i="33"/>
  <c r="E40" i="33"/>
  <c r="F37" i="33"/>
  <c r="L21" i="23"/>
  <c r="C8" i="25"/>
  <c r="F46" i="33"/>
  <c r="F48" i="33" s="1"/>
  <c r="F49" i="33" s="1"/>
  <c r="F50" i="33" s="1"/>
  <c r="G43" i="33"/>
  <c r="E89" i="33"/>
  <c r="F86" i="33"/>
  <c r="F87" i="33" s="1"/>
  <c r="G87" i="33" s="1"/>
  <c r="F30" i="33"/>
  <c r="H6" i="33"/>
  <c r="G12" i="33"/>
  <c r="G56" i="33"/>
  <c r="H53" i="33"/>
  <c r="H68" i="33"/>
  <c r="G69" i="33"/>
  <c r="G70" i="33" s="1"/>
  <c r="I23" i="33"/>
  <c r="H26" i="33"/>
  <c r="H91" i="33"/>
  <c r="F10" i="25" s="1"/>
  <c r="H36" i="33"/>
  <c r="I33" i="33"/>
  <c r="H18" i="33"/>
  <c r="I15" i="33"/>
  <c r="E94" i="33"/>
  <c r="J63" i="33"/>
  <c r="I66" i="33"/>
  <c r="G76" i="33"/>
  <c r="G77" i="33" s="1"/>
  <c r="G75" i="33"/>
  <c r="G74" i="33"/>
  <c r="G91" i="33" s="1"/>
  <c r="E10" i="25" s="1"/>
  <c r="F70" i="33"/>
  <c r="F20" i="33"/>
  <c r="F21" i="33" s="1"/>
  <c r="H85" i="33"/>
  <c r="I82" i="33"/>
  <c r="F80" i="33"/>
  <c r="F59" i="33"/>
  <c r="F60" i="33" s="1"/>
  <c r="F93" i="33"/>
  <c r="F88" i="33"/>
  <c r="F89" i="33" s="1"/>
  <c r="I4" i="33"/>
  <c r="H2" i="33"/>
  <c r="H25" i="31"/>
  <c r="H24" i="31" s="1"/>
  <c r="G24" i="31"/>
  <c r="J44" i="31"/>
  <c r="I43" i="31"/>
  <c r="G58" i="33" l="1"/>
  <c r="G30" i="33"/>
  <c r="H28" i="33"/>
  <c r="H29" i="33" s="1"/>
  <c r="K30" i="30"/>
  <c r="J36" i="30"/>
  <c r="J37" i="30" s="1"/>
  <c r="H43" i="33"/>
  <c r="H46" i="33" s="1"/>
  <c r="G46" i="33"/>
  <c r="G48" i="33" s="1"/>
  <c r="G49" i="33" s="1"/>
  <c r="G50" i="33" s="1"/>
  <c r="F92" i="33"/>
  <c r="F38" i="33"/>
  <c r="D8" i="25"/>
  <c r="M21" i="23"/>
  <c r="H12" i="33"/>
  <c r="I6" i="33"/>
  <c r="H73" i="33"/>
  <c r="H76" i="33" s="1"/>
  <c r="H56" i="33"/>
  <c r="H58" i="33" s="1"/>
  <c r="I53" i="33"/>
  <c r="I73" i="33"/>
  <c r="G78" i="33"/>
  <c r="G92" i="33"/>
  <c r="H87" i="33"/>
  <c r="G88" i="33"/>
  <c r="G89" i="33" s="1"/>
  <c r="G20" i="33"/>
  <c r="G21" i="33" s="1"/>
  <c r="J23" i="33"/>
  <c r="I26" i="33"/>
  <c r="I28" i="33" s="1"/>
  <c r="J15" i="33"/>
  <c r="I18" i="33"/>
  <c r="J4" i="33"/>
  <c r="I2" i="33"/>
  <c r="I43" i="33"/>
  <c r="I68" i="33"/>
  <c r="H69" i="33"/>
  <c r="H70" i="33" s="1"/>
  <c r="G59" i="33"/>
  <c r="G60" i="33" s="1"/>
  <c r="I85" i="33"/>
  <c r="J82" i="33"/>
  <c r="K63" i="33"/>
  <c r="J66" i="33"/>
  <c r="I36" i="33"/>
  <c r="I91" i="33"/>
  <c r="G10" i="25" s="1"/>
  <c r="H30" i="33"/>
  <c r="K44" i="31"/>
  <c r="J43" i="31"/>
  <c r="I16" i="34" l="1"/>
  <c r="T11" i="34"/>
  <c r="G93" i="33"/>
  <c r="G38" i="33"/>
  <c r="F39" i="33"/>
  <c r="F94" i="33" s="1"/>
  <c r="F40" i="33"/>
  <c r="K32" i="30"/>
  <c r="K33" i="30"/>
  <c r="K36" i="30" s="1"/>
  <c r="K37" i="30" s="1"/>
  <c r="I12" i="33"/>
  <c r="J6" i="33"/>
  <c r="I56" i="33"/>
  <c r="I58" i="33" s="1"/>
  <c r="J53" i="33"/>
  <c r="H20" i="33"/>
  <c r="H21" i="33" s="1"/>
  <c r="K66" i="33"/>
  <c r="G80" i="33"/>
  <c r="H78" i="33"/>
  <c r="G79" i="33"/>
  <c r="J33" i="33"/>
  <c r="K82" i="33"/>
  <c r="J85" i="33"/>
  <c r="H59" i="33"/>
  <c r="H60" i="33" s="1"/>
  <c r="J68" i="33"/>
  <c r="I69" i="33"/>
  <c r="I70" i="33" s="1"/>
  <c r="H93" i="33"/>
  <c r="K4" i="33"/>
  <c r="J2" i="33"/>
  <c r="J26" i="33"/>
  <c r="J28" i="33" s="1"/>
  <c r="J29" i="33" s="1"/>
  <c r="K23" i="33"/>
  <c r="J73" i="33"/>
  <c r="I76" i="33"/>
  <c r="H92" i="33"/>
  <c r="H48" i="33"/>
  <c r="I87" i="33"/>
  <c r="H88" i="33"/>
  <c r="H89" i="33" s="1"/>
  <c r="I46" i="33"/>
  <c r="J43" i="33"/>
  <c r="J18" i="33"/>
  <c r="K15" i="33"/>
  <c r="I29" i="33"/>
  <c r="I30" i="33" s="1"/>
  <c r="K43" i="31"/>
  <c r="H38" i="33" l="1"/>
  <c r="H39" i="33" s="1"/>
  <c r="I92" i="33" s="1"/>
  <c r="G39" i="33"/>
  <c r="G40" i="33" s="1"/>
  <c r="O21" i="23"/>
  <c r="F8" i="25"/>
  <c r="E8" i="25"/>
  <c r="N21" i="23"/>
  <c r="J12" i="33"/>
  <c r="K6" i="33"/>
  <c r="K12" i="33" s="1"/>
  <c r="K53" i="33"/>
  <c r="J56" i="33"/>
  <c r="J58" i="33" s="1"/>
  <c r="I38" i="33"/>
  <c r="I20" i="33"/>
  <c r="I21" i="33" s="1"/>
  <c r="J46" i="33"/>
  <c r="K43" i="33"/>
  <c r="K85" i="33"/>
  <c r="I78" i="33"/>
  <c r="H79" i="33"/>
  <c r="H80" i="33" s="1"/>
  <c r="I48" i="33"/>
  <c r="H49" i="33"/>
  <c r="H50" i="33" s="1"/>
  <c r="K73" i="33"/>
  <c r="J76" i="33"/>
  <c r="I93" i="33"/>
  <c r="I59" i="33"/>
  <c r="I60" i="33" s="1"/>
  <c r="J87" i="33"/>
  <c r="I88" i="33"/>
  <c r="I89" i="33" s="1"/>
  <c r="K68" i="33"/>
  <c r="J69" i="33"/>
  <c r="J70" i="33" s="1"/>
  <c r="J36" i="33"/>
  <c r="K33" i="33"/>
  <c r="J30" i="33"/>
  <c r="K18" i="33"/>
  <c r="I39" i="33"/>
  <c r="I40" i="33" s="1"/>
  <c r="H40" i="33"/>
  <c r="K26" i="33"/>
  <c r="K28" i="33" s="1"/>
  <c r="K29" i="33" s="1"/>
  <c r="K2" i="33"/>
  <c r="G94" i="33"/>
  <c r="G8" i="25" l="1"/>
  <c r="P21" i="23"/>
  <c r="K56" i="33"/>
  <c r="K58" i="33" s="1"/>
  <c r="J38" i="33"/>
  <c r="J39" i="33" s="1"/>
  <c r="J40" i="33" s="1"/>
  <c r="J20" i="33"/>
  <c r="J21" i="33" s="1"/>
  <c r="J59" i="33"/>
  <c r="J60" i="33" s="1"/>
  <c r="K46" i="33"/>
  <c r="J48" i="33"/>
  <c r="I49" i="33"/>
  <c r="I50" i="33" s="1"/>
  <c r="J78" i="33"/>
  <c r="I79" i="33"/>
  <c r="I80" i="33" s="1"/>
  <c r="H94" i="33"/>
  <c r="K30" i="33"/>
  <c r="K36" i="33"/>
  <c r="K69" i="33"/>
  <c r="K70" i="33" s="1"/>
  <c r="K87" i="33"/>
  <c r="J88" i="33"/>
  <c r="J89" i="33" s="1"/>
  <c r="J93" i="33"/>
  <c r="K76" i="33"/>
  <c r="K20" i="33"/>
  <c r="K21" i="33" s="1"/>
  <c r="H8" i="25" l="1"/>
  <c r="Q21" i="23"/>
  <c r="K38" i="33"/>
  <c r="K39" i="33" s="1"/>
  <c r="K88" i="33"/>
  <c r="K89" i="33" s="1"/>
  <c r="K78" i="33"/>
  <c r="J79" i="33"/>
  <c r="J80" i="33" s="1"/>
  <c r="K48" i="33"/>
  <c r="J49" i="33"/>
  <c r="K93" i="33"/>
  <c r="I94" i="33"/>
  <c r="K59" i="33"/>
  <c r="I8" i="25" l="1"/>
  <c r="R21" i="23"/>
  <c r="K40" i="33"/>
  <c r="K60" i="33"/>
  <c r="J94" i="33"/>
  <c r="K49" i="33"/>
  <c r="K50" i="33" s="1"/>
  <c r="K79" i="33"/>
  <c r="K80" i="33" s="1"/>
  <c r="J50" i="33"/>
  <c r="K94" i="33" l="1"/>
  <c r="B3" i="33" l="1"/>
  <c r="J13" i="31" l="1"/>
  <c r="G13" i="31"/>
  <c r="G18" i="31" s="1"/>
  <c r="H13" i="31"/>
  <c r="H18" i="31" s="1"/>
  <c r="I13" i="31"/>
  <c r="I18" i="31" s="1"/>
  <c r="F13" i="31"/>
  <c r="F18" i="31" s="1"/>
  <c r="G8" i="31"/>
  <c r="G21" i="31" s="1"/>
  <c r="H8" i="31"/>
  <c r="H21" i="31" s="1"/>
  <c r="I8" i="31"/>
  <c r="I21" i="31" s="1"/>
  <c r="F8" i="31"/>
  <c r="F21" i="31" s="1"/>
  <c r="F17" i="31"/>
  <c r="G17" i="31"/>
  <c r="H17" i="31"/>
  <c r="E17" i="31"/>
  <c r="F12" i="31"/>
  <c r="G12" i="31"/>
  <c r="H12" i="31"/>
  <c r="I12" i="31"/>
  <c r="E12" i="31"/>
  <c r="F7" i="31"/>
  <c r="G7" i="31"/>
  <c r="H7" i="31"/>
  <c r="I7" i="31"/>
  <c r="E7" i="31"/>
  <c r="F2" i="31"/>
  <c r="F3" i="31" s="1"/>
  <c r="W57" i="30"/>
  <c r="V57" i="30"/>
  <c r="U57" i="30"/>
  <c r="T57" i="30"/>
  <c r="S57" i="30"/>
  <c r="R57" i="30"/>
  <c r="Q57" i="30"/>
  <c r="Q58" i="30" s="1"/>
  <c r="W47" i="30"/>
  <c r="V47" i="30"/>
  <c r="U47" i="30"/>
  <c r="T47" i="30"/>
  <c r="S47" i="30"/>
  <c r="R47" i="30"/>
  <c r="Q47" i="30"/>
  <c r="Q44" i="30"/>
  <c r="Q45" i="30" s="1"/>
  <c r="Q48" i="30" s="1"/>
  <c r="W36" i="30"/>
  <c r="V36" i="30"/>
  <c r="U36" i="30"/>
  <c r="T36" i="30"/>
  <c r="S36" i="30"/>
  <c r="R36" i="30"/>
  <c r="Q36" i="30"/>
  <c r="Q33" i="30"/>
  <c r="Q34" i="30" s="1"/>
  <c r="Q37" i="30" s="1"/>
  <c r="W29" i="30"/>
  <c r="V29" i="30"/>
  <c r="U29" i="30"/>
  <c r="T29" i="30"/>
  <c r="S29" i="30"/>
  <c r="R29" i="30"/>
  <c r="Q29" i="30"/>
  <c r="L23" i="23"/>
  <c r="C12" i="34" s="1"/>
  <c r="L18" i="23"/>
  <c r="L17" i="23"/>
  <c r="L16" i="23"/>
  <c r="L15" i="23"/>
  <c r="L11" i="23"/>
  <c r="L10" i="23"/>
  <c r="L9" i="23"/>
  <c r="L8" i="23"/>
  <c r="E48" i="31" l="1"/>
  <c r="Q38" i="30"/>
  <c r="R33" i="30" s="1"/>
  <c r="R34" i="30" s="1"/>
  <c r="R37" i="30" s="1"/>
  <c r="N8" i="31"/>
  <c r="J18" i="31"/>
  <c r="G2" i="31"/>
  <c r="G3" i="31" s="1"/>
  <c r="F4" i="31"/>
  <c r="F9" i="31" s="1"/>
  <c r="Q60" i="30"/>
  <c r="R56" i="30"/>
  <c r="R58" i="30" s="1"/>
  <c r="Q49" i="30"/>
  <c r="R44" i="30" s="1"/>
  <c r="L37" i="27"/>
  <c r="M37" i="27"/>
  <c r="N37" i="27"/>
  <c r="O37" i="27"/>
  <c r="P37" i="27"/>
  <c r="Q37" i="27"/>
  <c r="R37" i="27"/>
  <c r="C26" i="25"/>
  <c r="D4" i="25"/>
  <c r="E4" i="25" s="1"/>
  <c r="F4" i="25" s="1"/>
  <c r="G4" i="25" s="1"/>
  <c r="H4" i="25" s="1"/>
  <c r="I4" i="25" s="1"/>
  <c r="C16" i="25"/>
  <c r="F14" i="31" l="1"/>
  <c r="F28" i="31"/>
  <c r="F38" i="31"/>
  <c r="F33" i="31"/>
  <c r="F19" i="31"/>
  <c r="G4" i="31"/>
  <c r="H2" i="31"/>
  <c r="H3" i="31" s="1"/>
  <c r="R60" i="30"/>
  <c r="S56" i="30"/>
  <c r="S58" i="30" s="1"/>
  <c r="R45" i="30"/>
  <c r="R48" i="30" s="1"/>
  <c r="R38" i="30"/>
  <c r="S33" i="30" s="1"/>
  <c r="I19" i="27"/>
  <c r="J19" i="27"/>
  <c r="K19" i="27"/>
  <c r="J20" i="27"/>
  <c r="K20" i="27"/>
  <c r="J21" i="27"/>
  <c r="K21" i="27"/>
  <c r="K23" i="27"/>
  <c r="I21" i="27"/>
  <c r="I20" i="27"/>
  <c r="C6" i="25"/>
  <c r="I34" i="27"/>
  <c r="J34" i="27"/>
  <c r="H34" i="27"/>
  <c r="K34" i="27"/>
  <c r="I23" i="27" l="1"/>
  <c r="G38" i="31"/>
  <c r="G28" i="31"/>
  <c r="G33" i="31"/>
  <c r="H4" i="31"/>
  <c r="I2" i="31"/>
  <c r="I3" i="31" s="1"/>
  <c r="G19" i="31"/>
  <c r="G9" i="31"/>
  <c r="G14" i="31"/>
  <c r="R49" i="30"/>
  <c r="S44" i="30" s="1"/>
  <c r="S60" i="30"/>
  <c r="T56" i="30"/>
  <c r="T58" i="30" s="1"/>
  <c r="S34" i="30"/>
  <c r="S37" i="30" s="1"/>
  <c r="J23" i="27"/>
  <c r="S38" i="30" l="1"/>
  <c r="T33" i="30" s="1"/>
  <c r="K14" i="30" s="1"/>
  <c r="H38" i="31"/>
  <c r="H28" i="31"/>
  <c r="H33" i="31"/>
  <c r="H19" i="31"/>
  <c r="I19" i="31" s="1"/>
  <c r="H9" i="31"/>
  <c r="I9" i="31" s="1"/>
  <c r="J9" i="31" s="1"/>
  <c r="H14" i="31"/>
  <c r="I14" i="31" s="1"/>
  <c r="J14" i="31" s="1"/>
  <c r="I4" i="31"/>
  <c r="J2" i="31"/>
  <c r="J3" i="31" s="1"/>
  <c r="T60" i="30"/>
  <c r="U56" i="30"/>
  <c r="U58" i="30" s="1"/>
  <c r="S45" i="30"/>
  <c r="S48" i="30" s="1"/>
  <c r="I5" i="27"/>
  <c r="J5" i="27"/>
  <c r="K5" i="27"/>
  <c r="H5" i="27"/>
  <c r="I26" i="23"/>
  <c r="J26" i="23"/>
  <c r="K26" i="23"/>
  <c r="H26" i="23"/>
  <c r="K23" i="23"/>
  <c r="I23" i="23"/>
  <c r="J23" i="23"/>
  <c r="H23" i="23"/>
  <c r="I21" i="23"/>
  <c r="J21" i="23"/>
  <c r="K21" i="23"/>
  <c r="K39" i="27" s="1"/>
  <c r="K41" i="27" s="1"/>
  <c r="H21" i="23"/>
  <c r="H39" i="27" s="1"/>
  <c r="H41" i="27" s="1"/>
  <c r="I14" i="23"/>
  <c r="J14" i="23"/>
  <c r="K14" i="23"/>
  <c r="I15" i="23"/>
  <c r="J15" i="23"/>
  <c r="K15" i="23"/>
  <c r="I16" i="23"/>
  <c r="J16" i="23"/>
  <c r="K16" i="23"/>
  <c r="I17" i="23"/>
  <c r="J17" i="23"/>
  <c r="K17" i="23"/>
  <c r="I18" i="23"/>
  <c r="J18" i="23"/>
  <c r="K18" i="23"/>
  <c r="H18" i="23"/>
  <c r="H17" i="23"/>
  <c r="H16" i="23"/>
  <c r="H15" i="23"/>
  <c r="B16" i="23"/>
  <c r="B15" i="23"/>
  <c r="H14" i="23"/>
  <c r="I8" i="23"/>
  <c r="J8" i="23"/>
  <c r="L8" i="31" s="1"/>
  <c r="K8" i="23"/>
  <c r="I9" i="23"/>
  <c r="J9" i="23"/>
  <c r="K9" i="23"/>
  <c r="I10" i="23"/>
  <c r="J10" i="23"/>
  <c r="K10" i="23"/>
  <c r="K38" i="23" s="1"/>
  <c r="I11" i="23"/>
  <c r="J11" i="23"/>
  <c r="K11" i="23"/>
  <c r="H11" i="23"/>
  <c r="H10" i="23"/>
  <c r="H9" i="23"/>
  <c r="H8" i="23"/>
  <c r="B10" i="23"/>
  <c r="B38" i="23" s="1"/>
  <c r="B9" i="23"/>
  <c r="B37" i="23" s="1"/>
  <c r="B8" i="23"/>
  <c r="B36" i="23" s="1"/>
  <c r="T34" i="30" l="1"/>
  <c r="T37" i="30" s="1"/>
  <c r="K8" i="31"/>
  <c r="J8" i="31"/>
  <c r="J21" i="31" s="1"/>
  <c r="M8" i="31"/>
  <c r="E62" i="31"/>
  <c r="F59" i="31"/>
  <c r="F53" i="31"/>
  <c r="E56" i="31"/>
  <c r="F47" i="31"/>
  <c r="E50" i="31"/>
  <c r="E66" i="31"/>
  <c r="K9" i="31"/>
  <c r="L9" i="31" s="1"/>
  <c r="J7" i="31"/>
  <c r="J12" i="31"/>
  <c r="K14" i="31"/>
  <c r="J19" i="31"/>
  <c r="K19" i="31" s="1"/>
  <c r="L19" i="31" s="1"/>
  <c r="K2" i="31"/>
  <c r="K3" i="31" s="1"/>
  <c r="J4" i="31"/>
  <c r="K13" i="27"/>
  <c r="K14" i="27"/>
  <c r="K45" i="23"/>
  <c r="K43" i="27"/>
  <c r="I39" i="23"/>
  <c r="K37" i="23"/>
  <c r="J45" i="23"/>
  <c r="J43" i="27"/>
  <c r="I45" i="23"/>
  <c r="I43" i="27"/>
  <c r="H45" i="23"/>
  <c r="H43" i="27"/>
  <c r="U60" i="30"/>
  <c r="V56" i="30"/>
  <c r="V58" i="30" s="1"/>
  <c r="S49" i="30"/>
  <c r="T44" i="30" s="1"/>
  <c r="N37" i="23"/>
  <c r="O37" i="23" s="1"/>
  <c r="P37" i="23" s="1"/>
  <c r="Q37" i="23" s="1"/>
  <c r="R37" i="23" s="1"/>
  <c r="N38" i="23"/>
  <c r="O38" i="23" s="1"/>
  <c r="P38" i="23" s="1"/>
  <c r="Q38" i="23" s="1"/>
  <c r="R38" i="23" s="1"/>
  <c r="M11" i="23"/>
  <c r="N39" i="23"/>
  <c r="O39" i="23" s="1"/>
  <c r="P39" i="23" s="1"/>
  <c r="Q39" i="23" s="1"/>
  <c r="R39" i="23" s="1"/>
  <c r="M9" i="23"/>
  <c r="M10" i="23"/>
  <c r="K39" i="23"/>
  <c r="J38" i="23"/>
  <c r="I37" i="23"/>
  <c r="J39" i="23"/>
  <c r="I38" i="23"/>
  <c r="K36" i="23"/>
  <c r="J37" i="23"/>
  <c r="G37" i="25"/>
  <c r="K36" i="25"/>
  <c r="H36" i="25"/>
  <c r="N9" i="23" l="1"/>
  <c r="T38" i="30"/>
  <c r="U33" i="30" s="1"/>
  <c r="U34" i="30" s="1"/>
  <c r="U37" i="30" s="1"/>
  <c r="K7" i="31"/>
  <c r="C13" i="34"/>
  <c r="C9" i="25"/>
  <c r="N10" i="23"/>
  <c r="O10" i="23" s="1"/>
  <c r="P10" i="23" s="1"/>
  <c r="Q10" i="23" s="1"/>
  <c r="R10" i="23" s="1"/>
  <c r="L14" i="31"/>
  <c r="M9" i="31"/>
  <c r="L7" i="31"/>
  <c r="M19" i="31"/>
  <c r="K4" i="31"/>
  <c r="L2" i="31"/>
  <c r="L3" i="31" s="1"/>
  <c r="J46" i="23"/>
  <c r="I46" i="23"/>
  <c r="K46" i="23"/>
  <c r="V60" i="30"/>
  <c r="W56" i="30"/>
  <c r="W58" i="30" s="1"/>
  <c r="W60" i="30" s="1"/>
  <c r="T45" i="30"/>
  <c r="T48" i="30" s="1"/>
  <c r="N11" i="23"/>
  <c r="O11" i="23" s="1"/>
  <c r="P11" i="23" s="1"/>
  <c r="Q11" i="23" s="1"/>
  <c r="R11" i="23" s="1"/>
  <c r="O9" i="23"/>
  <c r="P9" i="23" s="1"/>
  <c r="Q9" i="23" s="1"/>
  <c r="R9" i="23" s="1"/>
  <c r="G39" i="25"/>
  <c r="C37" i="25"/>
  <c r="U38" i="30" l="1"/>
  <c r="V33" i="30" s="1"/>
  <c r="V34" i="30" s="1"/>
  <c r="V37" i="30" s="1"/>
  <c r="T49" i="30"/>
  <c r="U44" i="30" s="1"/>
  <c r="N9" i="31"/>
  <c r="M7" i="31"/>
  <c r="M14" i="31"/>
  <c r="N19" i="31"/>
  <c r="L4" i="31"/>
  <c r="M2" i="31"/>
  <c r="M3" i="31" s="1"/>
  <c r="U45" i="30"/>
  <c r="U48" i="30" s="1"/>
  <c r="J36" i="26"/>
  <c r="I36" i="26"/>
  <c r="H36" i="26"/>
  <c r="G36" i="26"/>
  <c r="F36" i="26"/>
  <c r="E36" i="26"/>
  <c r="U49" i="30" l="1"/>
  <c r="V44" i="30" s="1"/>
  <c r="N14" i="31"/>
  <c r="O9" i="31"/>
  <c r="N7" i="31"/>
  <c r="O19" i="31"/>
  <c r="M4" i="31"/>
  <c r="N2" i="31"/>
  <c r="N3" i="31" s="1"/>
  <c r="V38" i="30"/>
  <c r="W33" i="30" s="1"/>
  <c r="V45" i="30"/>
  <c r="V48" i="30" s="1"/>
  <c r="D19" i="26"/>
  <c r="D17" i="26"/>
  <c r="D52" i="26"/>
  <c r="O14" i="31" l="1"/>
  <c r="O2" i="31"/>
  <c r="O3" i="31" s="1"/>
  <c r="N4" i="31"/>
  <c r="V49" i="30"/>
  <c r="W44" i="30" s="1"/>
  <c r="W34" i="30"/>
  <c r="W37" i="30" s="1"/>
  <c r="J34" i="28"/>
  <c r="F19" i="28"/>
  <c r="E19" i="28"/>
  <c r="D15" i="28"/>
  <c r="E15" i="28"/>
  <c r="F15" i="28"/>
  <c r="L52" i="27"/>
  <c r="M52" i="27" s="1"/>
  <c r="N52" i="27" s="1"/>
  <c r="O52" i="27" s="1"/>
  <c r="P52" i="27" s="1"/>
  <c r="Q52" i="27" s="1"/>
  <c r="O4" i="31" l="1"/>
  <c r="W38" i="30"/>
  <c r="W45" i="30"/>
  <c r="W48" i="30" s="1"/>
  <c r="H6" i="28"/>
  <c r="I6" i="28" s="1"/>
  <c r="J6" i="28" s="1"/>
  <c r="K6" i="28" s="1"/>
  <c r="L6" i="28" s="1"/>
  <c r="M6" i="28" s="1"/>
  <c r="N6" i="28" s="1"/>
  <c r="O6" i="28" s="1"/>
  <c r="P6" i="28" s="1"/>
  <c r="Q6" i="28" s="1"/>
  <c r="K37" i="27"/>
  <c r="K18" i="28" s="1"/>
  <c r="L18" i="28"/>
  <c r="M18" i="28"/>
  <c r="N18" i="28"/>
  <c r="O18" i="28"/>
  <c r="P18" i="28"/>
  <c r="Q18" i="28"/>
  <c r="W49" i="30" l="1"/>
  <c r="H2" i="27"/>
  <c r="I2" i="27" s="1"/>
  <c r="J2" i="27" s="1"/>
  <c r="K2" i="27" s="1"/>
  <c r="L2" i="27" s="1"/>
  <c r="M2" i="27" s="1"/>
  <c r="N2" i="27" s="1"/>
  <c r="O2" i="27" s="1"/>
  <c r="P2" i="27" s="1"/>
  <c r="Q2" i="27" s="1"/>
  <c r="R2" i="27" s="1"/>
  <c r="J57" i="26"/>
  <c r="K57" i="26" s="1"/>
  <c r="J55" i="26"/>
  <c r="I57" i="26"/>
  <c r="I55" i="26"/>
  <c r="H57" i="26"/>
  <c r="H55" i="26"/>
  <c r="G57" i="26"/>
  <c r="G55" i="26"/>
  <c r="F57" i="26"/>
  <c r="F56" i="26"/>
  <c r="F55" i="26"/>
  <c r="E57" i="26"/>
  <c r="E56" i="26"/>
  <c r="E55" i="26"/>
  <c r="J52" i="26"/>
  <c r="J71" i="26" s="1"/>
  <c r="J51" i="26"/>
  <c r="K51" i="26" s="1"/>
  <c r="L51" i="26" s="1"/>
  <c r="M51" i="26" s="1"/>
  <c r="N51" i="26" s="1"/>
  <c r="O51" i="26" s="1"/>
  <c r="P51" i="26" s="1"/>
  <c r="Q51" i="26" s="1"/>
  <c r="I52" i="26"/>
  <c r="I51" i="26"/>
  <c r="H52" i="26"/>
  <c r="H51" i="26"/>
  <c r="G52" i="26"/>
  <c r="G51" i="26"/>
  <c r="F52" i="26"/>
  <c r="F51" i="26"/>
  <c r="E52" i="26"/>
  <c r="E51" i="26"/>
  <c r="J47" i="26"/>
  <c r="K47" i="26" s="1"/>
  <c r="L47" i="26" s="1"/>
  <c r="M47" i="26" s="1"/>
  <c r="N47" i="26" s="1"/>
  <c r="O47" i="26" s="1"/>
  <c r="P47" i="26" s="1"/>
  <c r="Q47" i="26" s="1"/>
  <c r="I47" i="26"/>
  <c r="H47" i="26"/>
  <c r="G47" i="26"/>
  <c r="F47" i="26"/>
  <c r="E47" i="26"/>
  <c r="J46" i="26"/>
  <c r="K46" i="26" s="1"/>
  <c r="L46" i="26" s="1"/>
  <c r="M46" i="26" s="1"/>
  <c r="N46" i="26" s="1"/>
  <c r="O46" i="26" s="1"/>
  <c r="P46" i="26" s="1"/>
  <c r="Q46" i="26" s="1"/>
  <c r="I46" i="26"/>
  <c r="H46" i="26"/>
  <c r="G46" i="26"/>
  <c r="F46" i="26"/>
  <c r="E46" i="26"/>
  <c r="J43" i="26"/>
  <c r="I43" i="26"/>
  <c r="H43" i="26"/>
  <c r="G43" i="26"/>
  <c r="F43" i="26"/>
  <c r="E43" i="26"/>
  <c r="J37" i="26"/>
  <c r="J35" i="26" s="1"/>
  <c r="I37" i="26"/>
  <c r="I35" i="26" s="1"/>
  <c r="H37" i="26"/>
  <c r="H35" i="26" s="1"/>
  <c r="G37" i="26"/>
  <c r="G35" i="26" s="1"/>
  <c r="F37" i="26"/>
  <c r="F35" i="26" s="1"/>
  <c r="J33" i="26"/>
  <c r="I33" i="26"/>
  <c r="I38" i="26" s="1"/>
  <c r="H33" i="26"/>
  <c r="H38" i="26" s="1"/>
  <c r="G33" i="26"/>
  <c r="F33" i="26"/>
  <c r="F38" i="26" s="1"/>
  <c r="E37" i="26"/>
  <c r="E35" i="26" s="1"/>
  <c r="E33" i="26"/>
  <c r="E38" i="26" s="1"/>
  <c r="J25" i="26"/>
  <c r="I25" i="26"/>
  <c r="H25" i="26"/>
  <c r="G25" i="26"/>
  <c r="F25" i="26"/>
  <c r="E25" i="26"/>
  <c r="J20" i="26"/>
  <c r="J19" i="26"/>
  <c r="I20" i="26"/>
  <c r="I19" i="26"/>
  <c r="H20" i="26"/>
  <c r="H19" i="26"/>
  <c r="G20" i="26"/>
  <c r="G19" i="26"/>
  <c r="E20" i="26"/>
  <c r="F20" i="26"/>
  <c r="F19" i="26"/>
  <c r="E19" i="26"/>
  <c r="J17" i="26"/>
  <c r="I17" i="26"/>
  <c r="H17" i="26"/>
  <c r="G17" i="26"/>
  <c r="F17" i="26"/>
  <c r="E17" i="26"/>
  <c r="J14" i="26"/>
  <c r="K14" i="26" s="1"/>
  <c r="L14" i="26" s="1"/>
  <c r="M14" i="26" s="1"/>
  <c r="N14" i="26" s="1"/>
  <c r="O14" i="26" s="1"/>
  <c r="P14" i="26" s="1"/>
  <c r="Q14" i="26" s="1"/>
  <c r="I14" i="26"/>
  <c r="H14" i="26"/>
  <c r="G14" i="26"/>
  <c r="F14" i="26"/>
  <c r="E14" i="26"/>
  <c r="J13" i="26"/>
  <c r="J12" i="26"/>
  <c r="K12" i="26" s="1"/>
  <c r="L12" i="26" s="1"/>
  <c r="M12" i="26" s="1"/>
  <c r="N12" i="26" s="1"/>
  <c r="O12" i="26" s="1"/>
  <c r="P12" i="26" s="1"/>
  <c r="Q12" i="26" s="1"/>
  <c r="I13" i="26"/>
  <c r="I12" i="26"/>
  <c r="H13" i="26"/>
  <c r="H12" i="26"/>
  <c r="H15" i="26" s="1"/>
  <c r="G13" i="26"/>
  <c r="G12" i="26"/>
  <c r="F13" i="26"/>
  <c r="F48" i="27" s="1"/>
  <c r="F12" i="26"/>
  <c r="J9" i="26"/>
  <c r="I9" i="26"/>
  <c r="H9" i="26"/>
  <c r="G9" i="26"/>
  <c r="F9" i="26"/>
  <c r="E13" i="26"/>
  <c r="E48" i="27" s="1"/>
  <c r="E12" i="26"/>
  <c r="E10" i="26"/>
  <c r="E9" i="26"/>
  <c r="H6" i="26"/>
  <c r="I6" i="26" s="1"/>
  <c r="J6" i="26" s="1"/>
  <c r="K6" i="26" s="1"/>
  <c r="L6" i="26" s="1"/>
  <c r="M6" i="26" s="1"/>
  <c r="N6" i="26" s="1"/>
  <c r="O6" i="26" s="1"/>
  <c r="P6" i="26" s="1"/>
  <c r="Q6" i="26" s="1"/>
  <c r="E70" i="26" l="1"/>
  <c r="F70" i="26"/>
  <c r="K43" i="26"/>
  <c r="F71" i="26"/>
  <c r="G70" i="26"/>
  <c r="K33" i="26"/>
  <c r="J38" i="26"/>
  <c r="I70" i="26"/>
  <c r="J70" i="26"/>
  <c r="J73" i="26" s="1"/>
  <c r="H71" i="26"/>
  <c r="H70" i="26"/>
  <c r="H73" i="26" s="1"/>
  <c r="G38" i="26"/>
  <c r="F48" i="26"/>
  <c r="E71" i="26"/>
  <c r="G71" i="26"/>
  <c r="I71" i="26"/>
  <c r="J48" i="26"/>
  <c r="G59" i="26"/>
  <c r="F15" i="26"/>
  <c r="P55" i="26"/>
  <c r="Q55" i="26" s="1"/>
  <c r="L55" i="26"/>
  <c r="O55" i="26"/>
  <c r="K55" i="26"/>
  <c r="N55" i="26"/>
  <c r="M55" i="26"/>
  <c r="J10" i="28"/>
  <c r="I48" i="26"/>
  <c r="I59" i="26"/>
  <c r="E48" i="26"/>
  <c r="G48" i="26"/>
  <c r="H59" i="26"/>
  <c r="J13" i="28"/>
  <c r="J48" i="27"/>
  <c r="J21" i="28"/>
  <c r="J11" i="28"/>
  <c r="L43" i="26"/>
  <c r="K48" i="26"/>
  <c r="J27" i="26"/>
  <c r="G48" i="27"/>
  <c r="G21" i="28"/>
  <c r="I21" i="28"/>
  <c r="I48" i="27"/>
  <c r="J12" i="28"/>
  <c r="K25" i="26"/>
  <c r="H48" i="26"/>
  <c r="J14" i="28"/>
  <c r="L57" i="26"/>
  <c r="H48" i="27"/>
  <c r="H21" i="28"/>
  <c r="J15" i="26"/>
  <c r="J29" i="26" s="1"/>
  <c r="G15" i="26"/>
  <c r="I15" i="26"/>
  <c r="E27" i="26"/>
  <c r="L33" i="26"/>
  <c r="M33" i="26" s="1"/>
  <c r="J59" i="26"/>
  <c r="F59" i="26"/>
  <c r="E59" i="26"/>
  <c r="G60" i="26"/>
  <c r="H60" i="26"/>
  <c r="I27" i="26"/>
  <c r="I29" i="26" s="1"/>
  <c r="H27" i="26"/>
  <c r="H29" i="26" s="1"/>
  <c r="G27" i="26"/>
  <c r="F27" i="26"/>
  <c r="E15" i="26"/>
  <c r="D16" i="25"/>
  <c r="E16" i="25" s="1"/>
  <c r="N36" i="23"/>
  <c r="H34" i="23"/>
  <c r="I34" i="23" s="1"/>
  <c r="J34" i="23" s="1"/>
  <c r="K34" i="23" s="1"/>
  <c r="L34" i="23" s="1"/>
  <c r="M34" i="23" s="1"/>
  <c r="N34" i="23" s="1"/>
  <c r="O34" i="23" s="1"/>
  <c r="P34" i="23" s="1"/>
  <c r="Q34" i="23" s="1"/>
  <c r="R34" i="23" s="1"/>
  <c r="O36" i="23" l="1"/>
  <c r="P36" i="23" s="1"/>
  <c r="Q36" i="23" s="1"/>
  <c r="R36" i="23" s="1"/>
  <c r="F73" i="26"/>
  <c r="I73" i="26"/>
  <c r="I74" i="26" s="1"/>
  <c r="G73" i="26"/>
  <c r="G74" i="26" s="1"/>
  <c r="C16" i="29"/>
  <c r="D15" i="29" s="1"/>
  <c r="E73" i="26"/>
  <c r="I60" i="26"/>
  <c r="I62" i="26" s="1"/>
  <c r="E60" i="26"/>
  <c r="F60" i="26"/>
  <c r="J60" i="26"/>
  <c r="F16" i="25"/>
  <c r="E9" i="28"/>
  <c r="F29" i="26"/>
  <c r="F50" i="27" s="1"/>
  <c r="F52" i="27" s="1"/>
  <c r="G29" i="26"/>
  <c r="G62" i="26" s="1"/>
  <c r="I50" i="27"/>
  <c r="I52" i="27" s="1"/>
  <c r="J62" i="26"/>
  <c r="J50" i="27"/>
  <c r="J52" i="27" s="1"/>
  <c r="K12" i="28"/>
  <c r="L25" i="26"/>
  <c r="N33" i="26"/>
  <c r="E29" i="26"/>
  <c r="M43" i="26"/>
  <c r="L48" i="26"/>
  <c r="H62" i="26"/>
  <c r="H50" i="27"/>
  <c r="H52" i="27" s="1"/>
  <c r="M57" i="26"/>
  <c r="K14" i="28"/>
  <c r="D14" i="29" l="1"/>
  <c r="D16" i="29" s="1"/>
  <c r="F74" i="26"/>
  <c r="F62" i="26"/>
  <c r="E16" i="29"/>
  <c r="J74" i="26"/>
  <c r="H74" i="26"/>
  <c r="G16" i="25"/>
  <c r="G50" i="27"/>
  <c r="G52" i="27" s="1"/>
  <c r="E62" i="26"/>
  <c r="E50" i="27"/>
  <c r="E52" i="27" s="1"/>
  <c r="M25" i="26"/>
  <c r="L12" i="28"/>
  <c r="N57" i="26"/>
  <c r="L14" i="28"/>
  <c r="N43" i="26"/>
  <c r="M48" i="26"/>
  <c r="O33" i="26"/>
  <c r="E18" i="29" l="1"/>
  <c r="C13" i="25" s="1"/>
  <c r="H16" i="25"/>
  <c r="I16" i="25" s="1"/>
  <c r="O43" i="26"/>
  <c r="N48" i="26"/>
  <c r="N25" i="26"/>
  <c r="M12" i="28"/>
  <c r="P33" i="26"/>
  <c r="O57" i="26"/>
  <c r="M14" i="28"/>
  <c r="G17" i="25" l="1"/>
  <c r="C42" i="25"/>
  <c r="O25" i="26"/>
  <c r="N12" i="28"/>
  <c r="P57" i="26"/>
  <c r="N14" i="28"/>
  <c r="Q33" i="26"/>
  <c r="P43" i="26"/>
  <c r="O48" i="26"/>
  <c r="F17" i="25" l="1"/>
  <c r="E17" i="25"/>
  <c r="D17" i="25"/>
  <c r="C41" i="25"/>
  <c r="C43" i="25"/>
  <c r="H17" i="25"/>
  <c r="I17" i="25"/>
  <c r="C17" i="25"/>
  <c r="E8" i="28"/>
  <c r="E16" i="28" s="1"/>
  <c r="Q43" i="26"/>
  <c r="Q48" i="26" s="1"/>
  <c r="P48" i="26"/>
  <c r="Q57" i="26"/>
  <c r="O14" i="28"/>
  <c r="P25" i="26"/>
  <c r="O12" i="28"/>
  <c r="J28" i="23"/>
  <c r="I28" i="23"/>
  <c r="H28" i="23"/>
  <c r="J39" i="27"/>
  <c r="J41" i="27" s="1"/>
  <c r="L12" i="23"/>
  <c r="H6" i="23"/>
  <c r="I6" i="23" s="1"/>
  <c r="J6" i="23" s="1"/>
  <c r="K6" i="23" s="1"/>
  <c r="N6" i="23" s="1"/>
  <c r="O6" i="23" s="1"/>
  <c r="P6" i="23" s="1"/>
  <c r="Q6" i="23" s="1"/>
  <c r="R6" i="23" s="1"/>
  <c r="C4" i="34" l="1"/>
  <c r="L43" i="23"/>
  <c r="G9" i="28"/>
  <c r="G18" i="28"/>
  <c r="G24" i="28" s="1"/>
  <c r="H9" i="28"/>
  <c r="H37" i="27"/>
  <c r="H18" i="28" s="1"/>
  <c r="H24" i="28" s="1"/>
  <c r="M8" i="23"/>
  <c r="M7" i="23" s="1"/>
  <c r="H19" i="23"/>
  <c r="H49" i="23" s="1"/>
  <c r="I9" i="28"/>
  <c r="I39" i="27"/>
  <c r="I41" i="27" s="1"/>
  <c r="I37" i="27"/>
  <c r="I18" i="28" s="1"/>
  <c r="I24" i="28" s="1"/>
  <c r="F9" i="28"/>
  <c r="J9" i="28"/>
  <c r="J37" i="27"/>
  <c r="J18" i="28" s="1"/>
  <c r="J24" i="28" s="1"/>
  <c r="P14" i="28"/>
  <c r="Q14" i="28"/>
  <c r="Q25" i="26"/>
  <c r="Q12" i="28" s="1"/>
  <c r="P12" i="28"/>
  <c r="H12" i="23"/>
  <c r="J19" i="23"/>
  <c r="J49" i="23" s="1"/>
  <c r="I19" i="23"/>
  <c r="I49" i="23" s="1"/>
  <c r="I12" i="23"/>
  <c r="I36" i="23"/>
  <c r="J12" i="23"/>
  <c r="J36" i="23"/>
  <c r="N8" i="23" l="1"/>
  <c r="N7" i="23" s="1"/>
  <c r="F48" i="31"/>
  <c r="O8" i="31"/>
  <c r="I47" i="23"/>
  <c r="J47" i="23"/>
  <c r="H43" i="23"/>
  <c r="H47" i="23"/>
  <c r="J32" i="23"/>
  <c r="L41" i="27"/>
  <c r="M41" i="27" s="1"/>
  <c r="N41" i="27" s="1"/>
  <c r="O41" i="27" s="1"/>
  <c r="P41" i="27" s="1"/>
  <c r="Q41" i="27" s="1"/>
  <c r="R41" i="27" s="1"/>
  <c r="I41" i="23"/>
  <c r="H20" i="23"/>
  <c r="H29" i="23" s="1"/>
  <c r="I32" i="23"/>
  <c r="I14" i="27"/>
  <c r="I13" i="27"/>
  <c r="H41" i="23"/>
  <c r="I43" i="23"/>
  <c r="J13" i="27"/>
  <c r="J14" i="27"/>
  <c r="J20" i="23"/>
  <c r="J29" i="23" s="1"/>
  <c r="F18" i="28"/>
  <c r="F24" i="28" s="1"/>
  <c r="K12" i="23"/>
  <c r="J43" i="23"/>
  <c r="H13" i="27"/>
  <c r="H14" i="27"/>
  <c r="I20" i="23"/>
  <c r="I29" i="23" s="1"/>
  <c r="J41" i="23"/>
  <c r="Q2" i="3"/>
  <c r="R2" i="3" s="1"/>
  <c r="S2" i="3" s="1"/>
  <c r="M43" i="23" l="1"/>
  <c r="O7" i="31"/>
  <c r="F49" i="31"/>
  <c r="F50" i="31" s="1"/>
  <c r="O8" i="23"/>
  <c r="O7" i="23" s="1"/>
  <c r="G48" i="31"/>
  <c r="G49" i="31" s="1"/>
  <c r="L13" i="27"/>
  <c r="K41" i="23"/>
  <c r="T41" i="23" s="1"/>
  <c r="K43" i="23"/>
  <c r="K47" i="23"/>
  <c r="L47" i="23" s="1"/>
  <c r="L14" i="27"/>
  <c r="H22" i="23"/>
  <c r="H30" i="23" s="1"/>
  <c r="J22" i="23"/>
  <c r="J30" i="23" s="1"/>
  <c r="I22" i="23"/>
  <c r="I30" i="23" s="1"/>
  <c r="K19" i="26"/>
  <c r="K10" i="28" s="1"/>
  <c r="K32" i="23"/>
  <c r="M47" i="23" l="1"/>
  <c r="N47" i="23" s="1"/>
  <c r="O47" i="23" s="1"/>
  <c r="P47" i="23" s="1"/>
  <c r="Q47" i="23" s="1"/>
  <c r="R47" i="23" s="1"/>
  <c r="N41" i="23"/>
  <c r="O41" i="23" s="1"/>
  <c r="P41" i="23" s="1"/>
  <c r="Q41" i="23" s="1"/>
  <c r="R41" i="23" s="1"/>
  <c r="G47" i="31"/>
  <c r="G50" i="31" s="1"/>
  <c r="P8" i="23"/>
  <c r="P7" i="23" s="1"/>
  <c r="H48" i="31"/>
  <c r="H49" i="31" s="1"/>
  <c r="H47" i="31"/>
  <c r="M14" i="27"/>
  <c r="N14" i="27" s="1"/>
  <c r="O14" i="27" s="1"/>
  <c r="P14" i="27" s="1"/>
  <c r="Q14" i="27" s="1"/>
  <c r="R14" i="27" s="1"/>
  <c r="M13" i="27"/>
  <c r="N13" i="27" s="1"/>
  <c r="O13" i="27" s="1"/>
  <c r="P13" i="27" s="1"/>
  <c r="Q13" i="27" s="1"/>
  <c r="R13" i="27" s="1"/>
  <c r="L45" i="23"/>
  <c r="H24" i="23"/>
  <c r="J24" i="23"/>
  <c r="M12" i="23"/>
  <c r="O4" i="34" s="1"/>
  <c r="I24" i="23"/>
  <c r="G15" i="22"/>
  <c r="K4" i="27" s="1"/>
  <c r="G8" i="28"/>
  <c r="G16" i="28" s="1"/>
  <c r="N43" i="23"/>
  <c r="O43" i="23" s="1"/>
  <c r="P43" i="23" s="1"/>
  <c r="Q43" i="23" s="1"/>
  <c r="R43" i="23" s="1"/>
  <c r="F15" i="22"/>
  <c r="J4" i="27" s="1"/>
  <c r="L32" i="23"/>
  <c r="L4" i="27"/>
  <c r="D15" i="22"/>
  <c r="N12" i="23"/>
  <c r="P4" i="34" s="1"/>
  <c r="G22" i="22"/>
  <c r="F22" i="22"/>
  <c r="E22" i="22"/>
  <c r="D22" i="22"/>
  <c r="E15" i="22"/>
  <c r="I4" i="27" s="1"/>
  <c r="D4" i="34" l="1"/>
  <c r="D5" i="34" s="1"/>
  <c r="N17" i="23"/>
  <c r="E4" i="34"/>
  <c r="I47" i="31"/>
  <c r="Q8" i="23"/>
  <c r="Q7" i="23" s="1"/>
  <c r="I48" i="31"/>
  <c r="I49" i="31" s="1"/>
  <c r="H50" i="31"/>
  <c r="I12" i="27"/>
  <c r="I45" i="27"/>
  <c r="D34" i="22"/>
  <c r="H4" i="27"/>
  <c r="J12" i="27"/>
  <c r="J45" i="27"/>
  <c r="K45" i="27"/>
  <c r="L45" i="27" s="1"/>
  <c r="M45" i="27" s="1"/>
  <c r="N45" i="27" s="1"/>
  <c r="K12" i="27"/>
  <c r="M14" i="23"/>
  <c r="M17" i="23"/>
  <c r="N45" i="23"/>
  <c r="N14" i="23"/>
  <c r="M32" i="23"/>
  <c r="M45" i="23"/>
  <c r="M4" i="27"/>
  <c r="I27" i="23"/>
  <c r="I31" i="23" s="1"/>
  <c r="J27" i="23"/>
  <c r="J31" i="23" s="1"/>
  <c r="H27" i="23"/>
  <c r="H31" i="23" s="1"/>
  <c r="K19" i="23"/>
  <c r="M18" i="23"/>
  <c r="E34" i="22"/>
  <c r="F23" i="22"/>
  <c r="F25" i="22" s="1"/>
  <c r="G23" i="22"/>
  <c r="G31" i="22" s="1"/>
  <c r="G34" i="22"/>
  <c r="D23" i="22"/>
  <c r="D25" i="22" s="1"/>
  <c r="D27" i="22" s="1"/>
  <c r="D30" i="22" s="1"/>
  <c r="E23" i="22"/>
  <c r="E25" i="22" s="1"/>
  <c r="F8" i="28"/>
  <c r="F16" i="28" s="1"/>
  <c r="N32" i="23"/>
  <c r="N4" i="27"/>
  <c r="F34" i="22"/>
  <c r="K17" i="26"/>
  <c r="K52" i="26"/>
  <c r="L5" i="27"/>
  <c r="N18" i="23"/>
  <c r="O12" i="23"/>
  <c r="Q4" i="34" s="1"/>
  <c r="E6" i="22"/>
  <c r="F6" i="22" s="1"/>
  <c r="G6" i="22" s="1"/>
  <c r="E5" i="34" l="1"/>
  <c r="O17" i="23"/>
  <c r="F4" i="34"/>
  <c r="F5" i="34" s="1"/>
  <c r="L9" i="27"/>
  <c r="L10" i="27"/>
  <c r="M19" i="23"/>
  <c r="M5" i="27"/>
  <c r="M9" i="27" s="1"/>
  <c r="M17" i="26" s="1"/>
  <c r="F54" i="31"/>
  <c r="K13" i="31"/>
  <c r="K18" i="31" s="1"/>
  <c r="K17" i="31" s="1"/>
  <c r="J47" i="31"/>
  <c r="N5" i="27"/>
  <c r="N9" i="27" s="1"/>
  <c r="G54" i="31"/>
  <c r="L13" i="31"/>
  <c r="L18" i="31" s="1"/>
  <c r="L17" i="31" s="1"/>
  <c r="R8" i="23"/>
  <c r="R7" i="23" s="1"/>
  <c r="J48" i="31"/>
  <c r="J49" i="31" s="1"/>
  <c r="I50" i="31"/>
  <c r="J8" i="28"/>
  <c r="J16" i="28" s="1"/>
  <c r="H12" i="27"/>
  <c r="L12" i="27" s="1"/>
  <c r="H45" i="27"/>
  <c r="L43" i="27"/>
  <c r="L19" i="23" s="1"/>
  <c r="K20" i="23"/>
  <c r="K29" i="23" s="1"/>
  <c r="K49" i="23"/>
  <c r="O45" i="23"/>
  <c r="O14" i="23"/>
  <c r="M43" i="27"/>
  <c r="H8" i="28"/>
  <c r="H16" i="28" s="1"/>
  <c r="I8" i="28"/>
  <c r="I16" i="28" s="1"/>
  <c r="F31" i="22"/>
  <c r="G25" i="22"/>
  <c r="G27" i="22" s="1"/>
  <c r="D31" i="22"/>
  <c r="E31" i="22"/>
  <c r="K13" i="28"/>
  <c r="K71" i="26"/>
  <c r="K11" i="28"/>
  <c r="K70" i="26"/>
  <c r="O32" i="23"/>
  <c r="O4" i="27"/>
  <c r="O45" i="27"/>
  <c r="N43" i="27"/>
  <c r="N19" i="23" s="1"/>
  <c r="P5" i="34" s="1"/>
  <c r="P6" i="34" s="1"/>
  <c r="D33" i="22"/>
  <c r="D32" i="22"/>
  <c r="E27" i="22"/>
  <c r="E32" i="22"/>
  <c r="F27" i="22"/>
  <c r="F32" i="22"/>
  <c r="O18" i="23"/>
  <c r="Q12" i="23"/>
  <c r="S4" i="34" s="1"/>
  <c r="P12" i="23"/>
  <c r="R4" i="34" s="1"/>
  <c r="E45" i="1"/>
  <c r="H28" i="8"/>
  <c r="E25" i="1" s="1"/>
  <c r="D7" i="34" l="1"/>
  <c r="D9" i="34" s="1"/>
  <c r="D10" i="34" s="1"/>
  <c r="O5" i="34"/>
  <c r="O6" i="34" s="1"/>
  <c r="Q17" i="23"/>
  <c r="H4" i="34"/>
  <c r="P17" i="23"/>
  <c r="G4" i="34"/>
  <c r="G5" i="34" s="1"/>
  <c r="M20" i="23"/>
  <c r="M29" i="23" s="1"/>
  <c r="L20" i="23"/>
  <c r="C7" i="34"/>
  <c r="C9" i="34" s="1"/>
  <c r="N20" i="23"/>
  <c r="N29" i="23" s="1"/>
  <c r="E7" i="34"/>
  <c r="E9" i="34" s="1"/>
  <c r="N10" i="27"/>
  <c r="N52" i="26" s="1"/>
  <c r="N71" i="26" s="1"/>
  <c r="M10" i="27"/>
  <c r="L21" i="31"/>
  <c r="L12" i="31"/>
  <c r="J50" i="31"/>
  <c r="O5" i="27"/>
  <c r="O10" i="27" s="1"/>
  <c r="H54" i="31"/>
  <c r="M13" i="31"/>
  <c r="M18" i="31" s="1"/>
  <c r="M17" i="31" s="1"/>
  <c r="G55" i="31"/>
  <c r="H53" i="31" s="1"/>
  <c r="G60" i="31"/>
  <c r="G61" i="31" s="1"/>
  <c r="K21" i="31"/>
  <c r="K12" i="31"/>
  <c r="K47" i="31"/>
  <c r="F60" i="31"/>
  <c r="F55" i="31"/>
  <c r="G53" i="31" s="1"/>
  <c r="R12" i="23"/>
  <c r="T4" i="34" s="1"/>
  <c r="K48" i="31"/>
  <c r="K49" i="31" s="1"/>
  <c r="M12" i="27"/>
  <c r="L8" i="27"/>
  <c r="P45" i="23"/>
  <c r="P14" i="23"/>
  <c r="Q45" i="23"/>
  <c r="Q14" i="23"/>
  <c r="L52" i="26"/>
  <c r="L59" i="26" s="1"/>
  <c r="L21" i="27"/>
  <c r="N17" i="26"/>
  <c r="N20" i="27"/>
  <c r="L17" i="26"/>
  <c r="L11" i="28" s="1"/>
  <c r="L20" i="27"/>
  <c r="M52" i="26"/>
  <c r="M20" i="27"/>
  <c r="Q4" i="27"/>
  <c r="F30" i="22"/>
  <c r="F33" i="22" s="1"/>
  <c r="E30" i="22"/>
  <c r="E33" i="22" s="1"/>
  <c r="G30" i="22"/>
  <c r="G33" i="22" s="1"/>
  <c r="G32" i="22"/>
  <c r="L71" i="26"/>
  <c r="P32" i="23"/>
  <c r="P4" i="27"/>
  <c r="P45" i="27"/>
  <c r="O43" i="27"/>
  <c r="O19" i="23" s="1"/>
  <c r="Q5" i="34" s="1"/>
  <c r="Q6" i="34" s="1"/>
  <c r="Q32" i="23"/>
  <c r="P18" i="23"/>
  <c r="Q18" i="23"/>
  <c r="S9" i="3"/>
  <c r="R9" i="3"/>
  <c r="S10" i="3" s="1"/>
  <c r="Q9" i="3"/>
  <c r="R10" i="3" s="1"/>
  <c r="P9" i="3"/>
  <c r="O9" i="3"/>
  <c r="S3" i="3"/>
  <c r="R3" i="3"/>
  <c r="Q3" i="3"/>
  <c r="P3" i="3"/>
  <c r="O3" i="3"/>
  <c r="P4" i="3" s="1"/>
  <c r="Q4" i="3"/>
  <c r="C36" i="3"/>
  <c r="P8" i="3"/>
  <c r="Q8" i="3" s="1"/>
  <c r="R8" i="3" s="1"/>
  <c r="S8" i="3" s="1"/>
  <c r="E109" i="8"/>
  <c r="D38" i="1"/>
  <c r="R32" i="23" l="1"/>
  <c r="I4" i="34"/>
  <c r="I5" i="34" s="1"/>
  <c r="H5" i="34"/>
  <c r="C20" i="34"/>
  <c r="C24" i="34" s="1"/>
  <c r="C29" i="34" s="1"/>
  <c r="C49" i="34" s="1"/>
  <c r="C10" i="34"/>
  <c r="E10" i="34"/>
  <c r="O20" i="23"/>
  <c r="O29" i="23" s="1"/>
  <c r="F7" i="34"/>
  <c r="F9" i="34" s="1"/>
  <c r="N21" i="27"/>
  <c r="O9" i="27"/>
  <c r="O20" i="27" s="1"/>
  <c r="M21" i="27"/>
  <c r="F56" i="31"/>
  <c r="R4" i="27"/>
  <c r="R45" i="23"/>
  <c r="R17" i="23"/>
  <c r="R18" i="23"/>
  <c r="R14" i="23"/>
  <c r="K50" i="31"/>
  <c r="H59" i="31"/>
  <c r="G64" i="31"/>
  <c r="Q5" i="27"/>
  <c r="Q10" i="27" s="1"/>
  <c r="J54" i="31"/>
  <c r="O13" i="31"/>
  <c r="O18" i="31" s="1"/>
  <c r="O17" i="31" s="1"/>
  <c r="G56" i="31"/>
  <c r="M21" i="31"/>
  <c r="M12" i="31"/>
  <c r="P5" i="27"/>
  <c r="P9" i="27" s="1"/>
  <c r="I54" i="31"/>
  <c r="N13" i="31"/>
  <c r="N18" i="31" s="1"/>
  <c r="N17" i="31" s="1"/>
  <c r="F61" i="31"/>
  <c r="F62" i="31" s="1"/>
  <c r="H55" i="31"/>
  <c r="I53" i="31" s="1"/>
  <c r="H60" i="31"/>
  <c r="H61" i="31" s="1"/>
  <c r="L19" i="26"/>
  <c r="L10" i="28" s="1"/>
  <c r="L19" i="27"/>
  <c r="L23" i="27" s="1"/>
  <c r="N59" i="26"/>
  <c r="M11" i="28"/>
  <c r="L70" i="26"/>
  <c r="L13" i="28"/>
  <c r="M13" i="28"/>
  <c r="N11" i="28"/>
  <c r="N13" i="28"/>
  <c r="O52" i="26"/>
  <c r="O71" i="26" s="1"/>
  <c r="O21" i="27"/>
  <c r="M71" i="26"/>
  <c r="M59" i="26"/>
  <c r="O17" i="26"/>
  <c r="R4" i="3"/>
  <c r="Q10" i="3"/>
  <c r="Q45" i="27"/>
  <c r="P43" i="27"/>
  <c r="P19" i="23" s="1"/>
  <c r="R5" i="34" s="1"/>
  <c r="R6" i="34" s="1"/>
  <c r="H109" i="8"/>
  <c r="P10" i="3"/>
  <c r="P12" i="3" s="1"/>
  <c r="Q12" i="3" s="1"/>
  <c r="R12" i="3" s="1"/>
  <c r="S12" i="3" s="1"/>
  <c r="S4" i="3"/>
  <c r="Q9" i="27" l="1"/>
  <c r="Q20" i="27" s="1"/>
  <c r="F10" i="34"/>
  <c r="P20" i="23"/>
  <c r="P29" i="23" s="1"/>
  <c r="G7" i="34"/>
  <c r="G9" i="34" s="1"/>
  <c r="P10" i="27"/>
  <c r="P21" i="27" s="1"/>
  <c r="G59" i="31"/>
  <c r="G62" i="31" s="1"/>
  <c r="F64" i="31"/>
  <c r="F66" i="31" s="1"/>
  <c r="O8" i="34" s="1"/>
  <c r="H56" i="31"/>
  <c r="I59" i="31"/>
  <c r="H64" i="31"/>
  <c r="H66" i="31" s="1"/>
  <c r="Q8" i="34" s="1"/>
  <c r="O12" i="31"/>
  <c r="O21" i="31"/>
  <c r="H62" i="31"/>
  <c r="N21" i="31"/>
  <c r="N12" i="31"/>
  <c r="J55" i="31"/>
  <c r="K53" i="31" s="1"/>
  <c r="J60" i="31"/>
  <c r="J61" i="31" s="1"/>
  <c r="I60" i="31"/>
  <c r="I61" i="31" s="1"/>
  <c r="I55" i="31"/>
  <c r="J53" i="31" s="1"/>
  <c r="R5" i="27"/>
  <c r="K54" i="31"/>
  <c r="O11" i="28"/>
  <c r="Q43" i="27"/>
  <c r="Q19" i="23" s="1"/>
  <c r="S5" i="34" s="1"/>
  <c r="S6" i="34" s="1"/>
  <c r="R45" i="27"/>
  <c r="R43" i="27" s="1"/>
  <c r="R19" i="23" s="1"/>
  <c r="T5" i="34" s="1"/>
  <c r="T6" i="34" s="1"/>
  <c r="O13" i="28"/>
  <c r="O59" i="26"/>
  <c r="Q52" i="26"/>
  <c r="P17" i="26"/>
  <c r="P20" i="27"/>
  <c r="Q17" i="26"/>
  <c r="N6" i="3"/>
  <c r="R6" i="3"/>
  <c r="H19" i="3" s="1"/>
  <c r="P6" i="3"/>
  <c r="F9" i="25" l="1"/>
  <c r="F13" i="34"/>
  <c r="D9" i="25"/>
  <c r="D13" i="34"/>
  <c r="G10" i="34"/>
  <c r="R20" i="23"/>
  <c r="R29" i="23" s="1"/>
  <c r="I7" i="34"/>
  <c r="I9" i="34" s="1"/>
  <c r="Q20" i="23"/>
  <c r="Q29" i="23" s="1"/>
  <c r="H7" i="34"/>
  <c r="H9" i="34" s="1"/>
  <c r="P52" i="26"/>
  <c r="P71" i="26" s="1"/>
  <c r="Q21" i="27"/>
  <c r="G66" i="31"/>
  <c r="P8" i="34" s="1"/>
  <c r="I56" i="31"/>
  <c r="J56" i="31"/>
  <c r="J59" i="31"/>
  <c r="J62" i="31" s="1"/>
  <c r="I64" i="31"/>
  <c r="I66" i="31" s="1"/>
  <c r="R8" i="34" s="1"/>
  <c r="K60" i="31"/>
  <c r="K61" i="31" s="1"/>
  <c r="K55" i="31"/>
  <c r="K56" i="31" s="1"/>
  <c r="K59" i="31"/>
  <c r="J64" i="31"/>
  <c r="R10" i="27"/>
  <c r="R21" i="27" s="1"/>
  <c r="R9" i="27"/>
  <c r="R20" i="27" s="1"/>
  <c r="I62" i="31"/>
  <c r="Q59" i="26"/>
  <c r="Q11" i="28"/>
  <c r="P11" i="28"/>
  <c r="E9" i="1"/>
  <c r="E131" i="8"/>
  <c r="H131" i="8" s="1"/>
  <c r="E130" i="8"/>
  <c r="H130" i="8" s="1"/>
  <c r="E128" i="8"/>
  <c r="H128" i="8" s="1"/>
  <c r="E127" i="8"/>
  <c r="H127" i="8" s="1"/>
  <c r="E126" i="8"/>
  <c r="H126" i="8" s="1"/>
  <c r="E121" i="8"/>
  <c r="H121" i="8" s="1"/>
  <c r="E120" i="8"/>
  <c r="H120" i="8" s="1"/>
  <c r="E119" i="8"/>
  <c r="H119" i="8" s="1"/>
  <c r="E118" i="8"/>
  <c r="H118" i="8" s="1"/>
  <c r="E117" i="8"/>
  <c r="H117" i="8" s="1"/>
  <c r="E116" i="8"/>
  <c r="H116" i="8" s="1"/>
  <c r="E115" i="8"/>
  <c r="H115" i="8" s="1"/>
  <c r="E114" i="8"/>
  <c r="H114" i="8" s="1"/>
  <c r="E113" i="8"/>
  <c r="H113" i="8" s="1"/>
  <c r="E112" i="8"/>
  <c r="H112" i="8" s="1"/>
  <c r="E111" i="8"/>
  <c r="H111" i="8" s="1"/>
  <c r="E110" i="8"/>
  <c r="E105" i="8"/>
  <c r="H105" i="8" s="1"/>
  <c r="E100" i="8"/>
  <c r="H100" i="8" s="1"/>
  <c r="E91" i="8"/>
  <c r="H91" i="8" s="1"/>
  <c r="E86" i="8"/>
  <c r="H86" i="8" s="1"/>
  <c r="E84" i="8"/>
  <c r="H84" i="8" s="1"/>
  <c r="E79" i="8"/>
  <c r="H79" i="8" s="1"/>
  <c r="E74" i="8"/>
  <c r="H74" i="8" s="1"/>
  <c r="E73" i="8"/>
  <c r="H73" i="8" s="1"/>
  <c r="E70" i="8"/>
  <c r="H70" i="8" s="1"/>
  <c r="E55" i="8"/>
  <c r="H55" i="8" s="1"/>
  <c r="E54" i="8"/>
  <c r="H54" i="8" s="1"/>
  <c r="E49" i="8"/>
  <c r="H49" i="8" s="1"/>
  <c r="E47" i="8"/>
  <c r="H47" i="8" s="1"/>
  <c r="E43" i="8"/>
  <c r="H43" i="8" s="1"/>
  <c r="E38" i="8"/>
  <c r="H38" i="8" s="1"/>
  <c r="G9" i="25" l="1"/>
  <c r="G13" i="34"/>
  <c r="E9" i="25"/>
  <c r="E13" i="34"/>
  <c r="I10" i="34"/>
  <c r="H10" i="34"/>
  <c r="J66" i="31"/>
  <c r="S8" i="34" s="1"/>
  <c r="P59" i="26"/>
  <c r="P13" i="28"/>
  <c r="Q13" i="28"/>
  <c r="K64" i="31"/>
  <c r="K66" i="31" s="1"/>
  <c r="T8" i="34" s="1"/>
  <c r="K62" i="31"/>
  <c r="H110" i="8"/>
  <c r="E33" i="8"/>
  <c r="H33" i="8" s="1"/>
  <c r="E28" i="8"/>
  <c r="E22" i="8"/>
  <c r="H22" i="8" s="1"/>
  <c r="E19" i="8"/>
  <c r="H19" i="8" s="1"/>
  <c r="E15" i="8"/>
  <c r="H15" i="8" s="1"/>
  <c r="E12" i="8"/>
  <c r="H12" i="8" s="1"/>
  <c r="C31" i="7"/>
  <c r="E31" i="7" s="1"/>
  <c r="C30" i="7"/>
  <c r="E30" i="7" s="1"/>
  <c r="C29" i="7"/>
  <c r="E29" i="7" s="1"/>
  <c r="C28" i="7"/>
  <c r="E28" i="7" s="1"/>
  <c r="C23" i="7"/>
  <c r="E23" i="7" s="1"/>
  <c r="C22" i="7"/>
  <c r="E22" i="7" s="1"/>
  <c r="C16" i="7"/>
  <c r="E16" i="7" s="1"/>
  <c r="C15" i="7"/>
  <c r="E15" i="7" s="1"/>
  <c r="C9" i="7"/>
  <c r="E9" i="7" s="1"/>
  <c r="C37" i="3"/>
  <c r="E63" i="3"/>
  <c r="H63" i="3" s="1"/>
  <c r="E61" i="3"/>
  <c r="H61" i="3" s="1"/>
  <c r="E60" i="3"/>
  <c r="H60" i="3" s="1"/>
  <c r="E54" i="3"/>
  <c r="H54" i="3" s="1"/>
  <c r="E49" i="3"/>
  <c r="H49" i="3" s="1"/>
  <c r="E46" i="3"/>
  <c r="H46" i="3" s="1"/>
  <c r="E43" i="3"/>
  <c r="H43" i="3" s="1"/>
  <c r="E30" i="3"/>
  <c r="E29" i="3"/>
  <c r="E28" i="3"/>
  <c r="E27" i="3"/>
  <c r="E26" i="3"/>
  <c r="H26" i="3" s="1"/>
  <c r="H31" i="3" s="1"/>
  <c r="H38" i="3" s="1"/>
  <c r="E18" i="3"/>
  <c r="E16" i="3"/>
  <c r="E14" i="3"/>
  <c r="E13" i="3"/>
  <c r="E12" i="3"/>
  <c r="E11" i="3"/>
  <c r="E10" i="3"/>
  <c r="D20" i="1"/>
  <c r="D19" i="1"/>
  <c r="D18" i="1"/>
  <c r="D16" i="1"/>
  <c r="D13" i="1"/>
  <c r="D12" i="1"/>
  <c r="D11" i="1"/>
  <c r="D9" i="1"/>
  <c r="D26" i="1"/>
  <c r="D25" i="1"/>
  <c r="D31" i="1"/>
  <c r="D32" i="1"/>
  <c r="D33" i="1"/>
  <c r="D37" i="1"/>
  <c r="D39" i="1"/>
  <c r="D40" i="1"/>
  <c r="E32" i="7" l="1"/>
  <c r="E20" i="1" s="1"/>
  <c r="I9" i="25"/>
  <c r="I13" i="34"/>
  <c r="H9" i="25"/>
  <c r="H13" i="34"/>
  <c r="D21" i="1"/>
  <c r="D44" i="1"/>
  <c r="E11" i="1"/>
  <c r="H55" i="3"/>
  <c r="E12" i="1" s="1"/>
  <c r="E14" i="1" s="1"/>
  <c r="H64" i="3"/>
  <c r="E13" i="1" s="1"/>
  <c r="H122" i="8"/>
  <c r="E39" i="1" s="1"/>
  <c r="D34" i="1"/>
  <c r="D41" i="1"/>
  <c r="D43" i="1" s="1"/>
  <c r="D27" i="1"/>
  <c r="D14" i="1"/>
  <c r="D22" i="1" s="1"/>
  <c r="E17" i="7"/>
  <c r="E18" i="1" s="1"/>
  <c r="H66" i="3" l="1"/>
  <c r="C17" i="7"/>
  <c r="E132" i="8"/>
  <c r="E122" i="8"/>
  <c r="E92" i="8"/>
  <c r="H92" i="8" s="1"/>
  <c r="E33" i="1" s="1"/>
  <c r="E88" i="8"/>
  <c r="H88" i="8" s="1"/>
  <c r="E32" i="1" s="1"/>
  <c r="E80" i="8"/>
  <c r="H80" i="8" s="1"/>
  <c r="E76" i="8"/>
  <c r="H76" i="8" s="1"/>
  <c r="E71" i="8"/>
  <c r="H71" i="8" s="1"/>
  <c r="E58" i="8"/>
  <c r="H58" i="8" s="1"/>
  <c r="E52" i="8"/>
  <c r="H52" i="8" s="1"/>
  <c r="E46" i="8"/>
  <c r="H46" i="8" s="1"/>
  <c r="E41" i="8"/>
  <c r="H41" i="8" s="1"/>
  <c r="E36" i="8"/>
  <c r="C32" i="7"/>
  <c r="E64" i="3"/>
  <c r="E31" i="3"/>
  <c r="E38" i="3" s="1"/>
  <c r="E59" i="8" l="1"/>
  <c r="H36" i="8"/>
  <c r="H59" i="8" s="1"/>
  <c r="E81" i="8"/>
  <c r="E62" i="8"/>
  <c r="E26" i="1" l="1"/>
  <c r="H62" i="8"/>
  <c r="E94" i="8"/>
  <c r="H81" i="8"/>
  <c r="E6" i="12"/>
  <c r="E31" i="1" l="1"/>
  <c r="H94" i="8"/>
  <c r="G6" i="12" l="1"/>
  <c r="F6" i="12"/>
  <c r="E12" i="15" l="1"/>
  <c r="F12" i="15" s="1"/>
  <c r="D8" i="13"/>
  <c r="G5" i="11"/>
  <c r="H5" i="11" s="1"/>
  <c r="H31" i="12" l="1"/>
  <c r="C6" i="12"/>
  <c r="O5" i="11" l="1"/>
  <c r="F8" i="13" l="1"/>
  <c r="E8" i="13"/>
  <c r="D14" i="13"/>
  <c r="C10" i="21" l="1"/>
  <c r="F10" i="21" l="1"/>
  <c r="E10" i="21"/>
  <c r="G10" i="21"/>
  <c r="F14" i="13"/>
  <c r="E14" i="13"/>
  <c r="E14" i="14" l="1"/>
  <c r="D14" i="14"/>
  <c r="D15" i="14" s="1"/>
  <c r="I35" i="20"/>
  <c r="H35" i="20"/>
  <c r="G35" i="20"/>
  <c r="F35" i="20"/>
  <c r="G12" i="21"/>
  <c r="G6" i="16" s="1"/>
  <c r="F12" i="21"/>
  <c r="F6" i="16" s="1"/>
  <c r="C12" i="21"/>
  <c r="D6" i="16" s="1"/>
  <c r="G12" i="15"/>
  <c r="C9" i="20"/>
  <c r="E9" i="20" s="1"/>
  <c r="C8" i="20"/>
  <c r="E8" i="20" s="1"/>
  <c r="C7" i="20"/>
  <c r="E7" i="20" s="1"/>
  <c r="C6" i="20"/>
  <c r="G9" i="20" l="1"/>
  <c r="F9" i="20"/>
  <c r="C10" i="20"/>
  <c r="G8" i="20"/>
  <c r="F8" i="20"/>
  <c r="E6" i="20"/>
  <c r="E10" i="20" s="1"/>
  <c r="E15" i="14"/>
  <c r="F14" i="14"/>
  <c r="F15" i="14" s="1"/>
  <c r="G14" i="14"/>
  <c r="G15" i="14" s="1"/>
  <c r="F7" i="20"/>
  <c r="G7" i="20"/>
  <c r="E12" i="21"/>
  <c r="E6" i="16" s="1"/>
  <c r="G6" i="20" l="1"/>
  <c r="G10" i="20" s="1"/>
  <c r="F6" i="20"/>
  <c r="F10" i="20" s="1"/>
  <c r="G20" i="15"/>
  <c r="E69" i="10" l="1"/>
  <c r="F69" i="10" s="1"/>
  <c r="G69" i="10" s="1"/>
  <c r="H69" i="10" s="1"/>
  <c r="I69" i="10" s="1"/>
  <c r="J69" i="10" s="1"/>
  <c r="D4" i="10"/>
  <c r="E4" i="10" s="1"/>
  <c r="F4" i="10" s="1"/>
  <c r="G4" i="10" s="1"/>
  <c r="H4" i="10" s="1"/>
  <c r="I4" i="10" s="1"/>
  <c r="J4" i="10" s="1"/>
  <c r="K4" i="10" s="1"/>
  <c r="L4" i="10" s="1"/>
  <c r="M4" i="10" s="1"/>
  <c r="N4" i="10" s="1"/>
  <c r="O4" i="10" s="1"/>
  <c r="P4" i="10" s="1"/>
  <c r="Q4" i="10" s="1"/>
  <c r="R4" i="10" s="1"/>
  <c r="S4" i="10" s="1"/>
  <c r="T4" i="10" s="1"/>
  <c r="U4" i="10" s="1"/>
  <c r="V4" i="10" s="1"/>
  <c r="D53" i="9"/>
  <c r="E51" i="9"/>
  <c r="E53" i="9" s="1"/>
  <c r="D46" i="9"/>
  <c r="E44" i="9"/>
  <c r="E46" i="9" s="1"/>
  <c r="E42" i="9"/>
  <c r="D42" i="9"/>
  <c r="E37" i="9"/>
  <c r="E36" i="9"/>
  <c r="E38" i="9" s="1"/>
  <c r="D36" i="9"/>
  <c r="D38" i="9" s="1"/>
  <c r="AD7" i="9"/>
  <c r="F20" i="15"/>
  <c r="D19" i="15"/>
  <c r="D17" i="15"/>
  <c r="G16" i="15"/>
  <c r="F16" i="15"/>
  <c r="E14" i="15"/>
  <c r="G14" i="15" s="1"/>
  <c r="D14" i="15"/>
  <c r="F14" i="15" s="1"/>
  <c r="D13" i="15"/>
  <c r="D12" i="15"/>
  <c r="D10" i="15"/>
  <c r="E10" i="15" s="1"/>
  <c r="G9" i="15"/>
  <c r="F9" i="15"/>
  <c r="E9" i="15"/>
  <c r="G7" i="15"/>
  <c r="D11" i="14"/>
  <c r="D10" i="14"/>
  <c r="E8" i="14"/>
  <c r="D8" i="14"/>
  <c r="D7" i="14"/>
  <c r="C14" i="13"/>
  <c r="D13" i="13"/>
  <c r="C13" i="13"/>
  <c r="C15" i="13" s="1"/>
  <c r="D10" i="13"/>
  <c r="D11" i="13" s="1"/>
  <c r="C10" i="13"/>
  <c r="C8" i="13"/>
  <c r="C10" i="12"/>
  <c r="C7" i="12"/>
  <c r="E5" i="12"/>
  <c r="F5" i="12" s="1"/>
  <c r="C5" i="12"/>
  <c r="C9" i="12" s="1"/>
  <c r="C11" i="12" s="1"/>
  <c r="D8" i="16" s="1"/>
  <c r="D13" i="11"/>
  <c r="F12" i="11"/>
  <c r="F11" i="11"/>
  <c r="F10" i="11"/>
  <c r="F8" i="11"/>
  <c r="F7" i="11"/>
  <c r="F6" i="11"/>
  <c r="F5" i="11"/>
  <c r="D30" i="7"/>
  <c r="D29" i="7"/>
  <c r="D23" i="7"/>
  <c r="D22" i="7"/>
  <c r="D16" i="7"/>
  <c r="D15" i="7"/>
  <c r="D14" i="7"/>
  <c r="D9" i="7"/>
  <c r="F44" i="3"/>
  <c r="F55" i="3" s="1"/>
  <c r="F64" i="3" s="1"/>
  <c r="E55" i="3"/>
  <c r="F30" i="3"/>
  <c r="F37" i="3" s="1"/>
  <c r="F28" i="3"/>
  <c r="F27" i="3"/>
  <c r="F26" i="3"/>
  <c r="E19" i="3"/>
  <c r="F18" i="3"/>
  <c r="F16" i="3"/>
  <c r="F15" i="3"/>
  <c r="F14" i="3"/>
  <c r="F13" i="3"/>
  <c r="F12" i="3"/>
  <c r="F11" i="3"/>
  <c r="F10" i="3"/>
  <c r="B9" i="3"/>
  <c r="F10" i="15" l="1"/>
  <c r="E57" i="9"/>
  <c r="C11" i="13"/>
  <c r="D9" i="16" s="1"/>
  <c r="D57" i="9"/>
  <c r="F13" i="11"/>
  <c r="D7" i="16" s="1"/>
  <c r="I5" i="11"/>
  <c r="G10" i="11"/>
  <c r="I10" i="11"/>
  <c r="H10" i="11"/>
  <c r="E7" i="12"/>
  <c r="E9" i="12" s="1"/>
  <c r="E11" i="12" s="1"/>
  <c r="E8" i="16" s="1"/>
  <c r="F7" i="12"/>
  <c r="G7" i="12"/>
  <c r="F10" i="13"/>
  <c r="F11" i="13" s="1"/>
  <c r="E10" i="13"/>
  <c r="E11" i="13" s="1"/>
  <c r="G7" i="14"/>
  <c r="F7" i="14"/>
  <c r="E7" i="14"/>
  <c r="E11" i="14"/>
  <c r="G11" i="14"/>
  <c r="F11" i="14"/>
  <c r="G10" i="15"/>
  <c r="H7" i="11"/>
  <c r="G7" i="11"/>
  <c r="I12" i="11"/>
  <c r="H12" i="11"/>
  <c r="G12" i="11"/>
  <c r="F13" i="13"/>
  <c r="F15" i="13" s="1"/>
  <c r="E13" i="13"/>
  <c r="E15" i="13" s="1"/>
  <c r="G13" i="15"/>
  <c r="G15" i="15" s="1"/>
  <c r="F13" i="15"/>
  <c r="E13" i="15"/>
  <c r="E15" i="15" s="1"/>
  <c r="F19" i="15"/>
  <c r="G19" i="15"/>
  <c r="E19" i="15"/>
  <c r="I8" i="11"/>
  <c r="H8" i="11"/>
  <c r="G8" i="11"/>
  <c r="D15" i="13"/>
  <c r="E9" i="16" s="1"/>
  <c r="G10" i="14"/>
  <c r="F10" i="14"/>
  <c r="E10" i="14"/>
  <c r="F15" i="15"/>
  <c r="F21" i="15" s="1"/>
  <c r="F11" i="16" s="1"/>
  <c r="I6" i="11"/>
  <c r="G6" i="11"/>
  <c r="H6" i="11"/>
  <c r="H11" i="11"/>
  <c r="G11" i="11"/>
  <c r="I11" i="11"/>
  <c r="D15" i="15"/>
  <c r="D21" i="15" s="1"/>
  <c r="D11" i="16" s="1"/>
  <c r="G17" i="15"/>
  <c r="E17" i="15"/>
  <c r="F17" i="15"/>
  <c r="E66" i="3"/>
  <c r="E101" i="8"/>
  <c r="E106" i="8"/>
  <c r="H101" i="8"/>
  <c r="H106" i="8"/>
  <c r="E38" i="1" s="1"/>
  <c r="H132" i="8"/>
  <c r="E40" i="1" s="1"/>
  <c r="F19" i="3"/>
  <c r="F29" i="3"/>
  <c r="F38" i="3" s="1"/>
  <c r="F23" i="3" s="1"/>
  <c r="E27" i="1"/>
  <c r="E34" i="1"/>
  <c r="D24" i="7"/>
  <c r="C10" i="7"/>
  <c r="D31" i="7"/>
  <c r="D32" i="7" s="1"/>
  <c r="D17" i="7"/>
  <c r="C24" i="7"/>
  <c r="E10" i="7"/>
  <c r="D10" i="7"/>
  <c r="E24" i="7"/>
  <c r="E19" i="1" s="1"/>
  <c r="D12" i="14"/>
  <c r="D10" i="16" s="1"/>
  <c r="G12" i="14"/>
  <c r="G10" i="16" s="1"/>
  <c r="F12" i="14"/>
  <c r="F10" i="16" s="1"/>
  <c r="G9" i="16"/>
  <c r="G5" i="12"/>
  <c r="G9" i="12" s="1"/>
  <c r="F9" i="12"/>
  <c r="F11" i="12" s="1"/>
  <c r="F8" i="16" s="1"/>
  <c r="E21" i="15" l="1"/>
  <c r="E11" i="16" s="1"/>
  <c r="F9" i="16"/>
  <c r="D12" i="16"/>
  <c r="E12" i="14"/>
  <c r="E10" i="16" s="1"/>
  <c r="G13" i="11"/>
  <c r="E7" i="16" s="1"/>
  <c r="E37" i="1"/>
  <c r="E41" i="1" s="1"/>
  <c r="E43" i="1" s="1"/>
  <c r="H134" i="8"/>
  <c r="H136" i="8" s="1"/>
  <c r="H138" i="8" s="1"/>
  <c r="G21" i="15"/>
  <c r="G11" i="16" s="1"/>
  <c r="E34" i="7"/>
  <c r="E16" i="1"/>
  <c r="I13" i="11"/>
  <c r="G7" i="16" s="1"/>
  <c r="E44" i="1"/>
  <c r="E46" i="1" s="1"/>
  <c r="H13" i="11"/>
  <c r="F7" i="16" s="1"/>
  <c r="F12" i="16" s="1"/>
  <c r="E134" i="8"/>
  <c r="E136" i="8" s="1"/>
  <c r="E138" i="8" s="1"/>
  <c r="C34" i="7"/>
  <c r="F66" i="3"/>
  <c r="D34" i="7"/>
  <c r="E12" i="16"/>
  <c r="G11" i="12"/>
  <c r="G8" i="16"/>
  <c r="G12" i="16" s="1"/>
  <c r="E21" i="1" l="1"/>
  <c r="E22" i="1" s="1"/>
  <c r="E48" i="1" s="1"/>
  <c r="K33" i="28" l="1"/>
  <c r="K59" i="26"/>
  <c r="K73" i="26"/>
  <c r="K74" i="26" s="1"/>
  <c r="L73" i="26"/>
  <c r="L74" i="26" l="1"/>
  <c r="K9" i="28" l="1"/>
  <c r="K22" i="23"/>
  <c r="K30" i="23"/>
  <c r="K9" i="26"/>
  <c r="K24" i="23" l="1"/>
  <c r="K27" i="23" s="1"/>
  <c r="L30" i="27"/>
  <c r="L32" i="27" s="1"/>
  <c r="K37" i="26" l="1"/>
  <c r="K36" i="26" l="1"/>
  <c r="K35" i="26" s="1"/>
  <c r="K28" i="23"/>
  <c r="K8" i="28"/>
  <c r="K16" i="28" s="1"/>
  <c r="K31" i="23"/>
  <c r="K38" i="26"/>
  <c r="K60" i="26" s="1"/>
  <c r="L9" i="28"/>
  <c r="L22" i="23"/>
  <c r="C5" i="25" s="1"/>
  <c r="C7" i="25" s="1"/>
  <c r="C11" i="25" s="1"/>
  <c r="C12" i="25" s="1"/>
  <c r="C18" i="25" s="1"/>
  <c r="C21" i="25" s="1"/>
  <c r="L24" i="23" l="1"/>
  <c r="L37" i="26" s="1"/>
  <c r="L38" i="26" s="1"/>
  <c r="L60" i="26" s="1"/>
  <c r="L30" i="23"/>
  <c r="L27" i="23" l="1"/>
  <c r="L8" i="28" s="1"/>
  <c r="L16" i="28" s="1"/>
  <c r="L31" i="23" l="1"/>
  <c r="L28" i="23"/>
  <c r="L36" i="26"/>
  <c r="L35" i="26" s="1"/>
  <c r="M8" i="27"/>
  <c r="N12" i="27"/>
  <c r="M19" i="27" l="1"/>
  <c r="M23" i="27" s="1"/>
  <c r="M19" i="26"/>
  <c r="O12" i="27"/>
  <c r="N8" i="27"/>
  <c r="P12" i="27" l="1"/>
  <c r="O8" i="27"/>
  <c r="N19" i="27"/>
  <c r="N23" i="27" s="1"/>
  <c r="N19" i="26"/>
  <c r="M70" i="26"/>
  <c r="M73" i="26" s="1"/>
  <c r="M74" i="26" s="1"/>
  <c r="M10" i="28"/>
  <c r="N10" i="28" l="1"/>
  <c r="N70" i="26"/>
  <c r="N73" i="26" s="1"/>
  <c r="N74" i="26" s="1"/>
  <c r="O19" i="27"/>
  <c r="O23" i="27" s="1"/>
  <c r="O19" i="26"/>
  <c r="Q12" i="27"/>
  <c r="P8" i="27"/>
  <c r="P19" i="26" l="1"/>
  <c r="P19" i="27"/>
  <c r="P23" i="27" s="1"/>
  <c r="Q8" i="27"/>
  <c r="R12" i="27"/>
  <c r="R8" i="27" s="1"/>
  <c r="O10" i="28"/>
  <c r="O70" i="26"/>
  <c r="O73" i="26" s="1"/>
  <c r="O74" i="26" s="1"/>
  <c r="R19" i="27" l="1"/>
  <c r="R23" i="27" s="1"/>
  <c r="Q19" i="27"/>
  <c r="Q23" i="27" s="1"/>
  <c r="Q19" i="26"/>
  <c r="P70" i="26"/>
  <c r="P73" i="26" s="1"/>
  <c r="P74" i="26" s="1"/>
  <c r="P10" i="28"/>
  <c r="Q10" i="28" l="1"/>
  <c r="M9" i="28" l="1"/>
  <c r="N9" i="28"/>
  <c r="O9" i="28"/>
  <c r="P9" i="28"/>
  <c r="Q9" i="28"/>
  <c r="M22" i="23"/>
  <c r="D5" i="25" s="1"/>
  <c r="N22" i="23"/>
  <c r="N24" i="23" s="1"/>
  <c r="O22" i="23"/>
  <c r="O24" i="23" s="1"/>
  <c r="P22" i="23"/>
  <c r="G5" i="25" s="1"/>
  <c r="Q22" i="23"/>
  <c r="I11" i="25" s="1"/>
  <c r="I12" i="25" s="1"/>
  <c r="R22" i="23"/>
  <c r="R24" i="23" s="1"/>
  <c r="P24" i="23" l="1"/>
  <c r="P26" i="23" s="1"/>
  <c r="G14" i="34" s="1"/>
  <c r="G20" i="34" s="1"/>
  <c r="G24" i="34" s="1"/>
  <c r="G29" i="34" s="1"/>
  <c r="G49" i="34" s="1"/>
  <c r="P30" i="23"/>
  <c r="M24" i="23"/>
  <c r="M37" i="26" s="1"/>
  <c r="H5" i="25"/>
  <c r="Q24" i="23"/>
  <c r="Q26" i="23" s="1"/>
  <c r="S9" i="34" s="1"/>
  <c r="S12" i="34" s="1"/>
  <c r="S16" i="34" s="1"/>
  <c r="S22" i="34" s="1"/>
  <c r="Q30" i="23"/>
  <c r="M30" i="23"/>
  <c r="N26" i="23"/>
  <c r="P9" i="34" s="1"/>
  <c r="P12" i="34" s="1"/>
  <c r="P16" i="34" s="1"/>
  <c r="P22" i="34" s="1"/>
  <c r="P27" i="23"/>
  <c r="I18" i="25"/>
  <c r="I19" i="25"/>
  <c r="I20" i="25" s="1"/>
  <c r="R26" i="23"/>
  <c r="T9" i="34" s="1"/>
  <c r="T12" i="34" s="1"/>
  <c r="O26" i="23"/>
  <c r="Q9" i="34" s="1"/>
  <c r="Q12" i="34" s="1"/>
  <c r="Q16" i="34" s="1"/>
  <c r="Q22" i="34" s="1"/>
  <c r="F5" i="25"/>
  <c r="O30" i="23"/>
  <c r="I5" i="25"/>
  <c r="E5" i="25"/>
  <c r="R30" i="23"/>
  <c r="N30" i="23"/>
  <c r="R9" i="34" l="1"/>
  <c r="R12" i="34" s="1"/>
  <c r="R16" i="34" s="1"/>
  <c r="R22" i="34" s="1"/>
  <c r="G6" i="25"/>
  <c r="G7" i="25" s="1"/>
  <c r="G11" i="25" s="1"/>
  <c r="G12" i="25" s="1"/>
  <c r="G18" i="25" s="1"/>
  <c r="G21" i="25" s="1"/>
  <c r="T16" i="34"/>
  <c r="M26" i="23"/>
  <c r="O9" i="34" s="1"/>
  <c r="O12" i="34" s="1"/>
  <c r="O16" i="34" s="1"/>
  <c r="O22" i="34" s="1"/>
  <c r="H6" i="25"/>
  <c r="H7" i="25" s="1"/>
  <c r="H11" i="25" s="1"/>
  <c r="H12" i="25" s="1"/>
  <c r="H18" i="25" s="1"/>
  <c r="H21" i="25" s="1"/>
  <c r="H14" i="34"/>
  <c r="H20" i="34" s="1"/>
  <c r="H24" i="34" s="1"/>
  <c r="H29" i="34" s="1"/>
  <c r="H49" i="34" s="1"/>
  <c r="I6" i="25"/>
  <c r="I7" i="25" s="1"/>
  <c r="I14" i="34"/>
  <c r="I20" i="34" s="1"/>
  <c r="E6" i="25"/>
  <c r="E7" i="25" s="1"/>
  <c r="E11" i="25" s="1"/>
  <c r="E12" i="25" s="1"/>
  <c r="E18" i="25" s="1"/>
  <c r="E21" i="25" s="1"/>
  <c r="E14" i="34"/>
  <c r="E20" i="34" s="1"/>
  <c r="E24" i="34" s="1"/>
  <c r="E29" i="34" s="1"/>
  <c r="E49" i="34" s="1"/>
  <c r="F6" i="25"/>
  <c r="F7" i="25" s="1"/>
  <c r="F11" i="25" s="1"/>
  <c r="F12" i="25" s="1"/>
  <c r="F18" i="25" s="1"/>
  <c r="F21" i="25" s="1"/>
  <c r="F14" i="34"/>
  <c r="F20" i="34" s="1"/>
  <c r="F24" i="34" s="1"/>
  <c r="F29" i="34" s="1"/>
  <c r="F49" i="34" s="1"/>
  <c r="Q27" i="23"/>
  <c r="Q8" i="28" s="1"/>
  <c r="Q16" i="28" s="1"/>
  <c r="N37" i="26"/>
  <c r="M38" i="26"/>
  <c r="M60" i="26" s="1"/>
  <c r="I21" i="25"/>
  <c r="N27" i="23"/>
  <c r="O27" i="23"/>
  <c r="R27" i="23"/>
  <c r="P28" i="23"/>
  <c r="P31" i="23"/>
  <c r="P8" i="28"/>
  <c r="P16" i="28" s="1"/>
  <c r="T22" i="34" l="1"/>
  <c r="O23" i="34" s="1"/>
  <c r="O25" i="34" s="1"/>
  <c r="O30" i="34" s="1"/>
  <c r="P36" i="34" s="1"/>
  <c r="D6" i="25"/>
  <c r="D7" i="25" s="1"/>
  <c r="D11" i="25" s="1"/>
  <c r="D12" i="25" s="1"/>
  <c r="D18" i="25" s="1"/>
  <c r="D21" i="25" s="1"/>
  <c r="F22" i="25" s="1"/>
  <c r="C25" i="25" s="1"/>
  <c r="G36" i="25" s="1"/>
  <c r="D14" i="34"/>
  <c r="D20" i="34" s="1"/>
  <c r="D24" i="34" s="1"/>
  <c r="D29" i="34" s="1"/>
  <c r="D49" i="34" s="1"/>
  <c r="M27" i="23"/>
  <c r="I24" i="34"/>
  <c r="I29" i="34" s="1"/>
  <c r="I46" i="34"/>
  <c r="I47" i="34" s="1"/>
  <c r="Q31" i="23"/>
  <c r="Q28" i="23"/>
  <c r="N8" i="28"/>
  <c r="N16" i="28" s="1"/>
  <c r="N28" i="23"/>
  <c r="N31" i="23"/>
  <c r="N38" i="26"/>
  <c r="N60" i="26" s="1"/>
  <c r="O37" i="26"/>
  <c r="R28" i="23"/>
  <c r="R31" i="23"/>
  <c r="O28" i="23"/>
  <c r="O31" i="23"/>
  <c r="O8" i="28"/>
  <c r="O16" i="28" s="1"/>
  <c r="O27" i="34" l="1"/>
  <c r="P43" i="34" s="1"/>
  <c r="I49" i="34"/>
  <c r="C51" i="34" s="1"/>
  <c r="C33" i="34"/>
  <c r="C34" i="34" s="1"/>
  <c r="M28" i="23"/>
  <c r="M36" i="26"/>
  <c r="M8" i="28"/>
  <c r="M16" i="28" s="1"/>
  <c r="M31" i="23"/>
  <c r="C35" i="34"/>
  <c r="C28" i="25"/>
  <c r="C31" i="25" s="1"/>
  <c r="O38" i="26"/>
  <c r="O60" i="26" s="1"/>
  <c r="P37" i="26"/>
  <c r="C37" i="34" l="1"/>
  <c r="M35" i="26"/>
  <c r="N36" i="26"/>
  <c r="C39" i="34"/>
  <c r="C41" i="34" s="1"/>
  <c r="C43" i="34" s="1"/>
  <c r="C53" i="34"/>
  <c r="C54" i="34"/>
  <c r="Q36" i="26"/>
  <c r="Q38" i="26" s="1"/>
  <c r="Q60" i="26" s="1"/>
  <c r="P38" i="26"/>
  <c r="P60" i="26" s="1"/>
  <c r="O36" i="26" l="1"/>
  <c r="N35" i="26"/>
  <c r="P36" i="26" l="1"/>
  <c r="P35" i="26" s="1"/>
  <c r="O35" i="26"/>
  <c r="M33" i="28" l="1"/>
  <c r="H30" i="28"/>
  <c r="N27" i="26"/>
  <c r="N20" i="26"/>
  <c r="M27" i="26"/>
  <c r="M20" i="26"/>
  <c r="Q27" i="26"/>
  <c r="Q20" i="26"/>
  <c r="Q34" i="28"/>
  <c r="Q32" i="28"/>
  <c r="Q30" i="28"/>
  <c r="G30" i="28"/>
  <c r="I30" i="28"/>
  <c r="P33" i="27"/>
  <c r="P39" i="27"/>
  <c r="N62" i="26"/>
  <c r="N9" i="26"/>
  <c r="N15" i="26"/>
  <c r="N29" i="26"/>
  <c r="N50" i="27"/>
  <c r="N48" i="27"/>
  <c r="N13" i="26"/>
  <c r="N21" i="28"/>
  <c r="N24" i="28"/>
  <c r="F30" i="28"/>
  <c r="L33" i="28"/>
  <c r="R33" i="27"/>
  <c r="R30" i="27"/>
  <c r="R32" i="27"/>
  <c r="R34" i="27"/>
  <c r="R39" i="27"/>
  <c r="O33" i="27"/>
  <c r="O39" i="27"/>
  <c r="P24" i="28"/>
  <c r="P50" i="27"/>
  <c r="P48" i="27"/>
  <c r="P13" i="26"/>
  <c r="P21" i="28"/>
  <c r="P9" i="26"/>
  <c r="P15" i="26"/>
  <c r="P29" i="26"/>
  <c r="P62" i="26"/>
  <c r="N33" i="27"/>
  <c r="N39" i="27"/>
  <c r="K62" i="26"/>
  <c r="M62" i="26"/>
  <c r="M9" i="26"/>
  <c r="M15" i="26"/>
  <c r="M29" i="26"/>
  <c r="M50" i="27"/>
  <c r="M48" i="27"/>
  <c r="M13" i="26"/>
  <c r="M21" i="28"/>
  <c r="M24" i="28"/>
  <c r="K30" i="28"/>
  <c r="K32" i="28"/>
  <c r="K34" i="28"/>
  <c r="K20" i="26"/>
  <c r="K27" i="26"/>
  <c r="P27" i="26"/>
  <c r="P20" i="26"/>
  <c r="P33" i="28"/>
  <c r="Q24" i="28"/>
  <c r="Q50" i="27"/>
  <c r="Q48" i="27"/>
  <c r="Q13" i="26"/>
  <c r="Q21" i="28"/>
  <c r="Q9" i="26"/>
  <c r="Q15" i="26"/>
  <c r="Q29" i="26"/>
  <c r="Q62" i="26"/>
  <c r="Q33" i="27"/>
  <c r="P30" i="27"/>
  <c r="P32" i="27"/>
  <c r="P34" i="27"/>
  <c r="Q30" i="27"/>
  <c r="Q32" i="27"/>
  <c r="Q34" i="27"/>
  <c r="Q39" i="27"/>
  <c r="L30" i="28"/>
  <c r="L32" i="28"/>
  <c r="L34" i="28"/>
  <c r="L20" i="26"/>
  <c r="L27" i="26"/>
  <c r="O50" i="27"/>
  <c r="O48" i="27"/>
  <c r="O13" i="26"/>
  <c r="O21" i="28"/>
  <c r="O24" i="28"/>
  <c r="N30" i="27"/>
  <c r="N32" i="27"/>
  <c r="N34" i="27"/>
  <c r="O30" i="27"/>
  <c r="O32" i="27"/>
  <c r="O34" i="27"/>
  <c r="O9" i="26"/>
  <c r="O15" i="26"/>
  <c r="O29" i="26"/>
  <c r="O62" i="26"/>
  <c r="P30" i="28"/>
  <c r="P32" i="28"/>
  <c r="P34" i="28"/>
  <c r="Q33" i="28"/>
  <c r="M30" i="27"/>
  <c r="M32" i="27"/>
  <c r="M34" i="27"/>
  <c r="M39" i="27"/>
  <c r="M33" i="27"/>
  <c r="K15" i="26"/>
  <c r="K29" i="26"/>
  <c r="K50" i="27"/>
  <c r="K48" i="27"/>
  <c r="K13" i="26"/>
  <c r="K21" i="28"/>
  <c r="K24" i="28"/>
  <c r="L50" i="27"/>
  <c r="L48" i="27"/>
  <c r="L13" i="26"/>
  <c r="L21" i="28"/>
  <c r="L24" i="28"/>
  <c r="L39" i="27"/>
  <c r="L33" i="27"/>
  <c r="L34" i="27"/>
  <c r="L9" i="26"/>
  <c r="L15" i="26"/>
  <c r="L29" i="26"/>
  <c r="L62" i="26"/>
  <c r="M30" i="28"/>
  <c r="M32" i="28"/>
  <c r="M34" i="28"/>
  <c r="N33" i="28"/>
  <c r="N30" i="28"/>
  <c r="N32" i="28"/>
  <c r="N34" i="28"/>
  <c r="O33" i="28"/>
  <c r="O30" i="28"/>
  <c r="O32" i="28"/>
  <c r="O34" i="28"/>
  <c r="O20" i="26"/>
  <c r="O27" i="26"/>
  <c r="J30"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9" authorId="0" shapeId="0" xr:uid="{00000000-0006-0000-0000-000001000000}">
      <text>
        <r>
          <rPr>
            <b/>
            <sz val="9"/>
            <color indexed="81"/>
            <rFont val="Tahoma"/>
            <family val="2"/>
          </rPr>
          <t>Author:</t>
        </r>
        <r>
          <rPr>
            <sz val="9"/>
            <color indexed="81"/>
            <rFont val="Tahoma"/>
            <family val="2"/>
          </rPr>
          <t xml:space="preserve">
Other current liabilities includes Current maturities of finance lease obligation and interest accured but not due on borrowings. These are financial liabilities. Hence while calculating operational liabilities exclude these two liabilities.</t>
        </r>
      </text>
    </comment>
    <comment ref="D45" authorId="0" shapeId="0" xr:uid="{00000000-0006-0000-0000-000002000000}">
      <text>
        <r>
          <rPr>
            <b/>
            <sz val="9"/>
            <color indexed="81"/>
            <rFont val="Tahoma"/>
            <family val="2"/>
          </rPr>
          <t>Author:</t>
        </r>
        <r>
          <rPr>
            <sz val="9"/>
            <color indexed="81"/>
            <rFont val="Tahoma"/>
            <family val="2"/>
          </rPr>
          <t xml:space="preserve">
There is no contingent liabilities with the company. This information is given by company officials.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2" authorId="0" shapeId="0" xr:uid="{00000000-0006-0000-1700-000001000000}">
      <text>
        <r>
          <rPr>
            <b/>
            <sz val="9"/>
            <color indexed="81"/>
            <rFont val="Tahoma"/>
            <family val="2"/>
          </rPr>
          <t>hp:</t>
        </r>
        <r>
          <rPr>
            <sz val="9"/>
            <color indexed="81"/>
            <rFont val="Tahoma"/>
            <family val="2"/>
          </rPr>
          <t xml:space="preserve"> 47.26Cr 
NFCL is having Un utilized Accumulated ITC amount under GST law of Rs. 47.26 Crs as on 31-03-2022 as per the Audited Financial Statements and Books of Account. Since this amount can not be claimed from GST authorities except utilisation towards output tax, hence, this amount cannot be considered as current asset available to the Company.
For 4.64Cr check sheet</t>
        </r>
        <r>
          <rPr>
            <b/>
            <sz val="9"/>
            <color indexed="81"/>
            <rFont val="Tahoma"/>
            <family val="2"/>
          </rPr>
          <t xml:space="preserve"> Advance Details 31 March 2022
</t>
        </r>
        <r>
          <rPr>
            <sz val="9"/>
            <color indexed="81"/>
            <rFont val="Tahoma"/>
            <family val="2"/>
          </rPr>
          <t xml:space="preserve">
- These advances made towards railway freight for the movement of goods in the 1st week of April 22
- These advance made for IT related services, insurance and others and the same will be settled, hence can not be considred as realisable.
- Advances given for packing material, chemicals, neem oil, plant maintenace etc. Vendor supply the material in the first qtr of June 2022, hence can not be realisable.
- These advances will be settled up on submission of invoices by the dealers.
- As per the Accounting standards, the debit balances in payable account is shown under "Grossing Up" , which can not be realisable.</t>
        </r>
      </text>
    </comment>
    <comment ref="E17" authorId="0" shapeId="0" xr:uid="{00000000-0006-0000-1700-000002000000}">
      <text>
        <r>
          <rPr>
            <b/>
            <sz val="9"/>
            <color indexed="81"/>
            <rFont val="Tahoma"/>
            <family val="2"/>
          </rPr>
          <t>Author:</t>
        </r>
        <r>
          <rPr>
            <sz val="9"/>
            <color indexed="81"/>
            <rFont val="Tahoma"/>
            <family val="2"/>
          </rPr>
          <t xml:space="preserve">
7.59Cr 
This is related to insurance premium paid for various policies and GAIL bank guarantee charges recovered by IDBI Bank for a period of one year, grouped under prepaid expenses. No cash is realisable, hence can not be considered as current asset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53" authorId="0" shapeId="0" xr:uid="{846095EA-8A3A-4793-ADF8-B1B3C1AA1C0A}">
      <text>
        <r>
          <rPr>
            <b/>
            <sz val="9"/>
            <color indexed="81"/>
            <rFont val="Tahoma"/>
            <family val="2"/>
          </rPr>
          <t>Author:</t>
        </r>
        <r>
          <rPr>
            <sz val="9"/>
            <color indexed="81"/>
            <rFont val="Tahoma"/>
            <family val="2"/>
          </rPr>
          <t xml:space="preserve">
Capex information is provided by client/company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6" authorId="0" shapeId="0" xr:uid="{00000000-0006-0000-0D00-000001000000}">
      <text>
        <r>
          <rPr>
            <b/>
            <sz val="9"/>
            <color indexed="81"/>
            <rFont val="Tahoma"/>
            <family val="2"/>
          </rPr>
          <t>Author:</t>
        </r>
        <r>
          <rPr>
            <sz val="9"/>
            <color indexed="81"/>
            <rFont val="Tahoma"/>
            <family val="2"/>
          </rPr>
          <t xml:space="preserve">
This amount is set off with a loan with some company. That is why it is not considered in B/S.</t>
        </r>
      </text>
    </comment>
    <comment ref="C37" authorId="0" shapeId="0" xr:uid="{00000000-0006-0000-0D00-000002000000}">
      <text>
        <r>
          <rPr>
            <b/>
            <sz val="9"/>
            <color indexed="81"/>
            <rFont val="Tahoma"/>
            <family val="2"/>
          </rPr>
          <t>Author:</t>
        </r>
        <r>
          <rPr>
            <sz val="9"/>
            <color indexed="81"/>
            <rFont val="Tahoma"/>
            <family val="2"/>
          </rPr>
          <t xml:space="preserve">
This amount is set off with a loan with some company. That is why it is not considered in B/S.</t>
        </r>
      </text>
    </comment>
    <comment ref="F44" authorId="0" shapeId="0" xr:uid="{00000000-0006-0000-0D00-000003000000}">
      <text>
        <r>
          <rPr>
            <b/>
            <sz val="9"/>
            <color indexed="81"/>
            <rFont val="Tahoma"/>
            <family val="2"/>
          </rPr>
          <t>Author:</t>
        </r>
        <r>
          <rPr>
            <sz val="9"/>
            <color indexed="81"/>
            <rFont val="Tahoma"/>
            <family val="2"/>
          </rPr>
          <t xml:space="preserve">
4.7504
These depostis made towards rental deposit and with Govt authorities towards various facilities like electricity deposit, water deposit,NALA, EMD Drip Irrigation, telephone, power, as per court order in case of Tecnimont Spa etc which are un-realisable. The rental deposits will be settled against the rent payable of Rs 1.33 Crs as on 31 March 2022. The deposits with statutory authorities towards NALA TAX, outstanding of Rs 68 Lakhs, which is more than the deposit and can not be realized.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9" authorId="0" shapeId="0" xr:uid="{00000000-0006-0000-0E00-000001000000}">
      <text>
        <r>
          <rPr>
            <b/>
            <sz val="9"/>
            <color indexed="81"/>
            <rFont val="Tahoma"/>
            <family val="2"/>
          </rPr>
          <t>Author:</t>
        </r>
        <r>
          <rPr>
            <sz val="9"/>
            <color indexed="81"/>
            <rFont val="Tahoma"/>
            <family val="2"/>
          </rPr>
          <t xml:space="preserve">
Adjustment = 0.83(MI &amp; MIH)+3.18(CFGP)
a) material beyond age of &gt;720 days
b) Material received on Job work basis to process and deliver back the processed material to the customer. Therefore there is no title to the company on this material, hence not considered.(given in the standalone B/S Note no. 6)</t>
        </r>
      </text>
    </comment>
    <comment ref="D14" authorId="0" shapeId="0" xr:uid="{00000000-0006-0000-0E00-000002000000}">
      <text>
        <r>
          <rPr>
            <b/>
            <sz val="9"/>
            <color indexed="81"/>
            <rFont val="Tahoma"/>
            <family val="2"/>
          </rPr>
          <t>Author: 442.79</t>
        </r>
        <r>
          <rPr>
            <sz val="9"/>
            <color indexed="81"/>
            <rFont val="Tahoma"/>
            <family val="2"/>
          </rPr>
          <t xml:space="preserve">
The Gas pool and Gas supply outstanding to GAIL as on 31 March 2021 is Rs 662.88 Crs, correspondingly the Subsidy receivable is Rs 442.79 crores.
The subsidy on sale of finished goods of urea Rs 20.18 crores upon receipt from Department of Fertilizers will be distributed towards Gas pool fund dues and Gas supply dues basis Escrow Agreement and Office Memorandum. Hence the subsidy from sale of finished goods of urea is also not available to the Company, accordingly, cannot be considered as current asset available to the Company.
As per Gas Pooling Policy, in case of failure of payment by a Company within the due date, DOF, GOI is having a right to recover the same from the subsidy payable to the Company and directly pay to Pool Fund Account, with interest @15% p.a.
Govt OM to GAIL communicates that any dues towards Gas supply will be paid to GAIL directly out of subsidy payable to NFCL and will not be credited to the Escrow account.
</t>
        </r>
        <r>
          <rPr>
            <b/>
            <sz val="9"/>
            <color indexed="81"/>
            <rFont val="Tahoma"/>
            <family val="2"/>
          </rPr>
          <t xml:space="preserve">Subsidy receivable is not realisable by the Company as the priority charge over subsidy receivable has been given by the lenders to Government of India towards Gas pool dues and to GAIL towards gas supplies dues and hence cannot be considered as current assets.
Author:
6.26Cr + 0.56
0.56 
</t>
        </r>
        <r>
          <rPr>
            <sz val="9"/>
            <color indexed="81"/>
            <rFont val="Tahoma"/>
            <family val="2"/>
          </rPr>
          <t xml:space="preserve">NFCL has signed a contract with GOI Ministry of Agriculture and Farmers Welfare in 2016 to build eNAM, implement eNAM in selected mandis, train Mandi Officials, Farmers and Traders in the catchment area of the Mandis, operate and maintain eNAM. The contract was expired in July 21.
NFCL has closed the Agri informatics division in FY18-19 due to financial stress and outsourced the work to 3rd party vendors to avoid liabilities. As per the contract, if NFCL is not able to perform, then there is a Liability that would accrue to NFCL.
The vendor is executing the project and bearing all the expenses and interacting with the Govt for the project and the collection of dues. The vendor is a certified subcontractor as per the contract with SFAC. 
</t>
        </r>
        <r>
          <rPr>
            <b/>
            <sz val="9"/>
            <color indexed="81"/>
            <rFont val="Tahoma"/>
            <family val="2"/>
          </rPr>
          <t>The work is fully financed, executed and certified by the vendor for the amounts to be released by SFAC, therefore the Company has no access to the dues and has not considered it realisable.</t>
        </r>
        <r>
          <rPr>
            <sz val="9"/>
            <color indexed="81"/>
            <rFont val="Tahoma"/>
            <family val="2"/>
          </rPr>
          <t xml:space="preserve">
</t>
        </r>
      </text>
    </comment>
    <comment ref="D15" authorId="0" shapeId="0" xr:uid="{00000000-0006-0000-0E00-000003000000}">
      <text>
        <r>
          <rPr>
            <b/>
            <sz val="9"/>
            <color indexed="81"/>
            <rFont val="Tahoma"/>
            <family val="2"/>
          </rPr>
          <t>Author:</t>
        </r>
        <r>
          <rPr>
            <sz val="9"/>
            <color indexed="81"/>
            <rFont val="Tahoma"/>
            <family val="2"/>
          </rPr>
          <t xml:space="preserve">
a) Other receivables include Rs 36 Crs from Micro Irrigation division, out of which Rs 28 Crs are more than 2 years. Micro Irrigation business has got affected in the last three years. The Micro Irrigation business is closed for the around four years due to non-availability of working capital.  The funds from the state government are being released on basis of new supplies (which the company has stopped). In addition, the Company owes dues around Rs  372 Crs towards water charges to AP government, where the Company has majority of dues. We expect the Govt would adjust the dues against payables as and when payment to NFCL is approved.  
b) MKTG Division (Urea and other products): The receivable from this division is Rs 6 Crs, out of this majority of receivables (presently urea is being sold on cash basis / few days credit basis in case of non-season) is from other products which were overdue by more than 3 years. The other products business is closed due to non-availability of working capital.  The majority of these receivables which are more than 3 years are related to closed operations of past other traded fertilizer business, the chance of recoverability is highly doubtful, and these receivables were also impaired basis ageing.  </t>
        </r>
      </text>
    </comment>
    <comment ref="D22" authorId="0" shapeId="0" xr:uid="{00000000-0006-0000-0E00-000004000000}">
      <text>
        <r>
          <rPr>
            <b/>
            <sz val="9"/>
            <color indexed="81"/>
            <rFont val="Tahoma"/>
            <family val="2"/>
          </rPr>
          <t>Author:</t>
        </r>
        <r>
          <rPr>
            <sz val="9"/>
            <color indexed="81"/>
            <rFont val="Tahoma"/>
            <family val="2"/>
          </rPr>
          <t xml:space="preserve">
19.56Cr
Subsidy payable to GAIL upon Gail approval was earmarked by IDBI, basis Govt’s OM and GAIL’s approval, to utilise the subsidy amount originally due to GAIL for second unit start-up expenses and the subsidy if not used for the purposes for which it was earmarked, it will be paid to GAIL towards their overdues. Hence cannot be considered as current asset.
Priority charge is already with GAIL for the entire subsidy amount including the above Rs 19.56 Crs, which was subsidy paid to NFCL on priority basis for restart of 2nd plant. 
R</t>
        </r>
        <r>
          <rPr>
            <b/>
            <sz val="9"/>
            <color indexed="81"/>
            <rFont val="Tahoma"/>
            <family val="2"/>
          </rPr>
          <t xml:space="preserve">s 1.03 Cr </t>
        </r>
        <r>
          <rPr>
            <sz val="9"/>
            <color indexed="81"/>
            <rFont val="Tahoma"/>
            <family val="2"/>
          </rPr>
          <t>is with ICICI Bank, which is the Cut back sharing from IDBI Bank transferred in the month of Mar'22, hence can not be considered as current asset available for the Company.</t>
        </r>
      </text>
    </comment>
    <comment ref="D29" authorId="0" shapeId="0" xr:uid="{00000000-0006-0000-0E00-000005000000}">
      <text>
        <r>
          <rPr>
            <b/>
            <sz val="9"/>
            <color indexed="81"/>
            <rFont val="Tahoma"/>
            <family val="2"/>
          </rPr>
          <t>hp:</t>
        </r>
        <r>
          <rPr>
            <sz val="9"/>
            <color indexed="81"/>
            <rFont val="Tahoma"/>
            <family val="2"/>
          </rPr>
          <t xml:space="preserve"> 47.26Cr 
NFCL is having Un utilized Accumulated ITC amount under GST law of Rs. 47.26 Crs as on 31-03-2022 as per the Audited Financial Statements and Books of Account. Since this amount can not be claimed from GST authorities except utilisation towards output tax, hence, this amount cannot be considered as current asset available to the Company.
For 4.64Cr check sheet</t>
        </r>
        <r>
          <rPr>
            <b/>
            <sz val="9"/>
            <color indexed="81"/>
            <rFont val="Tahoma"/>
            <family val="2"/>
          </rPr>
          <t xml:space="preserve"> Advance Details 31 March 2022
</t>
        </r>
        <r>
          <rPr>
            <sz val="9"/>
            <color indexed="81"/>
            <rFont val="Tahoma"/>
            <family val="2"/>
          </rPr>
          <t xml:space="preserve">
- These advances made towards railway freight for the movement of goods in the 1st week of April 22
- These advance made for IT related services, insurance and others and the same will be settled, hence can not be considred as realisable.
- Advances given for packing material, chemicals, neem oil, plant maintenace etc. Vendor supply the material in the first qtr of June 2022, hence can not be realisable.
- These advances will be settled up on submission of invoices by the dealers.
- As per the Accounting standards, the debit balances in payable account is shown under "Grossing Up" , which can not be realisable.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0" authorId="0" shapeId="0" xr:uid="{00000000-0006-0000-1200-000001000000}">
      <text>
        <r>
          <rPr>
            <b/>
            <sz val="9"/>
            <color indexed="81"/>
            <rFont val="Tahoma"/>
            <family val="2"/>
          </rPr>
          <t>Author:</t>
        </r>
        <r>
          <rPr>
            <sz val="9"/>
            <color indexed="81"/>
            <rFont val="Tahoma"/>
            <family val="2"/>
          </rPr>
          <t xml:space="preserve">
4.7504
These depostis made towards rental deposit and with Govt authorities towards various facilities like electricity deposit, water deposit,NALA, EMD Drip Irrigation, telephone, power, as per court order in case of Tecnimont Spa etc which are un-realisable. The rental deposits will be settled against the rent payable of Rs 1.33 Crs as on 31 March 2022. The deposits with statutory authorities towards NALA TAX, outstanding of Rs 68 Lakhs, which is more than the deposit and can not be realized.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1300-000001000000}">
      <text>
        <r>
          <rPr>
            <b/>
            <sz val="9"/>
            <color indexed="81"/>
            <rFont val="Tahoma"/>
            <family val="2"/>
          </rPr>
          <t>Author:</t>
        </r>
        <r>
          <rPr>
            <sz val="9"/>
            <color indexed="81"/>
            <rFont val="Tahoma"/>
            <family val="2"/>
          </rPr>
          <t xml:space="preserve">
4.46
The materials have got damaged due to floods in October 2020, damaged packaging etc. This includes expired / obsolete / sale return (more than 2-3 years old) and leaky material which are not suitable for sale. Necessary provision is made in the books of account.</t>
        </r>
      </text>
    </comment>
    <comment ref="G6" authorId="0" shapeId="0" xr:uid="{00000000-0006-0000-1300-000002000000}">
      <text>
        <r>
          <rPr>
            <b/>
            <sz val="9"/>
            <color indexed="81"/>
            <rFont val="Tahoma"/>
            <family val="2"/>
          </rPr>
          <t>Author:</t>
        </r>
        <r>
          <rPr>
            <sz val="9"/>
            <color indexed="81"/>
            <rFont val="Tahoma"/>
            <family val="2"/>
          </rPr>
          <t xml:space="preserve">
4.46
The materials have got damaged due to floods in October 2020, damaged packaging etc. This includes expired / obsolete / sale return (more than 2-3 years old) and leaky material which are not suitable for sale. Necessary provision is made in the books of account.</t>
        </r>
      </text>
    </comment>
    <comment ref="G7" authorId="0" shapeId="0" xr:uid="{00000000-0006-0000-1300-000003000000}">
      <text>
        <r>
          <rPr>
            <b/>
            <sz val="9"/>
            <color indexed="81"/>
            <rFont val="Tahoma"/>
            <family val="2"/>
          </rPr>
          <t>Author:</t>
        </r>
        <r>
          <rPr>
            <sz val="9"/>
            <color indexed="81"/>
            <rFont val="Tahoma"/>
            <family val="2"/>
          </rPr>
          <t xml:space="preserve">
15.72(KKD)+1.24(MI&amp;MIH)
On sale of 15.72 Crores finished goods, the subsidy component will be earmarked towards Gas pool and Gas supply dues basis Escrow Agreement and OM from Govt of India. The GAIL dues towards gas pool and gas supply is higher than the subsidy receivable as of 31 March 2022. 
This also includes 1.24 Crores, which is damaged / obsolete / faded material, which are not salable condition and hence the value of material beyond 720 days has not considered.</t>
        </r>
      </text>
    </comment>
    <comment ref="H7" authorId="0" shapeId="0" xr:uid="{00000000-0006-0000-1300-000004000000}">
      <text>
        <r>
          <rPr>
            <b/>
            <sz val="9"/>
            <color indexed="81"/>
            <rFont val="Tahoma"/>
            <family val="2"/>
          </rPr>
          <t>Author:</t>
        </r>
        <r>
          <rPr>
            <sz val="9"/>
            <color indexed="81"/>
            <rFont val="Tahoma"/>
            <family val="2"/>
          </rPr>
          <t xml:space="preserve">
15.72(KKD)+1.24(MI&amp;MIH)
On sale of 15.72 Crores finished goods, the subsidy component will be earmarked towards Gas pool and Gas supply dues basis Escrow Agreement and OM from Govt of India. The GAIL dues towards gas pool and gas supply is higher than the subsidy receivable as of 31 March 2022. 
This also includes 1.24 Crores, which is damaged / obsolete / faded material, which are not salable condition and hence the value of material beyond 720 days has not considered.</t>
        </r>
      </text>
    </comment>
    <comment ref="G8" authorId="0" shapeId="0" xr:uid="{00000000-0006-0000-1300-000005000000}">
      <text>
        <r>
          <rPr>
            <b/>
            <sz val="9"/>
            <color indexed="81"/>
            <rFont val="Tahoma"/>
            <family val="2"/>
          </rPr>
          <t>Author:</t>
        </r>
        <r>
          <rPr>
            <sz val="9"/>
            <color indexed="81"/>
            <rFont val="Tahoma"/>
            <family val="2"/>
          </rPr>
          <t xml:space="preserve">
4.07(MI&amp;MIH)+4.00(MKTG &amp; OTHERS)
a) Rs. 4.07 Crs. material beyond age of &gt;720 days
b) The materials have got damaged due to floods in Oct,20, damaged packaging etc. 
This includes expired / obsolete / sale return (more than 2-3 years old) and leaky material which are not suitable for sale. Necessary provision is made in the books of account.</t>
        </r>
      </text>
    </comment>
    <comment ref="H8" authorId="0" shapeId="0" xr:uid="{00000000-0006-0000-1300-000006000000}">
      <text>
        <r>
          <rPr>
            <b/>
            <sz val="9"/>
            <color indexed="81"/>
            <rFont val="Tahoma"/>
            <family val="2"/>
          </rPr>
          <t>Author:</t>
        </r>
        <r>
          <rPr>
            <sz val="9"/>
            <color indexed="81"/>
            <rFont val="Tahoma"/>
            <family val="2"/>
          </rPr>
          <t xml:space="preserve">
4.07(MI&amp;MIH)+4.00(MKTG &amp; OTHERS)
a) Rs. 4.07 Crs. material beyond age of &gt;720 days
b) The materials have got damaged due to floods in Oct,20, damaged packaging etc. 
This includes expired / obsolete / sale return (more than 2-3 years old) and leaky material which are not suitable for sale. Necessary provision is made in the books of account.</t>
        </r>
      </text>
    </comment>
    <comment ref="G10" authorId="0" shapeId="0" xr:uid="{00000000-0006-0000-1300-000007000000}">
      <text>
        <r>
          <rPr>
            <b/>
            <sz val="9"/>
            <color indexed="81"/>
            <rFont val="Tahoma"/>
            <family val="2"/>
          </rPr>
          <t>Author:</t>
        </r>
        <r>
          <rPr>
            <sz val="9"/>
            <color indexed="81"/>
            <rFont val="Tahoma"/>
            <family val="2"/>
          </rPr>
          <t xml:space="preserve">
0.89(MKTG &amp; OTHERS)+0.01(MI)
a) The packing materials are obsolete as there are changes in MRP / FCO contents printed on the bags of various products.   Further an amount of Rs 0.89 Crs worth of packing material fall under aging of between 180 to 720 days. Hence, this packing materials are unusable.
b) Material beyond age of &gt;720 days</t>
        </r>
      </text>
    </comment>
    <comment ref="G11" authorId="0" shapeId="0" xr:uid="{00000000-0006-0000-1300-000008000000}">
      <text>
        <r>
          <rPr>
            <b/>
            <sz val="9"/>
            <color indexed="81"/>
            <rFont val="Tahoma"/>
            <family val="2"/>
          </rPr>
          <t>Author:</t>
        </r>
        <r>
          <rPr>
            <sz val="9"/>
            <color indexed="81"/>
            <rFont val="Tahoma"/>
            <family val="2"/>
          </rPr>
          <t xml:space="preserve">
4.35(KKD)
The plant opex and capex has not been taken up timely. Most of the spares &amp; consumbales are specific / customised for the plant.  Out of this, Rs 4.35 Crs worth of spares fall under the aging of more than 730 days. Hence realisable value has been considered minimum.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5" authorId="0" shapeId="0" xr:uid="{00000000-0006-0000-1400-000001000000}">
      <text>
        <r>
          <rPr>
            <b/>
            <sz val="9"/>
            <color indexed="81"/>
            <rFont val="Tahoma"/>
            <family val="2"/>
          </rPr>
          <t>Author: 442.79</t>
        </r>
        <r>
          <rPr>
            <sz val="9"/>
            <color indexed="81"/>
            <rFont val="Tahoma"/>
            <family val="2"/>
          </rPr>
          <t xml:space="preserve">
The Gas pool and Gas supply outstanding to GAIL as on 31 March 2021 is Rs 662.88 Crs, correspondingly the Subsidy receivable is Rs 442.79 crores.
The subsidy on sale of finished goods of urea Rs 20.18 crores upon receipt from Department of Fertilizers will be distributed towards Gas pool fund dues and Gas supply dues basis Escrow Agreement and Office Memorandum. Hence the subsidy from sale of finished goods of urea is also not available to the Company, accordingly, cannot be considered as current asset available to the Company.
As per Gas Pooling Policy, in case of failure of payment by a Company within the due date, DOF, GOI is having a right to recover the same from the subsidy payable to the Company and directly pay to Pool Fund Account, with interest @15% p.a.
Govt OM to GAIL communicates that any dues towards Gas supply will be paid to GAIL directly out of subsidy payable to NFCL and will not be credited to the Escrow account.
</t>
        </r>
        <r>
          <rPr>
            <b/>
            <sz val="9"/>
            <color indexed="81"/>
            <rFont val="Tahoma"/>
            <family val="2"/>
          </rPr>
          <t xml:space="preserve">Subsidy receivable is not realisable by the Company as the priority charge over subsidy receivable has been given by the lenders to Government of India towards Gas pool dues and to GAIL towards gas supplies dues and hence cannot be considered as current assets.
Author:
6.26Cr + 0.56
0.56 
</t>
        </r>
        <r>
          <rPr>
            <sz val="9"/>
            <color indexed="81"/>
            <rFont val="Tahoma"/>
            <family val="2"/>
          </rPr>
          <t xml:space="preserve">NFCL has signed a contract with GOI Ministry of Agriculture and Farmers Welfare in 2016 to build eNAM, implement eNAM in selected mandis, train Mandi Officials, Farmers and Traders in the catchment area of the Mandis, operate and maintain eNAM. The contract was expired in July 21.
NFCL has closed the Agri informatics division in FY18-19 due to financial stress and outsourced the work to 3rd party vendors to avoid liabilities. As per the contract, if NFCL is not able to perform, then there is a Liability that would accrue to NFCL.
The vendor is executing the project and bearing all the expenses and interacting with the Govt for the project and the collection of dues. The vendor is a certified subcontractor as per the contract with SFAC. 
</t>
        </r>
        <r>
          <rPr>
            <b/>
            <sz val="9"/>
            <color indexed="81"/>
            <rFont val="Tahoma"/>
            <family val="2"/>
          </rPr>
          <t>The work is fully financed, executed and certified by the vendor for the amounts to be released by SFAC, therefore the Company has no access to the dues and has not considered it realisable.</t>
        </r>
        <r>
          <rPr>
            <sz val="9"/>
            <color indexed="81"/>
            <rFont val="Tahoma"/>
            <family val="2"/>
          </rPr>
          <t xml:space="preserve">
</t>
        </r>
      </text>
    </comment>
    <comment ref="E6" authorId="0" shapeId="0" xr:uid="{00000000-0006-0000-1400-000002000000}">
      <text>
        <r>
          <rPr>
            <b/>
            <sz val="9"/>
            <color indexed="81"/>
            <rFont val="Tahoma"/>
            <family val="2"/>
          </rPr>
          <t>Author:</t>
        </r>
        <r>
          <rPr>
            <sz val="9"/>
            <color indexed="81"/>
            <rFont val="Tahoma"/>
            <family val="2"/>
          </rPr>
          <t xml:space="preserve">
a) Other receivables include Rs 36 Crs from Micro Irrigation division, out of which Rs 28 Crs are more than 2 years. Micro Irrigation business has got affected in the last three years. The Micro Irrigation business is closed for the around four years due to non-availability of working capital.  The funds from the state government are being released on basis of new supplies (which the company has stopped). In addition, the Company owes dues around Rs  372 Crs towards water charges to AP government, where the Company has majority of dues. We expect the Govt would adjust the dues against payables as and when payment to NFCL is approved.  
b) MKTG Division (Urea and other products): The receivable from this division is Rs 6 Crs, out of this majority of receivables (presently urea is being sold on cash basis / few days credit basis in case of non-season) is from other products which were overdue by more than 3 years. The other products business is closed due to non-availability of working capital.  The majority of these receivables which are more than 3 years are related to closed operations of past other traded fertilizer business, the chance of recoverability is highly doubtful, and these receivables were also impaired basis ageing.</t>
        </r>
      </text>
    </comment>
    <comment ref="F6" authorId="0" shapeId="0" xr:uid="{00000000-0006-0000-1400-000003000000}">
      <text>
        <r>
          <rPr>
            <b/>
            <sz val="9"/>
            <color indexed="81"/>
            <rFont val="Tahoma"/>
            <family val="2"/>
          </rPr>
          <t>Author:</t>
        </r>
        <r>
          <rPr>
            <sz val="9"/>
            <color indexed="81"/>
            <rFont val="Tahoma"/>
            <family val="2"/>
          </rPr>
          <t xml:space="preserve">
a) Other receivables include Rs 36 Crs from Micro Irrigation division, out of which Rs 28 Crs are more than 2 years. Micro Irrigation business has got affected in the last three years. The Micro Irrigation business is closed for the around four years due to non-availability of working capital.  The funds from the state government are being released on basis of new supplies (which the company has stopped). In addition, the Company owes dues around Rs  372 Crs towards water charges to AP government, where the Company has majority of dues. We expect the Govt would adjust the dues against payables as and when payment to NFCL is approved.  
b) MKTG Division (Urea and other products): The receivable from this division is Rs 6 Crs, out of this majority of receivables (presently urea is being sold on cash basis / few days credit basis in case of non-season) is from other products which were overdue by more than 3 years. The other products business is closed due to non-availability of working capital.  The majority of these receivables which are more than 3 years are related to closed operations of past other traded fertilizer business, the chance of recoverability is highly doubtful, and these receivables were also impaired basis ageing.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8" authorId="0" shapeId="0" xr:uid="{00000000-0006-0000-1500-000001000000}">
      <text>
        <r>
          <rPr>
            <b/>
            <sz val="9"/>
            <color indexed="81"/>
            <rFont val="Tahoma"/>
            <family val="2"/>
          </rPr>
          <t>Author:</t>
        </r>
        <r>
          <rPr>
            <sz val="9"/>
            <color indexed="81"/>
            <rFont val="Tahoma"/>
            <family val="2"/>
          </rPr>
          <t xml:space="preserve">
18.75 (information by IDBI)
Subsidy payable to GAIL upon Gail approval was earmarked by IDBI, basis Govt’s OM and GAIL’s approval, to utilise the subsidy amount originally due to GAIL for second unit start-up expenses and the subsidy if not used for the purposes for which it was earmarked, it will be paid to GAIL towards their overdues. Hence cannot be considered as current asset.
Priority charge is already with GAIL for the entire subsidy amount including the above Rs 19.56 Crs, which was subsidy paid to NFCL on priority basis for restart of 2nd plant. 
R</t>
        </r>
        <r>
          <rPr>
            <b/>
            <sz val="9"/>
            <color indexed="81"/>
            <rFont val="Tahoma"/>
            <family val="2"/>
          </rPr>
          <t xml:space="preserve">s 1.03 Cr </t>
        </r>
        <r>
          <rPr>
            <sz val="9"/>
            <color indexed="81"/>
            <rFont val="Tahoma"/>
            <family val="2"/>
          </rPr>
          <t>is with ICICI Bank, which is the Cut back sharing from IDBI Bank transferred in the month of Mar'22, hence can not be considered as current asset available for the Company.</t>
        </r>
      </text>
    </comment>
    <comment ref="D14" authorId="0" shapeId="0" xr:uid="{00000000-0006-0000-1500-000002000000}">
      <text>
        <r>
          <rPr>
            <b/>
            <sz val="9"/>
            <color indexed="81"/>
            <rFont val="Tahoma"/>
            <family val="2"/>
          </rPr>
          <t>Author:</t>
        </r>
        <r>
          <rPr>
            <sz val="9"/>
            <color indexed="81"/>
            <rFont val="Tahoma"/>
            <family val="2"/>
          </rPr>
          <t xml:space="preserve">
(14+6)Cr 
An award was given against the company by a London Court of international arbitration for breach of contract in favour of a foreign supplier, M/s Key Trade.  Basis the award, Key trade filed an execution petition in the Hon’ble High Court of Telangana along with a petition to attach certain properties. Accordingly, the Hon’ble High Court of Telangana attached the properties. Aggrieved by this order, the Company filed an SLP in the Supreme Court of India and the same was dismissed.
Meanwhile IDBI bank filed a claim petition in the High Court of Telangana stating that the properties attached by high court were already mortgaged to the banks and cannot be attached.
While the matter is pending during arguments, the Honble High Court of Telangana directed the Company to earmark an amount of Rs 20 Crs. </t>
        </r>
        <r>
          <rPr>
            <b/>
            <sz val="9"/>
            <color indexed="81"/>
            <rFont val="Tahoma"/>
            <family val="2"/>
          </rPr>
          <t>Accordingly, the banks IDBI and SBI (Rs 14 crores and Rs 6 crores respectively) to the extent of Rs 20 Crs</t>
        </r>
        <r>
          <rPr>
            <sz val="9"/>
            <color indexed="81"/>
            <rFont val="Tahoma"/>
            <family val="2"/>
          </rPr>
          <t xml:space="preserve"> Leander the amounts in favour of Keytrade and the same was informed to High Court of Telangana. 
</t>
        </r>
        <r>
          <rPr>
            <b/>
            <sz val="9"/>
            <color indexed="81"/>
            <rFont val="Tahoma"/>
            <family val="2"/>
          </rPr>
          <t>The Supreme Court has already adjudicated the award of the London Arbitration Court, the lenders or the Company does not have any legal basis to assume right over the leaned amount of Rs 20 Crs. Hence it cannot be considered as current asset.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8" authorId="0" shapeId="0" xr:uid="{00000000-0006-0000-1600-000001000000}">
      <text>
        <r>
          <rPr>
            <b/>
            <sz val="9"/>
            <color indexed="81"/>
            <rFont val="Tahoma"/>
            <family val="2"/>
          </rPr>
          <t>Author:</t>
        </r>
        <r>
          <rPr>
            <sz val="9"/>
            <color indexed="81"/>
            <rFont val="Tahoma"/>
            <family val="2"/>
          </rPr>
          <t xml:space="preserve">
6.26Cr + 0.56
6.26 
NFCL has signed a contract with GOI Ministry of Agriculture and Farmers Welfare in 2016 to build eNAM, implement eNAM in selected mandis, train Mandi Officials, Farmers and Traders in the catchment area of the Mandis, operate and maintain eNAM. The contract was expired in July 21.
NFCL has closed the Agri informatics division in FY18-19 due to financial stress and outsourced the work to 3rd party vendors to avoid liabilities. As per the contract, if NFCL is not able to perform, then there is a Liability that would accrue to NFCL for an amount of about Rs 120 Crs.
The vendor is executing the project and bearing all the expenses and interacting with the Govt for the project and the collection of dues. The vendor is a certified subcontractor as per the contract with SFAC. 
</t>
        </r>
        <r>
          <rPr>
            <b/>
            <sz val="9"/>
            <color indexed="81"/>
            <rFont val="Tahoma"/>
            <family val="2"/>
          </rPr>
          <t>The work is fully financed, executed and certified by the vendor for the amounts to be released by SFAC, therefore the Company has no access to the dues and has not considered it realisable.</t>
        </r>
        <r>
          <rPr>
            <sz val="9"/>
            <color indexed="81"/>
            <rFont val="Tahoma"/>
            <family val="2"/>
          </rPr>
          <t xml:space="preserve">
</t>
        </r>
      </text>
    </comment>
    <comment ref="E10" authorId="0" shapeId="0" xr:uid="{00000000-0006-0000-1600-000002000000}">
      <text>
        <r>
          <rPr>
            <b/>
            <sz val="9"/>
            <color indexed="81"/>
            <rFont val="Tahoma"/>
            <family val="2"/>
          </rPr>
          <t>Author:</t>
        </r>
        <r>
          <rPr>
            <sz val="9"/>
            <color indexed="81"/>
            <rFont val="Tahoma"/>
            <family val="2"/>
          </rPr>
          <t xml:space="preserve">
52.67CR
These depostis made towards rental deposit and with Govt authorities towards various facilities like electricity deposit, water deposit,NALA, EMD Drip Irrigation, telephone, power, as per court order in case of Tecnimont Spa etc which are un-realisable. The rental deposits will be settled against the rent payable of Rs 1.33 Crs as on 31 March 2022. The deposits with statutory authorities towards NALA TAX, outstanding of Rs 68 Lakhs, which is more than the deposit and can not be realized.</t>
        </r>
      </text>
    </comment>
  </commentList>
</comments>
</file>

<file path=xl/sharedStrings.xml><?xml version="1.0" encoding="utf-8"?>
<sst xmlns="http://schemas.openxmlformats.org/spreadsheetml/2006/main" count="1997" uniqueCount="1204">
  <si>
    <t>NET ASSET VALUE (NAV)</t>
  </si>
  <si>
    <t>Fair Market Value</t>
  </si>
  <si>
    <t>Assets:</t>
  </si>
  <si>
    <t>Non-Current Assets</t>
  </si>
  <si>
    <t>Particular (Values in INR Crores)</t>
  </si>
  <si>
    <t>Total Current Assets</t>
  </si>
  <si>
    <t>Operational Liabilities</t>
  </si>
  <si>
    <t>Current Assets</t>
  </si>
  <si>
    <t>Total Non-Current Assets</t>
  </si>
  <si>
    <t>Shareholder's Equity and Liabilities:</t>
  </si>
  <si>
    <t>Total Shareholder's Fund</t>
  </si>
  <si>
    <t>TANGIBLE ASSETS</t>
  </si>
  <si>
    <t>TOTAL : (A)</t>
  </si>
  <si>
    <t>TOTAL : (B)</t>
  </si>
  <si>
    <t>TOTAL : (C)</t>
  </si>
  <si>
    <t>TOTAL : (A+B+C)</t>
  </si>
  <si>
    <t>Factor</t>
  </si>
  <si>
    <t>TOTAL</t>
  </si>
  <si>
    <t>Value as on 31st March 2022</t>
  </si>
  <si>
    <t>Total</t>
  </si>
  <si>
    <t>(B) TRADE RECEIVABLES</t>
  </si>
  <si>
    <t>Shareholder's Equity and Liabilities</t>
  </si>
  <si>
    <t>1. SHARE HOLDERS' FUNDS</t>
  </si>
  <si>
    <t>2. NON CURRENT LIABITIES</t>
  </si>
  <si>
    <t>Contingent Liabilities</t>
  </si>
  <si>
    <t>Total Adjustable Liabilities</t>
  </si>
  <si>
    <t>Adjusted NAV</t>
  </si>
  <si>
    <t>Buildings</t>
  </si>
  <si>
    <t>Plant &amp; Equipment</t>
  </si>
  <si>
    <t xml:space="preserve">Furniture &amp;  Fixtures </t>
  </si>
  <si>
    <t>Office Equipment</t>
  </si>
  <si>
    <t>Vehicles</t>
  </si>
  <si>
    <t>Roads, Drains &amp; Culverts</t>
  </si>
  <si>
    <t>Railway Siding</t>
  </si>
  <si>
    <t>Land</t>
  </si>
  <si>
    <t>Value as per Provisional Balance sheet as on 31.03.2022</t>
  </si>
  <si>
    <t>(a) Property, Plant and Equipment</t>
  </si>
  <si>
    <t>(i)  Trade receivables</t>
  </si>
  <si>
    <t>(ii) Cash and cash equivalents</t>
  </si>
  <si>
    <r>
      <rPr>
        <sz val="11"/>
        <rFont val="Arial Narrow"/>
        <family val="2"/>
      </rPr>
      <t>(b) Financial Assets</t>
    </r>
  </si>
  <si>
    <r>
      <rPr>
        <b/>
        <sz val="11"/>
        <rFont val="Arial Narrow"/>
        <family val="2"/>
      </rPr>
      <t>Total Assets</t>
    </r>
  </si>
  <si>
    <r>
      <rPr>
        <b/>
        <sz val="11"/>
        <rFont val="Arial Narrow"/>
        <family val="2"/>
      </rPr>
      <t>Equity</t>
    </r>
  </si>
  <si>
    <r>
      <rPr>
        <sz val="11"/>
        <rFont val="Arial Narrow"/>
        <family val="2"/>
      </rPr>
      <t>(a) Equity Share capital</t>
    </r>
  </si>
  <si>
    <r>
      <rPr>
        <sz val="12"/>
        <rFont val="Arial Narrow"/>
        <family val="2"/>
      </rPr>
      <t xml:space="preserve">(b) </t>
    </r>
    <r>
      <rPr>
        <sz val="11"/>
        <rFont val="Arial Narrow"/>
        <family val="2"/>
      </rPr>
      <t>Other Equity</t>
    </r>
  </si>
  <si>
    <t>Liabilities</t>
  </si>
  <si>
    <r>
      <rPr>
        <sz val="11"/>
        <rFont val="Arial Narrow"/>
        <family val="2"/>
      </rPr>
      <t>(a) Financial Liabilities</t>
    </r>
  </si>
  <si>
    <r>
      <rPr>
        <sz val="11"/>
        <rFont val="Arial Narrow"/>
        <family val="2"/>
      </rPr>
      <t>(i) Borrowings</t>
    </r>
  </si>
  <si>
    <r>
      <rPr>
        <sz val="11"/>
        <rFont val="Arial Narrow"/>
        <family val="2"/>
      </rPr>
      <t>(c) Deferred tax liabilities (Net)</t>
    </r>
  </si>
  <si>
    <r>
      <rPr>
        <sz val="12"/>
        <rFont val="Arial Narrow"/>
        <family val="2"/>
      </rPr>
      <t xml:space="preserve">(d) </t>
    </r>
    <r>
      <rPr>
        <sz val="11"/>
        <rFont val="Arial Narrow"/>
        <family val="2"/>
      </rPr>
      <t>Other non-current liabilities</t>
    </r>
  </si>
  <si>
    <t>Non-current liabilities</t>
  </si>
  <si>
    <t>Total Non-current liabilities</t>
  </si>
  <si>
    <t>(c)   Provisions</t>
  </si>
  <si>
    <t>Current liabilities</t>
  </si>
  <si>
    <t>Total Current liabilities</t>
  </si>
  <si>
    <t>Total Shareholder's Equity and Liabilities</t>
  </si>
  <si>
    <t>NON-CURRENT ASSETS</t>
  </si>
  <si>
    <t>CWIP - Plant and Equipment</t>
  </si>
  <si>
    <t>Other Financial Assets</t>
  </si>
  <si>
    <t>Margin money deposit</t>
  </si>
  <si>
    <t>Interest Accrued on Deposits and advances</t>
  </si>
  <si>
    <t>Unbilled Revenue</t>
  </si>
  <si>
    <t xml:space="preserve">Claims receivable </t>
  </si>
  <si>
    <t>Security Deposit</t>
  </si>
  <si>
    <t>Other Receivables</t>
  </si>
  <si>
    <t>Work in progress</t>
  </si>
  <si>
    <t>Traded goods</t>
  </si>
  <si>
    <t>Stock In Transit - Traded goods</t>
  </si>
  <si>
    <t>Packing materials</t>
  </si>
  <si>
    <t>Stores and Spares</t>
  </si>
  <si>
    <t>Loose tools</t>
  </si>
  <si>
    <t xml:space="preserve">Unsecured  -Considered good   </t>
  </si>
  <si>
    <t>Which have significant increase in Credit Risk</t>
  </si>
  <si>
    <t>Credit Impaired</t>
  </si>
  <si>
    <t xml:space="preserve">Other debts considered good </t>
  </si>
  <si>
    <t>Less: Provision for doubtful debts</t>
  </si>
  <si>
    <t>Balances with  Banks</t>
  </si>
  <si>
    <t>Unclaimed Dividend - earmarked accounts</t>
  </si>
  <si>
    <t xml:space="preserve">Current Accounts </t>
  </si>
  <si>
    <t>Cheques, drafts on hand</t>
  </si>
  <si>
    <t>Cash on hand</t>
  </si>
  <si>
    <t>Margin Money Deposits</t>
  </si>
  <si>
    <t>Amount in earmarked account for payment to a creditor as per High Court Orders</t>
  </si>
  <si>
    <t>TOTAL : (D)</t>
  </si>
  <si>
    <t xml:space="preserve">(A) INVENTORIES </t>
  </si>
  <si>
    <t>(C) CASH AND CASH EQUIVALENTS</t>
  </si>
  <si>
    <t>(B) OTHER EQUITY:</t>
  </si>
  <si>
    <t>3. CURRENT LIABITIES</t>
  </si>
  <si>
    <t>LIABILITIES</t>
  </si>
  <si>
    <t>(A) BORROWING:</t>
  </si>
  <si>
    <t>(B) TRADE PAYABLES:</t>
  </si>
  <si>
    <t>TOTAL LIABILITIES</t>
  </si>
  <si>
    <t>TOTAL SHAREHOLDER'S EQUITY AND LIABILITIES</t>
  </si>
  <si>
    <t xml:space="preserve">TOTAL SHAREHOLDER'S EQUITY </t>
  </si>
  <si>
    <t>TOTAL NON CURRENT LIABILITIES</t>
  </si>
  <si>
    <t>TOTAL CURRENT LIABILITIES</t>
  </si>
  <si>
    <t>Advance Income Tax</t>
  </si>
  <si>
    <t>i) Capital Advances</t>
  </si>
  <si>
    <t>Secured (considered good)</t>
  </si>
  <si>
    <t>Unsecured (considered good)</t>
  </si>
  <si>
    <t>Unsecured - considered doubtful</t>
  </si>
  <si>
    <t>Less: Provision for Doubtful advances</t>
  </si>
  <si>
    <t>- Unsecured, considered good</t>
  </si>
  <si>
    <t>v)  Gratuity fund - excess of plan assets over liability</t>
  </si>
  <si>
    <t>CATEGORY</t>
  </si>
  <si>
    <t>CATEGORY OF SHAREHOLDER</t>
  </si>
  <si>
    <t>NOS. OF SHAREHOLDERS</t>
  </si>
  <si>
    <t>NO. OF FULLY PAID UP EQUITY SHARES HELD</t>
  </si>
  <si>
    <t>NO. OF PARTLY PAID UP EQUITY SHARES HELD</t>
  </si>
  <si>
    <t>NO. OF SHARES UNDERLYING DEPOSITORY RECIEPTS</t>
  </si>
  <si>
    <t>TOTAL NOS. SHARES HELD</t>
  </si>
  <si>
    <t>NUMBER OF VOTING RIGHTS HELD IN EACH CLASS OF SECURITIES</t>
  </si>
  <si>
    <t>NO. OF SHARES UNDERLYING OUTSTANDING CONVERTIBLE SECURITIES (INCLUDING WARRANTS)</t>
  </si>
  <si>
    <t>SHAREHOLDING , AS A % ASSUMING FULL CONVERSION OF CONVERTIBLE SECURITIES ( AS A PERCENTAGE OF DILUTED SHARE CAPITAL) AS A % OF (A+B+C2)</t>
  </si>
  <si>
    <t>NUMBER OF LOCKED IN SHARES</t>
  </si>
  <si>
    <t>NUMBER OF SHARES PLEDGED OR OTHERWISE ENCUMBERED</t>
  </si>
  <si>
    <t>NUMBER OF EQUITY SHARES HELD IN DEMATERIALIZED FORM</t>
  </si>
  <si>
    <t>(I)</t>
  </si>
  <si>
    <t>(II)</t>
  </si>
  <si>
    <t>(III)</t>
  </si>
  <si>
    <t>(IV)</t>
  </si>
  <si>
    <t>(V)</t>
  </si>
  <si>
    <t>(VI)</t>
  </si>
  <si>
    <t>(VII) = (IV)+(V)+ (VI)</t>
  </si>
  <si>
    <t>(VIII)</t>
  </si>
  <si>
    <t>(IX)</t>
  </si>
  <si>
    <t>(X)</t>
  </si>
  <si>
    <t>(XI) = (VII)+(X)</t>
  </si>
  <si>
    <t>(XII)</t>
  </si>
  <si>
    <t>(XIII)</t>
  </si>
  <si>
    <t>(XIV)</t>
  </si>
  <si>
    <t>NO OF VOTING RIGHTS</t>
  </si>
  <si>
    <t>TOTAL AS A % OF (A+B+C)</t>
  </si>
  <si>
    <t>NO</t>
  </si>
  <si>
    <t>AS A % OF TOTAL SHARES HELD</t>
  </si>
  <si>
    <t>CLASS X</t>
  </si>
  <si>
    <t>CLASS Y</t>
  </si>
  <si>
    <t>(A)</t>
  </si>
  <si>
    <t>(B)</t>
  </si>
  <si>
    <t>Promoter &amp; Promoter Group</t>
  </si>
  <si>
    <t>34,17,00,129</t>
  </si>
  <si>
    <t>-</t>
  </si>
  <si>
    <t>29,60,72,140.00</t>
  </si>
  <si>
    <t>Public</t>
  </si>
  <si>
    <t>3,01,000</t>
  </si>
  <si>
    <t>25,63,64,874</t>
  </si>
  <si>
    <t>23,56,66,699</t>
  </si>
  <si>
    <t>Non Promoter- Non Public</t>
  </si>
  <si>
    <t>Shares underlying DRs</t>
  </si>
  <si>
    <t>Shares held by Employee Trusts</t>
  </si>
  <si>
    <t>3,01,005</t>
  </si>
  <si>
    <t>59,80,65,003</t>
  </si>
  <si>
    <t>57,73,66,828</t>
  </si>
  <si>
    <t>SHAREHOLDING AS A % OF TOTAL NO. OF SHARES</t>
  </si>
  <si>
    <t>(C)</t>
  </si>
  <si>
    <t>(C1)</t>
  </si>
  <si>
    <t>(C2)</t>
  </si>
  <si>
    <t>Plant Locations</t>
  </si>
  <si>
    <t>Type of plant</t>
  </si>
  <si>
    <t>FMV</t>
  </si>
  <si>
    <t>KAKINADA</t>
  </si>
  <si>
    <t>Main Plant</t>
  </si>
  <si>
    <t>NACHARAM</t>
  </si>
  <si>
    <t>Micro-Irrigation Unit</t>
  </si>
  <si>
    <t>SADASHIVPET</t>
  </si>
  <si>
    <t>HALOL</t>
  </si>
  <si>
    <t xml:space="preserve"> VALUATION SUMMARY | PLANT &amp; MACHINERY &amp; OTHER FIXED ASSETS
NAGARJUNA FERTILIZERS AND CHEMICALS LIMITED</t>
  </si>
  <si>
    <t>Sr.No</t>
  </si>
  <si>
    <t>Particulars</t>
  </si>
  <si>
    <t>Plant &amp; Machinery</t>
  </si>
  <si>
    <t>Furniture &amp; Fittings</t>
  </si>
  <si>
    <t>Information Technology Equipments</t>
  </si>
  <si>
    <t>Other Equipments</t>
  </si>
  <si>
    <t>Railway Sidings</t>
  </si>
  <si>
    <t>Total Acquisition &amp; Production Cost 
(INR)</t>
  </si>
  <si>
    <t>Total Gross Current Reproduction Cost
(INR)</t>
  </si>
  <si>
    <t>Total Fair Market Value 
(INR)</t>
  </si>
  <si>
    <t>Sl. No.</t>
  </si>
  <si>
    <t>Borrowings</t>
  </si>
  <si>
    <t>Non-Current</t>
  </si>
  <si>
    <t>Current</t>
  </si>
  <si>
    <t>o/s bal. as at  31.03.2022</t>
  </si>
  <si>
    <t>A</t>
  </si>
  <si>
    <t>Secured</t>
  </si>
  <si>
    <t>Working Capital Term Loans - in Rupees  from Banks</t>
  </si>
  <si>
    <t>I D B I Bank Limited</t>
  </si>
  <si>
    <t>State Bank of India</t>
  </si>
  <si>
    <t>ICICI Bank Limited</t>
  </si>
  <si>
    <t>UCO Bank</t>
  </si>
  <si>
    <t>Total Principal</t>
  </si>
  <si>
    <t>Interest accrued  on the above loans</t>
  </si>
  <si>
    <t>Total - (A)</t>
  </si>
  <si>
    <t>Corporate Loans - In Rupees from Bank</t>
  </si>
  <si>
    <t>State Bank of India -Corporate Rupee Loan</t>
  </si>
  <si>
    <t>Total - (B)</t>
  </si>
  <si>
    <t>Term Loans - In Rupees from others</t>
  </si>
  <si>
    <t>Department of Bio Technology, GOI</t>
  </si>
  <si>
    <t>Total - (C)</t>
  </si>
  <si>
    <t>Loans repayable on demand  - from Banks</t>
  </si>
  <si>
    <t xml:space="preserve">Cash Credit </t>
  </si>
  <si>
    <t>Short Term Loan</t>
  </si>
  <si>
    <t>Total - (D)</t>
  </si>
  <si>
    <t>B</t>
  </si>
  <si>
    <t>Unsecured</t>
  </si>
  <si>
    <t>Sales tax Deferral  from Government of AP - Total - (E)</t>
  </si>
  <si>
    <t>Grand Total (A to E)</t>
  </si>
  <si>
    <t>Adjusted Values</t>
  </si>
  <si>
    <t>Total Book Value 
(INR)</t>
  </si>
  <si>
    <t>Particular</t>
  </si>
  <si>
    <t>Annual Urea Production (MT)</t>
  </si>
  <si>
    <t>Capacity Utilization%</t>
  </si>
  <si>
    <t>Produstion, Million MT</t>
  </si>
  <si>
    <t>Energy Consumption Gal/MT of Urea</t>
  </si>
  <si>
    <t>Water Consumption M^3/MT of Urea</t>
  </si>
  <si>
    <t>Volumes in Thousand MT</t>
  </si>
  <si>
    <t>Total (i)</t>
  </si>
  <si>
    <t>Contract workmen Mgt System &amp; CC Cameras</t>
  </si>
  <si>
    <t>Upgradation of Analyzers</t>
  </si>
  <si>
    <t>Development of Mobile/Web Application for Field Team from Visionnet Systems Pvt Limited - SIGNING OFF S/W</t>
  </si>
  <si>
    <t>PARTICULARS (Values in INR Crores)</t>
  </si>
  <si>
    <t>Railway Siding Equipments</t>
  </si>
  <si>
    <t>Realisable / Liquidation Value (Going concern)</t>
  </si>
  <si>
    <t>Realisable / Liquidation Value (Piecemeal)</t>
  </si>
  <si>
    <t>S.No.</t>
  </si>
  <si>
    <t>Type of Inventory</t>
  </si>
  <si>
    <t>Nature/ Type/ Name of material</t>
  </si>
  <si>
    <t>Total Qty</t>
  </si>
  <si>
    <t>Rate</t>
  </si>
  <si>
    <t>Amount as on 31st August 2021</t>
  </si>
  <si>
    <t>Fair Value Assessment</t>
  </si>
  <si>
    <t>Remarks</t>
  </si>
  <si>
    <t>DCORATIVE PLY FIN</t>
  </si>
  <si>
    <t>DECO. DOOR</t>
  </si>
  <si>
    <t>Raw Material</t>
  </si>
  <si>
    <t>ROW VENEER</t>
  </si>
  <si>
    <t>Timber</t>
  </si>
  <si>
    <t>REMARKS &amp; NOTES:-</t>
  </si>
  <si>
    <t>Amount outstanding as per latest Balance Sheet</t>
  </si>
  <si>
    <t>Age</t>
  </si>
  <si>
    <t>&gt;180 days</t>
  </si>
  <si>
    <t>Items</t>
  </si>
  <si>
    <t>Balance as per latest BS</t>
  </si>
  <si>
    <t>Figures in INR crores</t>
  </si>
  <si>
    <t>1. Assessment is done based on the discussions done with the company/ Banker and the details which they could provide to us on our queries.
2. This is just a general assessment on the basis of general Industry practice, based on the details which the company/ Banker provided to us as per our queries &amp; discussions with the company officials/ Banker.
3. No audit of any kind is performed by us for the books of account or ledger statements and all this data/ information/ input/ details provided to us by the company/ Banker are taken as is it on good faith that these are factually correct information.
4. There is no fixed criteria, formula or norm for the Valuation of Current assets It is purely based on the individual assessment and may differ from value to value based on the practicality he/she analyze in recoveries of outstanding dues. Ultimate recovery depends on efforts, extensive follow-ups and close scrutiny of individual case made by the company/ Banker. So our values should not be regarded as any judgment in regard to the recoverability of Current assets</t>
  </si>
  <si>
    <t>Nature/ Purpose of Asset</t>
  </si>
  <si>
    <t>Outstanding Amount as per books</t>
  </si>
  <si>
    <r>
      <rPr>
        <sz val="9"/>
        <rFont val="Arial MT"/>
        <family val="2"/>
      </rPr>
      <t>Delta Corporation</t>
    </r>
  </si>
  <si>
    <r>
      <rPr>
        <sz val="9"/>
        <rFont val="Arial MT"/>
        <family val="2"/>
      </rPr>
      <t>Pearl Business Consultant</t>
    </r>
  </si>
  <si>
    <r>
      <rPr>
        <sz val="9"/>
        <rFont val="Arial MT"/>
        <family val="2"/>
      </rPr>
      <t>Simran Construction Pvt Ltd</t>
    </r>
  </si>
  <si>
    <r>
      <rPr>
        <sz val="9"/>
        <rFont val="Arial MT"/>
        <family val="2"/>
      </rPr>
      <t>Ashok Kuamr Kar</t>
    </r>
  </si>
  <si>
    <r>
      <rPr>
        <sz val="9"/>
        <rFont val="Arial MT"/>
        <family val="2"/>
      </rPr>
      <t>Security Deposit</t>
    </r>
  </si>
  <si>
    <t>Advance Against VAT Assessment( FY11-12)</t>
  </si>
  <si>
    <r>
      <rPr>
        <sz val="9"/>
        <rFont val="Arial MT"/>
        <family val="2"/>
      </rPr>
      <t>CST A.Y-14-15</t>
    </r>
  </si>
  <si>
    <t>1. Assessment is done based on the discussions done with the banker/ company and the details which they could provide to us on our queries.
2. All the notes on the current status of amount recovery are given by company/ banker. Notes and data provided by company/ banker has been relied upon in good faith on the basis of which independent potential value assessment of the Current assets has been carried out.
3. For the basis of arriving at the Value of each Current assets, please refer to the specific annexure.
4. This is just a general assessment on the basis of general Industry practice based on the details which the company/ banker could provide to us as per our queries &amp; discussions held during the course of the assessment and further opinion made by us based on the available information and facts on record.
5. Valuation of Current assets is more of a kind of an assessment based on the Industry practice and an assumption based on the facts &amp; verbal discussion carried out with the company officials/ banker that what is the minimum amount can be recovered out of the receivables, loans &amp; advances, etc.
6. No audit of any kind is performed by us from the books of account or ledger statements and all this data/ information/ input/ details provided to us by the company/ banker are taken as is it on good faith that these are factually correct information.
7. There are no fixed criteria, formula or norm for the Valuation of Current assets It is purely based on the individual assessment and may differ from valuer to valuer based on the practicality he/ she analyses in recoveries of outstanding dues. Ultimate recovery depends on efforts, extensive follow-ups, close scrutiny of individual case made by the company/banker. So our values should not be regarded as any judgment in regard to the recoverability of Current assets</t>
  </si>
  <si>
    <t>Amrit Supply &amp; Co Pvt Ltd (Security)</t>
  </si>
  <si>
    <t>Gayatree Thermoset</t>
  </si>
  <si>
    <t>Leadtop Import &amp; Export Co. Ltd.</t>
  </si>
  <si>
    <t>Om Prakash Bajaj</t>
  </si>
  <si>
    <t>Paras Towers Pvt. Ltd.</t>
  </si>
  <si>
    <t>Prabha Vincom</t>
  </si>
  <si>
    <t>Priti Ghosh</t>
  </si>
  <si>
    <t>Robin Mondal (Exp)</t>
  </si>
  <si>
    <t>S. Shashidhara</t>
  </si>
  <si>
    <t>Vipul Cultivation Pvt.Ltd</t>
  </si>
  <si>
    <t>Nidhi Sharma</t>
  </si>
  <si>
    <t>1. Assessment is done based on the discussions done with the banker/ company and the details which they could provide to us on our queries.
2. All the notes on the current status of amount recovery are given by company/ banker. Notes and data provided by company/ banker has been relied upon in good faith on the basis of which independent potential value assessment of the Current assetss has been carried out.
3. For the basis of arriving at the Value of each Current assetss, please refer to the specific annexure.
4. This is just a general assessment on the basis of general Industry practice based on the details which the company/ banker could provide to us as per our queries &amp; discussions held during the course of the assessment and further opinion made by us based on the available information and facts on record.
5. Valuation of Current assetss is more of a kind of an assessment based on the Industry practice and an assumption based on the facts &amp; verbal discussion carried out with the company officials/ banker that what is the minimum amount can be recovered out of the receivables, loans &amp; advances, etc.
6. No audit of any kind is performed by us from the books of account or ledger statements and all this data/ information/ input/ details provided to us by the company/ banker are taken as is it on good faith that these are factually correct information.
7. There are no fixed criteria, formula or norm for the Valuation of Current assets It is purely based on the individual assessment and may differ from valuer to valuer based on the practicality he/ she analyses in recoveries of outstanding dues. Ultimate recovery depends on efforts, extensive follow-ups, close scrutiny of individual case made by the company/banker. So our values should not be regarded as any judgment in regard to the recoverability of Current assets</t>
  </si>
  <si>
    <t>SUMMARY OF VALUATION ASSESSMENT OF CURRENT ASSETS</t>
  </si>
  <si>
    <t>S. No.</t>
  </si>
  <si>
    <t>Amount as per Trial Balance</t>
  </si>
  <si>
    <t>Annexure</t>
  </si>
  <si>
    <t>Figures in INR lacs</t>
  </si>
  <si>
    <t>I</t>
  </si>
  <si>
    <t>Inventories</t>
  </si>
  <si>
    <t>II</t>
  </si>
  <si>
    <t>Trade Receivables</t>
  </si>
  <si>
    <t>III</t>
  </si>
  <si>
    <t>IV</t>
  </si>
  <si>
    <t>V</t>
  </si>
  <si>
    <t>Other Current Asset</t>
  </si>
  <si>
    <t>VI</t>
  </si>
  <si>
    <t>n</t>
  </si>
  <si>
    <t>1. Assessment is done based on the discussions done with the Banker/ company and the details which they could provide to us on our queries.
2. All the notes on the current status of amount recovery are given by company/ Banker. Notes and data provided by company/banker has been relied upon in good faith on the basis of which independent potential value assessment of the Current assets has been carried out.
3. For the basis of arriving at the Value of each Current assets, please refer to the specific annexure.
4. This is just a general assessment on the basis of general Industry practice based on the details which the company/ Banker could provide to us as per our queries &amp; discussions held during the course of the assessment and further opinion made by us based on the available information and facts on record.
5. Valuation of Current assets is more of a kind of an assessment based on the Industry practice and an assumption based on the facts &amp; verbal discussion carried out with the company officials/ Banker that what is the minimum amount can be recovered out of the receivables, loans &amp; advances, etc.
6. No audit of any kind is performed by us from the books of account or ledger statements and all this data/ information/ input/ details provided to us by the company/ Banker are taken as is it on good faith that these are factually correct information.
7. There are no fixed criteria, formula or norm for the Valuation of Current assets It is purely based on the individual assessment and may differ from valuer to valuer based on the practicality he/ she analyses in recoveries of outstanding dues. Ultimate recovery depends on efforts, extensive follow-ups, close scrutiny of individual case made by the company banker. So our values should not be regarded as any judgment in regard to the recoverability of Current assets.</t>
  </si>
  <si>
    <t>Figures in INR Crores</t>
  </si>
  <si>
    <t xml:space="preserve">iii) Advances to directors or other officers of the company or any of them  either severally or jointly with any other person or debts due by firms or private companies respectively in which any director is a partner or a director or a member. </t>
  </si>
  <si>
    <t>vii)Deposit - Electricity Duty (Refer Note 11.1)</t>
  </si>
  <si>
    <t>Finished Goods and Stock In Transit - Manufactured goods</t>
  </si>
  <si>
    <t>S.NO</t>
  </si>
  <si>
    <t>Less than 6 months</t>
  </si>
  <si>
    <t>6 months -1 year</t>
  </si>
  <si>
    <t>1-2 years</t>
  </si>
  <si>
    <t>2-3 years</t>
  </si>
  <si>
    <t>More than 3 years</t>
  </si>
  <si>
    <t xml:space="preserve">Liquidation value (Piecemeal) Assessment </t>
  </si>
  <si>
    <t>Liquidation value (Going concern) Assessment</t>
  </si>
  <si>
    <t>Total Capital Work-In-Progress</t>
  </si>
  <si>
    <t>Details as on 31st March 2022</t>
  </si>
  <si>
    <t>Details as on 31st January 2022</t>
  </si>
  <si>
    <t xml:space="preserve"> CWIP completion schedule as on March 31, 2022 is as under:</t>
  </si>
  <si>
    <r>
      <rPr>
        <b/>
        <sz val="11"/>
        <rFont val="Arial Narrow"/>
        <family val="2"/>
      </rPr>
      <t>CWIP</t>
    </r>
  </si>
  <si>
    <t>to be completed in</t>
  </si>
  <si>
    <r>
      <rPr>
        <b/>
        <sz val="11"/>
        <rFont val="Arial Narrow"/>
        <family val="2"/>
      </rPr>
      <t>Less than 1 year</t>
    </r>
  </si>
  <si>
    <r>
      <rPr>
        <b/>
        <sz val="11"/>
        <rFont val="Arial Narrow"/>
        <family val="2"/>
      </rPr>
      <t>1-2 years</t>
    </r>
  </si>
  <si>
    <r>
      <rPr>
        <b/>
        <sz val="11"/>
        <rFont val="Arial Narrow"/>
        <family val="2"/>
      </rPr>
      <t>2-3 years</t>
    </r>
  </si>
  <si>
    <r>
      <rPr>
        <b/>
        <sz val="11"/>
        <rFont val="Arial Narrow"/>
        <family val="2"/>
      </rPr>
      <t>More than 3 years</t>
    </r>
  </si>
  <si>
    <t xml:space="preserve"> RAILWAY SIDING EQUIPMENTS</t>
  </si>
  <si>
    <t>&lt; 730 days</t>
  </si>
  <si>
    <t>&lt; 365 days</t>
  </si>
  <si>
    <t>&gt; 1095 days</t>
  </si>
  <si>
    <t>Non-current Financial Assets</t>
  </si>
  <si>
    <t>Cash &amp; Cash equivalents and Bank Balance</t>
  </si>
  <si>
    <t>Current Tax Assets (Net)</t>
  </si>
  <si>
    <t xml:space="preserve">Since, the copmpany is active to perform its core operations, so contract workmen mgt system &amp; CC cameras can be usefull for the company in its operation. Company can update the contract and complete the instalation work of CC cameras. Hence we have consider fair market value to be at 80% of the book value. And keep in mind the ageing of this asset, Going Concern Value to be at 80% and piecemeal value to be at 50% of the fair market value.
</t>
  </si>
  <si>
    <t xml:space="preserve">Company can recognise sidings as asset only when there are probable future economic benefits from such railway sidings. Hence we have consider fair market value to be at 100% of the book value. And Going Concern Value to be at 100% and piecemeal value to be at 100% of the fair market value.
</t>
  </si>
  <si>
    <t>We have not received any document/ supporting regarding the said provision. Hence we have not considered its value.</t>
  </si>
  <si>
    <t>Current Financial Assets and Tax Assets</t>
  </si>
  <si>
    <t xml:space="preserve"> - Unsecured, considered doubtful</t>
  </si>
  <si>
    <r>
      <t xml:space="preserve">Subsidy Receivable- Mfg Urea </t>
    </r>
    <r>
      <rPr>
        <b/>
        <sz val="9"/>
        <color theme="1"/>
        <rFont val="Arial"/>
        <family val="2"/>
      </rPr>
      <t>(Gas Pool and Gas supply dues as on 31</t>
    </r>
    <r>
      <rPr>
        <b/>
        <vertAlign val="superscript"/>
        <sz val="9"/>
        <color theme="1"/>
        <rFont val="Arial"/>
        <family val="2"/>
      </rPr>
      <t>st</t>
    </r>
    <r>
      <rPr>
        <b/>
        <sz val="9"/>
        <color theme="1"/>
        <rFont val="Arial"/>
        <family val="2"/>
      </rPr>
      <t xml:space="preserve"> March 2022 is Rs 662.88 Crs, Net dues to GAIL is Rs 220.09 Crs)</t>
    </r>
  </si>
  <si>
    <t>1. Assessment is done based on the discussions done with the Banker/ Company and the details which they could provide to us on our queries.
2. The outstanding are taken from the data provided by the company as on 31st MArch 2022.
3. Based on the reason for pendency and comments on recoverability, we have arrived at the valuation based on the assumption that in present situation what is the maximum recoverability can come subject to proper follow-up with the counter parties.
4. The recoverability assessed in the potential valuation is subject to rigorous follow-up with individual debtor.
5. This is just a general assessment on the basis of general Industry practice, based on the details which the company/ Banker could provide to us as per our queries &amp; discussions with the Company officials/ Banker.
6. No audit of any kind is performed by us from the books of account or ledger statements and all this data/ information/ input/ details provided to us by the company/ Banker are taken as is it on good faith that these are factually correct information.
7. There is no fixed criteria, formula or norm for the Valuation of Current assets It is purely based on the individual assessment and may differ from valuer to valuer based on the practicality he analyse in recoveries of outstanding dues. Ultimate recovery depends on efforts, extensive follow-ups and close scrutiny of individual case made by the company/ RP. So our values should not be regarded as any judgment in regard to the recoverability of Current assets</t>
  </si>
  <si>
    <t>1. Assessment is done based on the discussions done with the Banker/ Company and the details which they could provide to us on our queries.
2. The outstanding are taken from the data provided by the company standing as on 31st March 2022.
3. Based on the reason for pendency and comments on recoverability, we have arrived at the valuation based on the assumption that in present situation what is the maximum recoverability can come subject to proper follow-up with the counter parties.
4. The recoverability assessed in the potential valuation is subject to rigorous follow-up with individual debtor.
5. This is just a general assessment on the basis of general Industry practice, based on the details which the company/ Banker could provide to us as per our queries &amp; discussions with the Company officials/ Banker.
6. No audit of any kind is performed by us from the books of account or ledger statements and all this data/ information/ input/ details provided to us by the company/ Banker are taken as is it on good faith that these are factually correct information.
7. There is no fixed criteria, formula or norm for the Valuation of Current assets It is purely based on the individual assessment and may differ from valuer to valuer based on the practicality he analyse in recoveries of outstanding dues. Ultimate recovery depends on efforts, extensive follow-ups and close scrutiny of individual case made by the company/ RP. So our values should not be regarded as any judgment in regard to the recoverability of Current assets</t>
  </si>
  <si>
    <t>1. Assessment is done based on the discussions done with the Liquidator/ RP/ Corporate Debtor and the details which they could provide to us on our queries.
2. This is just a general assessment on the basis of general Industry practice, based on the details which the Liquidator/ RP/ Corporate Debtor provided to us as per our queries &amp; discussions with the Liquidator/ RP/ Corporate Debtor.
3. No audit of any kind is performed by us for the books of account or ledger statements and all this data/ information/ input/ details provided to us by the Liquidator/ RP/ Corporate Debtor are taken as is it on good faith that these are factually correct information.
4. There is no fixed criteria, formula or norm for the Valuation of Securities or Financial Assets. It is purely based on the individual assessment and may differ from valuer to valuer based on the practicality he/she analyses in recoveries of outstanding dues. Ultimate recovery depends on efforts, extensive follow-ups, close scrutiny of individual case made by the Liquidator/ RP/ Corporate Debtor. So, our values should not be regarded as any judgment in regard to the recoverability of Securities or Financial Assets.</t>
  </si>
  <si>
    <t>ANNEXURE I – CAPITAL WORK-IN-PROGRESS</t>
  </si>
  <si>
    <t>ANNEXURE II – FINANCIAL ASSETS</t>
  </si>
  <si>
    <t>ANNEXURE IV – TRADE RECEIVABLES</t>
  </si>
  <si>
    <t>Cash &amp; Cash Equivalents</t>
  </si>
  <si>
    <t>Bank Balance (Othen Then Cash &amp; Cash Equivalents)</t>
  </si>
  <si>
    <t>ANNEXURE V – CASH AND CASH EQUIVALENTS AND BANK BALANCES</t>
  </si>
  <si>
    <t>ANNEXURE VI – OTHER CURRENT ASSETS</t>
  </si>
  <si>
    <t xml:space="preserve">1. Assessment is done based on the discussions done with the Banker/ Company and the details which they could provide to us on our queries.
2. The outstanding are taken from the data provided by the company standing as on 31st March 2022.
3. Based on the reason for pendency and comments on recoverability, we have arrived at the valuation based on the assumption that in present situation what is the maximum recoverability can come subject to proper follow-up with the counter parties.
4. The recoverability assessed in the potential valuation is subject to rigorous follow-up with individual debtor.
5. This is just a general assessment on the basis of general Industry practice, based on the details which the company/ Banker could provide to us as per our queries &amp; discussions with the Company officials/ Banker.
6. No audit of any kind is performed by us from the books of account or ledger statements and all this data/ information/ input/ details provided to us by the company/ Banker are taken as is it on good faith that these are factually correct information.
7. There is no fixed criteria, formula or norm for the Valuation of Current assets It is purely based on the individual assessment and may differ from valuer to valuer based on the practicality he analyse in recoveries of outstanding dues. Ultimate recovery depends on efforts, extensive follow-ups and close scrutiny of individual case made by the company/ RP. So our values should not be regarded as any judgment in regard to the recoverability of Current assets
</t>
  </si>
  <si>
    <t>ANNEXURE IV – TRADE RECEIVABLES AGEING</t>
  </si>
  <si>
    <t>Document Date</t>
  </si>
  <si>
    <t>Particlars</t>
  </si>
  <si>
    <t>Amount</t>
  </si>
  <si>
    <t>Sub tags</t>
  </si>
  <si>
    <t>Ageing (No of Days)</t>
  </si>
  <si>
    <t>Management Comment on Recoverability</t>
  </si>
  <si>
    <t>09.12.2013</t>
  </si>
  <si>
    <t>Y.S.S.DATTATREYA REDDY</t>
  </si>
  <si>
    <t>Rental Deposit</t>
  </si>
  <si>
    <t>These deposits are adjustable against the rental dues payable to owners</t>
  </si>
  <si>
    <t>ASST.ACCTS.OFFICER,E.R.O.KAKINADA</t>
  </si>
  <si>
    <t>Other Deposit</t>
  </si>
  <si>
    <t>These deposits towards facilities for power and can not be realized.</t>
  </si>
  <si>
    <t>ASST.PAY &amp; ACCTS.OFFICER</t>
  </si>
  <si>
    <t>These deposits towards facilities for water and can not be realized.</t>
  </si>
  <si>
    <t>BHURUKA GASES LTD</t>
  </si>
  <si>
    <t>These deposits towards facilities for supply of gas cylinders and can not be realized.</t>
  </si>
  <si>
    <t>ACCOUNTS OFFICER (CASH), B.S.N.L.,</t>
  </si>
  <si>
    <t>These deposits towards facilities for telephone and can not be realized.</t>
  </si>
  <si>
    <t>HINDUSTAN PETROLEUM CORPORATION LTD</t>
  </si>
  <si>
    <t>These deposits towards facilities for LPG connection and can not be realized.</t>
  </si>
  <si>
    <t>EASTERN POWER DIST.CO. OF AP LTD</t>
  </si>
  <si>
    <t>INDIAN OIL CORPORATION LTD</t>
  </si>
  <si>
    <t>These deposits towards lube oil and can not be realized.</t>
  </si>
  <si>
    <t>31.05.2004</t>
  </si>
  <si>
    <t>K V Vishnu Raju</t>
  </si>
  <si>
    <t>Rental deposit</t>
  </si>
  <si>
    <t>12.07.2007</t>
  </si>
  <si>
    <t>K.Lakshmi Raju</t>
  </si>
  <si>
    <t>30.09.2016</t>
  </si>
  <si>
    <t>Sohini Kapoor</t>
  </si>
  <si>
    <t>07.11.2016</t>
  </si>
  <si>
    <t>Mohini Kapoor</t>
  </si>
  <si>
    <t>11.07.2016</t>
  </si>
  <si>
    <t>Rajeev Kapoor</t>
  </si>
  <si>
    <t>Anuradha Vohra</t>
  </si>
  <si>
    <t>31.12.1999</t>
  </si>
  <si>
    <t>APSEB</t>
  </si>
  <si>
    <t>Other Deposits</t>
  </si>
  <si>
    <t>These deposits towards various facilities like telephone, power, petrol, postage, generator, gas cylinders and also deposit made for technimont case as per court order.
Insurance deposits are adjustable against the renewal of policies.</t>
  </si>
  <si>
    <t>31.08.2002</t>
  </si>
  <si>
    <t>Elect.Deposit - Calcutta</t>
  </si>
  <si>
    <t>01.04.2011</t>
  </si>
  <si>
    <t>AO/Cash/Bsnl/Hhyderabad</t>
  </si>
  <si>
    <t>10.08.2017</t>
  </si>
  <si>
    <t>The Fertiliser Association of India</t>
  </si>
  <si>
    <t>31.03.2018</t>
  </si>
  <si>
    <t>The Senior post Master, Khairatabad</t>
  </si>
  <si>
    <t>23.04.2010</t>
  </si>
  <si>
    <t>Sivam Auto</t>
  </si>
  <si>
    <t>28.09.2012</t>
  </si>
  <si>
    <t>Central Depository Services (I) Ltd.</t>
  </si>
  <si>
    <t>18.03.2008</t>
  </si>
  <si>
    <t>B E S T</t>
  </si>
  <si>
    <t>23.12.2015</t>
  </si>
  <si>
    <t>Siddivinayaka Indl.Gases</t>
  </si>
  <si>
    <t>21.07.2011&amp;11.06.2012</t>
  </si>
  <si>
    <t>Superintending Engineer</t>
  </si>
  <si>
    <t>30.09.2012</t>
  </si>
  <si>
    <t>Rameshwar Filling Station</t>
  </si>
  <si>
    <t>31.12.2018</t>
  </si>
  <si>
    <t>Tecnimont SPA</t>
  </si>
  <si>
    <t>10.03.2015</t>
  </si>
  <si>
    <t xml:space="preserve">AGM (EBP), O/o CGM Telecom, </t>
  </si>
  <si>
    <t>19.03.2021</t>
  </si>
  <si>
    <t xml:space="preserve">ICICI Prudential Life Insurance </t>
  </si>
  <si>
    <t>31.03.2022</t>
  </si>
  <si>
    <t>The New India Assurance co. Ltd.</t>
  </si>
  <si>
    <t>M.N.V.PRASADA REDDY</t>
  </si>
  <si>
    <t>VIVEK TYAGI</t>
  </si>
  <si>
    <t>RAMAKRISHNA RADHAKRISHNA ATKARE</t>
  </si>
  <si>
    <t>V. MAHALAKSHMI</t>
  </si>
  <si>
    <t>SONAL MAHESH JARIWALA</t>
  </si>
  <si>
    <t>CHENDRASEKHAR B.N.V.VS</t>
  </si>
  <si>
    <t>SESHASAI B.V.V.S.</t>
  </si>
  <si>
    <t>SUNDARA RAO B.N.V.V.S.</t>
  </si>
  <si>
    <t>VISWESWARA RAO.V.</t>
  </si>
  <si>
    <t>VUPPALA NEERAJA</t>
  </si>
  <si>
    <t>Y VIRUPAKSHA GOWDA</t>
  </si>
  <si>
    <t>S.GEETHA RANJANI</t>
  </si>
  <si>
    <t>M/S R.K.ENTERPRISES</t>
  </si>
  <si>
    <t>DEO PRAKASH SINGH</t>
  </si>
  <si>
    <t>PRAKASH R BANDI</t>
  </si>
  <si>
    <t>B.CHATARJI</t>
  </si>
  <si>
    <t>G.VEERABHADRA RAO</t>
  </si>
  <si>
    <t>YARLAGADDA RAVI KUMAR</t>
  </si>
  <si>
    <t>BIMAL KUMAR PANDA</t>
  </si>
  <si>
    <t>PREMANANDA DAS</t>
  </si>
  <si>
    <t>SHEVANTABAI MAHADEV SAKHARE</t>
  </si>
  <si>
    <t>SRI RAMAKRISHNA GAS AGENCY</t>
  </si>
  <si>
    <t>Other deposit</t>
  </si>
  <si>
    <t>Adjustable towards their outstanding payable.</t>
  </si>
  <si>
    <t>ZUARI AGRO CHEMICALS LIMITED</t>
  </si>
  <si>
    <t>Mangalore Chemicals &amp; Fertilizers L</t>
  </si>
  <si>
    <t>DEPOSITS WITH STATUTORY AUTHORITIES</t>
  </si>
  <si>
    <t>This is towards disputed tax matters and can not be realized.</t>
  </si>
  <si>
    <t>BHARAT SANCHAR NIGAM LTD</t>
  </si>
  <si>
    <t>ELECT DEPOSIT-AHMEDABAD</t>
  </si>
  <si>
    <t>This is towards disputed tax matters, minimum deposit towards facilities of Telephone, warehouse etc and can not be realized.</t>
  </si>
  <si>
    <t>NATIONAL SAVINGS CERTIFICATES</t>
  </si>
  <si>
    <t>S.HANUMANTHA REDDY</t>
  </si>
  <si>
    <t>AO/CASH/BSNL/HYDERABAD</t>
  </si>
  <si>
    <t>Bharat Sanchar Nigam Limited</t>
  </si>
  <si>
    <t>AVANTHI WAREHOUSING SERVICES P LTD</t>
  </si>
  <si>
    <t>N.H.R.D.F</t>
  </si>
  <si>
    <t>ANNAPURNA FERTILIZER AGENCY</t>
  </si>
  <si>
    <t>GAZEBO LOGISTICS PRIVATE LIMITED</t>
  </si>
  <si>
    <t>INDO AGRO CHEMICALS</t>
  </si>
  <si>
    <t>SHREE GOVIND KRUPA GOODS CARRIER</t>
  </si>
  <si>
    <t>CTO CIRCLE 8, RAIPUR</t>
  </si>
  <si>
    <t>THE DCTO, YANAM</t>
  </si>
  <si>
    <t>CTO CIRCLE 5, BHOPAL</t>
  </si>
  <si>
    <t>CTO, JAIPUR</t>
  </si>
  <si>
    <t>PARADEEP PHOSPHATES LTD</t>
  </si>
  <si>
    <t>BSNL, BANGALORE</t>
  </si>
  <si>
    <t>ACCT, GUJARAT STATE</t>
  </si>
  <si>
    <t>4538 &amp; 4233</t>
  </si>
  <si>
    <t>These deposits towards facilities of Telephone, power, EMD and can not be realized.</t>
  </si>
  <si>
    <t>THE MP STATE AGRO INDUS.DEV.CO</t>
  </si>
  <si>
    <t>FINANCIAL CONTROLER, J.K.STATE</t>
  </si>
  <si>
    <t>ASSISTANT DIRECTOR(ACCOUNTS-1)</t>
  </si>
  <si>
    <t>CHIEF ENGINEER, AED , CHENNAI</t>
  </si>
  <si>
    <t>Director of Agriculture</t>
  </si>
  <si>
    <t>Malegaon SSK</t>
  </si>
  <si>
    <t>Commissioner of Horticulture P</t>
  </si>
  <si>
    <t>Department of Sericulture</t>
  </si>
  <si>
    <t>M.P.STATE AGRO DEVELOPEMENT CO</t>
  </si>
  <si>
    <t>M.D.C.G.RAJYABEEJEVAM KRISHI V</t>
  </si>
  <si>
    <t>1707 &amp; 1155</t>
  </si>
  <si>
    <t>SAO/OPC/RRN/GUNROCK/SECUNDERAB</t>
  </si>
  <si>
    <t>4748 &amp; 3584 &amp;3235</t>
  </si>
  <si>
    <t>AO/ CASH/ TRICHY, BSNL</t>
  </si>
  <si>
    <t>SAO/OPERATION/MEDAK CIRCLE, AP</t>
  </si>
  <si>
    <t>SAO/ CPDCL/HABSIGUDA, HYDERABA</t>
  </si>
  <si>
    <t>3218 &amp; 2745</t>
  </si>
  <si>
    <t>DEE/OP/APCPDCL/SANGAREDDY</t>
  </si>
  <si>
    <t>Sr. ACCOUNTS OFFICER, TSSPDCL,</t>
  </si>
  <si>
    <t>2358 &amp; 1289</t>
  </si>
  <si>
    <t>THE COMPTOLLER,TNAU,COIMBATORE</t>
  </si>
  <si>
    <t>HARYANA HORTICULTURE</t>
  </si>
  <si>
    <t>1661 &amp; 1659</t>
  </si>
  <si>
    <t>THE M.P STATE AGRO INDUSTRIES</t>
  </si>
  <si>
    <t>SANCHALAK RAJYA KRISHI VISTAR</t>
  </si>
  <si>
    <t>The Chief Engineer(AE), Agricu</t>
  </si>
  <si>
    <t>These deposits towards facilities of Telephone and power and can not be realized.</t>
  </si>
  <si>
    <t>ELECTRICITY DEPOSIT-GSEB</t>
  </si>
  <si>
    <t>MADHYA GUJARAT VIJ COMPANY LIM</t>
  </si>
  <si>
    <t>2798 /2318/ 2095/2023</t>
  </si>
  <si>
    <t>FA &amp; CCA, CPDCL, MINT COMPOUND</t>
  </si>
  <si>
    <t>Veeraiah Obulammpalle</t>
  </si>
  <si>
    <t>Maharastra Hybrid Seeds Company</t>
  </si>
  <si>
    <t>BHRAMARAMBA KURAPATI</t>
  </si>
  <si>
    <t>KRISHMA RAKESH PATEL</t>
  </si>
  <si>
    <t>ANNEXURE II-A – SECURITY DEPOSIT AGEING</t>
  </si>
  <si>
    <t>Figures in INR</t>
  </si>
  <si>
    <t>MANDAL REVENUE OFFICER</t>
  </si>
  <si>
    <t>These deposits with statutory authorities against NALA TAX outstanding of which is more than the deposit and can not be realized.</t>
  </si>
  <si>
    <t>THE ORIENTAL INSURANCE CO LTD.,</t>
  </si>
  <si>
    <t>VENKATARAMANA AGENCIES</t>
  </si>
  <si>
    <t>These deposits towards facilities for petrol and can not be realized.</t>
  </si>
  <si>
    <t>J.D.ENTERPRISES</t>
  </si>
  <si>
    <t>These deposits towards facilities and can not be realized.</t>
  </si>
  <si>
    <t>Ramky Enviro Engineers Ltd.</t>
  </si>
  <si>
    <t>17.03.2021</t>
  </si>
  <si>
    <t>NEW INDIA ASSURANCE CO. LTD</t>
  </si>
  <si>
    <t>These deposits towards various insurance policies</t>
  </si>
  <si>
    <t>31.03.2019</t>
  </si>
  <si>
    <t>National Insurance Co., Ltd.,</t>
  </si>
  <si>
    <t>30.09.2019</t>
  </si>
  <si>
    <t>ICICI Lombard General Insurance co.Ltd.</t>
  </si>
  <si>
    <t>30.01.2010</t>
  </si>
  <si>
    <t>Bajaj Allianz Insurance co., Ltd.,</t>
  </si>
  <si>
    <t>01.12.2019</t>
  </si>
  <si>
    <t>Exide Life Insurance Co., Ltd.,</t>
  </si>
  <si>
    <t>ANNEXURE IV-A – SECURITY DEPOSIT AGEING</t>
  </si>
  <si>
    <t xml:space="preserve">We have not received any document/ supporting regarding the said assets. However the same would means upgradation / development of mobile/web application for field team from Visionnet Systems Pvt Limited, which can be outdated as on 31 March, 2022. Hence we have consider fair market value to be at 50% of the book value. And keep in mind the ageing of this asset, Going Concern Value to be at 50% and piecemeal value to be at 30% of the fair market value.
</t>
  </si>
  <si>
    <t xml:space="preserve">We have not received any document/ supporting regarding the said assets. However the same would means upgradation of analyzer software, which can be outdated as on 31 March, 2022. Hence we have consider fair market value to be at 50% of the book value. And keep in mind the ageing of this asset, Going Concern Value to be at 80% and piecemeal value to be at 50% of the fair market value.
</t>
  </si>
  <si>
    <t>Other Advances</t>
  </si>
  <si>
    <t>Prepaid Expenses</t>
  </si>
  <si>
    <t>Balance with Government Authorities</t>
  </si>
  <si>
    <t>We have not received any document / supporting regarding the said provision from company. Hence we have not considered in its value.</t>
  </si>
  <si>
    <t>1. The security deposits shown in financial statements can be grouped in two kind of deposits. First other deposits related to various facilities like Electricity deposit, Water deposit, Drip Irrigation, Telephone, Power etc. and second is rental deposits for the various premises taken by the company on rent.
2. Other deposits include deposits with Govt authorities towards various facilities like electricity deposit, water deposit, Drip Irrigation, telephone, power etc. From total of 3.26 Crs. we consider 100% as fair market value because company is ongoing concern and all these facilities have economic value to the company in its operation. In present times it might be the case that for the fresh procurement of these services, new promoter may have to shelve out even more that these deposits as per current rate. However since we do not know about the present security deposit rates and it is not possible to gather this information therefore we are atleast taking these deposits on its face value as it is.
3. In regard to rental deposits, as per the financial statements there are no dues against rental deposits. These rental deposits are for different places taken by the company for office purpose only. Since company is ongoing concern and these sites are important to run the business of the company and therefore these deposits holds economic benefit to the company in its business. That is why company regularly honoring its rental from time to time. Therefore we are seeing 100% economic value of it for the business purpose.
4. Although all these security deposits carry 100% economic value to the business in operation but in case of liquidation on going concern basis we are giving 25% discount since on sentimental grounds buyer would like to take advantage of the situation and would expect some discount since the negotiation power of buyer will be more than the seller in liquidation.
5. During Liquidation on piece meal basis, since business will not be in operation therefore other deposits will not have any benefit and recovery of it will be insurmountable task and will be subject to the contract condition, legality issues and dues of the authority. 
6. Also, rental premises will not be required in piecemeal, therefore company will be vacating the premises and the liquidator can claim the refund of security deposits subject to condition of rent agreements. However in such In this case company will try to adjust it with the rent dues itself.
Therefore on a general assumption we are of the view that in such a situation not more than 20% recovery will be possible based on the nature of deposits. Therefore based on that we are considering only 20% liquidation value on piece meal basis.</t>
  </si>
  <si>
    <t>1. Raw material includes 0.16 Crs. neem oil and water and which are regularly being consumed for both the plants. 
2. Company is not operating its micro Irrigation business due to lack of working capital. However company still have raw material for the same. Rs 0.83 Crs. of raw material has ageing of more than 2 years. Therefore we cannot consider its 100% value. This raw material includes drippers which are made of metal. Therefore we are considering its scrap value as 20% as fair market value. 
3. Rs 0.37 Crs of raw material has ageing of less than 2 years. This raw material includes DEPD, LEPD, Lin Dripper, Superlin Dripper, Polymer Processing Aid, CDL Labyrinth Dripper etc, its average shelf life is less than 2 years. So if company will restart this business above material can give economic benefit to the company. Therefore we are considering 80% of this material as fair market value.
4. In this book value company received 3.18 Crs raw material on Job work basis to process and deliver back the processed material to the customer. But Due to lack of supporting documents like invoice of doing the job work, we are considering 100% value as fair market value. 
5. In case of liquidation on going concern basis we are giving 30% discount on the book value since the company is currently operational. And we are assume that it will come out from its financial stress and expand its operations in future. Hence its value would be same as fair market value.
6. In case of liquidation on piecemeal basis, since business will not be in operation therefore to sell out this material will be very challenging task and very specific to the same business. Hence we are giving 30% of the book value.</t>
  </si>
  <si>
    <t>1. Work in progress goods given in the financial statements are used by the company since the company is currently running its business. Company will use its WIP for the production. If the material got damaged by any means like leakage (in case of gas) or waste, it is not practically possible to measure that damage. Hence we are considering 90% as FMV of the book value. 
2. In case of liquidation on going concern basis we are considering 10% reasonable quality discount on the book value basis the plants running condition and company will use its inventory to make final product.
3. In case of liquidation on piecemeal basis, business will not be in operation. And WIP material will not be of any use because of the chemicals and gasses used in the process of urea. Therefore it is difficult to get benefit and recovery of it will be insurmountable task. Therefore we are giving only 80% discount to calculate liquidation value on piece meal basis.</t>
  </si>
  <si>
    <t>1. Finished goods include urea, as well as by products of urea (Actin, Dormulin, Akre - C Plex, ZETA+, Proventus, Rhizomyco, Bio Granules, Amino Acids, Nitro Benzne, BT Nutri, Bio Protinier, Nagarjuna Wonder(Gr), Ecolaid Prime etc). Since the company is currently running its plants and earning the revenue. 
2. Total revenue has two parts 15% as market collection and 85% as Subsidy, at current pool gas prices. Subsidy becomes eligible once Urea is sold to farmer and recorded in e-POS machine and paid based on weekly submission of Invoices to GOI and budget availability. So company has given these subsidy dues in its liabilities. Therefore whatever amount is given in the current asset side it would be the market collection. 
3. Here one more discussion point is that bulk urea must be stored in closed, dry and ventilated warehouses. Because urea is very sensitive to temperature and humidity. Therefore we are considering its fair market value as 90% of the book value. 
4. Finished goods carry 100% economic value to the business in operation but in case of liquidation on going concern basis we are giving 10% discount since urea is perishable in nature and goods can be damaged. 
5. In case of liquidation on piecemeal basis, since business will not be in operation, finished good less than 6 months of ageing will carry 100% value, finished good less than 1 year of ageing will carry 80% value, finished good less than 2 years of ageing will carry 50% value, finished good more than 2 years of ageing will carry 0 value.</t>
  </si>
  <si>
    <t>1. Traded goods include urea, as well as by products of urea (Actin, Dormulin, Akre - C Plex, ZETA+, Proventus, Rhizomyco, Bio Granules, Amino Acids, Nitro Benzne, BT Nutri, Bio Protinier, Nagarjuna Wonder(Gr), Ecolaid Prime etc). Here the company is currently running its plants and earning the revenue. 
2. Traded goods also includes those goods which are not manufactured in the company. Also During the transport of the traded goods there may be damaged packaging or leaky material which are not suitable for sale. Therefore we are considering its fair market value as 80% of the book value. 
3. Traded goods carry 100% economic value to the business in operation but in case of liquidation on going concern basis we are giving 20% discount since urea is perishable in nature and goods can be damaged. 
4. In case of liquidation on piecemeal basis, since business will not be in operation, and keep in mind the ageing of the material it would be difficult to sell these materials. Hence we have consider the piecemeal value to be at 50% of the book value.</t>
  </si>
  <si>
    <t>1. In case of fertilizer products, packing material in most of the cases would be bags. Bags cannot get damage easily and it can be reused in case of obsolete. Therefore we are considering its fair market value as 100% of the book value. 
2. In case of liquidation on going concern basis we are considering 10% reasonable quality discount on the book value basis the fact that the for packing materials there may be changes in MRP printed on the bags of various products as well as ageing factor (More than 2 years) of the material.
3. In case of liquidation on piecemeal basis, business will not be in operation. So we are considering scrap value of the packing materials because these bags have company name on it. So it cannot be used for other business purpose. Therefore we are considering 10% of the book value.</t>
  </si>
  <si>
    <t xml:space="preserve">These assets are used in various steps of the production process and carry 100% economic value to the business in operation and therefore these material are vital for the conversion of raw materials into finished goods. Hence 100% value has been taken into consideration for Fair market value, Going concern value and piecemeal value respectively. </t>
  </si>
  <si>
    <t xml:space="preserve">1. As per information provided by client / company priority charge is already with GAIL for the entire subsidy amount including the amount Rs 18.75 Crs, which was subsidy paid to NFCL on priority basis for restart of 2nd plant so cannot be considered as current asset. Hence after adjustment 2.22 Crs would be the fair market value. Refer below mentioned table and see the adjusted value of Rs 3 Crs would be added back to 2.22 Crs. And Fair market value would be 5.22 Crs.
2. In case of liquidation on going concern basis, business will be in operation, therefore we keep in mind the same reasoning as above, hence whatever comes after adjustments we will consider that amount as it is for Going Concern Value.
3. In case of liquidation on piecemeal basis, business will not be in operation. However in this situation, bank balance of the company will be the same, it will not be affected. Hence in case of piecemeal also the adjustments will take place and whatever amount comes in the current account, we will consider that amount as it is for piecemeal value.
</t>
  </si>
  <si>
    <t>As per the cash certificates provided by the company, the amount given under the head cash on hand is matched. Hence we have consider fair market value, Going Concern Value and piecemeal value to be at 100% of the book value.</t>
  </si>
  <si>
    <t>Margin money deposits means that while issuing the guarantee bank asks the client to deposit some money by way of fixed deposit as a counter security. Hence we have consider fair market value, Going Concern Value and piecemeal value to be at 100% of the book value.</t>
  </si>
  <si>
    <t>1. An arbitration award was given against the company by a London Court of international arbitration for breach of contract in favor of a foreign supplier, M/s Key Trade. The Hon’ble High Court of Telangana directed to earmark an amount of Rs 20 Crores. Accordingly, the banks IDBI and SBI (Rs 14 crores and Rs 6 crores respectively) have to pay Rs 20 Crores amounts in favor of Key trade. Hence fair market value would be 0.17 Crs. 
2. And for 0.17 Crs, we have not received any document/ supporting regarding the said bank balance. This bank balance will be the same in both the cases i.e. liquidation on going concern basis and liquidation on piecemeal basis. Therefore we have consider Going Concern Value and piecemeal value to be at 100% of the adjusted value.</t>
  </si>
  <si>
    <t>1. The Current security deposits shown in financial statements is other deposits related to various facilities like Electricity deposit, Water deposit, Drip Irrigation, Telephone, Power etc. 
2. Other deposits include deposits with Govt authorities towards various facilities like electricity deposit, water deposit, Drip Irrigation, telephone, power etc. From total of 0.53 Crs. we consider 100% as fair market value because company is ongoing concern and all these facilities have economic value to the company in its operation. In present times it might be the case that for the fresh procurement of these services, new promoter may have to shelve out even more that these deposits as per current rate. However since we do not know about the present security deposit rates and it is not possible to gather this information therefore we are atleast taking these deposits on its face value as it is.
3. Although all these security deposits carry 100% economic value to the business in operation but in case of liquidation on going concern basis we are giving 25% discount since on sentimental grounds we do not know about the present security deposit rates and it is not possible to gather this information. 
4. During Liquidation on piece meal basis, since business will not be in operation therefore other deposits will not have any benefit and recovery of it will be insurmountable task and will be subject to the contract condition, legality issues and dues of the authority. Therefore based on that we are considering only 20% liquidation value on piece meal basis.</t>
  </si>
  <si>
    <t>We have not received any document/supporting regarding the status of the Income Tax. However the amount belongs to last financial year advance tax i.e. 2021-22. In general circumstances the amount of income tax that is paid much in advance rather than a lump-sum payment at the year-end is advance income tax. This amount belong to government so it is fully recoverable. Hence we have consider fair market value, Going Concern Value and piecemeal value to be at 100% of the book value.</t>
  </si>
  <si>
    <t>1. These balances made with Govt authorities towards various facilities so this amount will be fully recovered. Here company will also enjoy the economic benefit of these balances. Hence we have consider fair market value and Going Concern Value to be at 100% of the book value. 
2. In case of liquidation on piecemeal basis, business will not be in operation. Even then the amount will be fully recovered because it is made against Govt. authorities. So here also the piecemeal value would be at 100% of the book value.</t>
  </si>
  <si>
    <t>ANNEXURE II – INVENTORY</t>
  </si>
  <si>
    <t>ANNEXURE V – OTHER CURRENT FINANCIAL ASSETS AND TAX ASSETS</t>
  </si>
  <si>
    <t xml:space="preserve">As per the information provided by the client or company
1. The dues amounting INR 442.79 Crs is part of subsidy receivable, which is to be adjusted against the Gas Pool Dues and Gas Supplies Dues and hence cannot be considered as current assets. 
2. Due to the transfer of eNAM project to another vendor, who has invested the resources to fulfil the contractual obligations of NFCL. As agreed INR 0.56 Cr is payable to the vendor.
3. After adjusting for the above dues, the remaining value of INR 15.75 Cr is considered as Fair Market Value.
4. We have no information regarding the terms and conditions under which sales were made, period of pendency, status of the recovery procedures of these outstanding receivables etc. Therefore in case of liquidation (going concern) and liquidation (Piecemeal), we have considered 50% of fair market value.
Recovery of these receivables will be insurmountable task for the client. Therefore, in case of liquidation (Piecemeal), we have considered 20% of fair market value. </t>
  </si>
  <si>
    <t>We have no information regarding the terms and conditions under which sales were made, period of pendency, status of the recovery procedures of these outstanding receivables etc. Hence in this scenario, we are assuming fair value to be 50% of outstanding amount. Here the liquidator will not get economic benefit of these receivables because recovery of these receivables will be insurmountable task for them, therefore we consider Going Concern Value to be at 15% and piecemeal value to be 5% of fair market value.</t>
  </si>
  <si>
    <t xml:space="preserve">1. Due to the transfer of eNAM project to another vendor, who has invested the resources to fulfil the contractual obligations of NFCL. As agreed INR 6.26 Cr is payable to the vendor. So after the adjustment the fair market value would be zero. 
2. The the fact about eNAM project will also apply in case of going concern and piecemeal. Hence we will not assign any value to going concern and piecemeal. </t>
  </si>
  <si>
    <t>1. We have not receive any documents from company / client regarding this asset. So here in general circumstances company must had landed these deposits and advance to government and trust worthy organizations. However recoverability of these interest will depends upon factors like terms and condition of the contract, ageing of the deposits, legality of the same. Therefore we are considering its fair market value as 80% of the book value. 
2. During Liquidation, other deposits will not have any benefit and recovery of it will be insurmountable task and will be subject to the contract condition, legality issues and dues of the authority. In case of liquidation on going concern basis, we are considering it as 50% of the book value and for Liquidation (Piecemeal) we are considering it as 30% of the book value.</t>
  </si>
  <si>
    <t xml:space="preserve">1. NFCL is having Unutilized Accumulated ITC amount under GST law of Rs. 47.26 Crores as on 31-03-2022 as per the Audited Financial Statements and Books of Account. Since this amount can be claimed from GST authorities except some part of this amount will be utilized towards output tax. Therefore we are giving 10% discount on book value.  Hence we have consider fair market value as 90% of book value.
2. As per the information provided by company, Rs 4.64 Crores advances made towards railway freight for the movement of goods in the 1st week of April 22, IT related services, insurance, others and the same will be settled. Company is currently operating its plants so it will get the economic benefit of these advances. Therefore we will consider 80% of these advances as fair market value.
3. In case of liquidation on going concern basis, the business will be in operation. Therefore company can claimed from GST authorities as well as company will take the economic benefit of the advances. in case of liquidation on going concern basis we are giving 50% discount because recovery of these receivables will be insurmountable task for them. For Liquidation (Piecemeal), business will not be in operation and company will not be able to take the economic benefit of the advances. Hence, we will consider piecemeal value as 20% value of the of the fair market value. </t>
  </si>
  <si>
    <t xml:space="preserve">Credit impaired are those assets whose recoverable amount is less than the carrying cost, their chances of recoverability is very low. We have no information about the nature of these receivables, like terms and conditions under which sales were made, period of pendency, status of the recovery procedures of these outstanding receivables etc. Therefore, we have considered fair market value, liquidation (Going Concern) and liquidation (Piecemeal) to be 40%, 20% and 10% respectively.
</t>
  </si>
  <si>
    <t>1. As per the information provided by the company, these unsecured advances, considered doubtful, made towards railway freight, IT related services, insurance and others. Because company will get the economic benefits of the advances and keep in mind that these are unsecured doubtful advances, hence in this scenario, we are assuming fair value to be 80% of outstanding amount.
2. In case of liquidation on going concern basis, the business will be in operation. Therefore the same reasoning we will consider here as we have consider for the fair market value. However the owner of the company will change therefore we are giving 30% discount on the book value. Hence we are considering Going Concern Value to be at 40% of the book value.
3. In case of liquidation on piecemeal basis, business will not be in operation. Company will not be able to take the economic benefit of the advances. However recovery of it will be challenging task and will be subject to the contract condition, legality issues and dues of the authority. Therefore based on that we are considering only 20% liquidation value on piece meal basis.</t>
  </si>
  <si>
    <t>1. As per company Rs 7.59 Crores of prepaid expenses are related to insurance premium paid for various policies and GAIL bank guarantee charges recovered by Bank for a period of one year, so grouped under prepaid expenses, but these are the future adjustments so we will not consider it. Here company will get the economic benefits of these expenses and keep in mind that these expenses are paid in advances, hence in this scenario, we are assuming fair value to be 60% of outstanding amount.
2. In case of liquidation on going concern basis, the business will be in operation. Therefore the same reasoning as we will consider here as we have consider for the fair market value. However the owner of the company will change therefore we are giving 20% discount on the book value. Hence we are considering Going Concern Value to be at 50% of the book value.
3. In case of liquidation on piecemeal basis, business will not be in operation. Company will not be able to take the economic benefit of the expenses. However recovery of it will be challenging task and will be subject to the contract condition, legality issues and dues of the authority. Therefore based on that we are considering only 20% liquidation value on piece meal basis.</t>
  </si>
  <si>
    <t>1. This asset includes Rs 3.18 Crs of receivables less than 6 months, Rs 9.88 Crs of receivables less than 2 years, Rs 15.33 Crs of receivables less than 3 years and 12.36 Crs of receivables are more than 3 years. Hence for 6 months of ageing we are considering 100% of recovery, for less than 2 years of ageing we are considering 80% of recovery, for less than 3 years of ageing we are considering 50% of recovery and for more than 3 years of ageing we are considering 20% of recovery. So fair market value will be calculated accordingly. 
2. In case of liquidation on going concern basis, company will be running its operations. Therefore the receivables from Urea and other products division, majority of receivables (presently urea is being sold on cash basis / few days credit basis in case of non-season) are from urea products. However we have no information about the nature of these receivables, like: terms and conditions under which sales were made, period of pendency, status of the recovery procedures of these outstanding receivables etc. Therefore in case of liquidation on going concern basis, we will consider 30% of fair market value. 
3. In case of liquidation on piecemeal basis, business will not be in operation. Therefore the recovery of receivables will be challenging task and will be subject to the ageing. Therefore on a general assumption we think that in such a situation not more than 10% recovery will be possible. Therefore based on that we are considering only 10% liquidation value on piece meal basis.</t>
  </si>
  <si>
    <t xml:space="preserve">Total </t>
  </si>
  <si>
    <t>(i) Non-current investments</t>
  </si>
  <si>
    <t>(ii) Loans and Advances</t>
  </si>
  <si>
    <t>(c) Other non-current assets</t>
  </si>
  <si>
    <t>(b) Financial Assets</t>
  </si>
  <si>
    <t>(c) Other current assets</t>
  </si>
  <si>
    <t>(b) Other current liabilities</t>
  </si>
  <si>
    <t>M/s VICEROY HOTELS LIMITED</t>
  </si>
  <si>
    <t>(B) Financial Assets - Non-current investments</t>
  </si>
  <si>
    <t>Air Conditioners</t>
  </si>
  <si>
    <t>Electrical Fittings</t>
  </si>
  <si>
    <t>Generator</t>
  </si>
  <si>
    <t>Miscellaneous Fixed Assets</t>
  </si>
  <si>
    <t xml:space="preserve"> -</t>
  </si>
  <si>
    <t xml:space="preserve"> - </t>
  </si>
  <si>
    <t>1) Investment in Subsidiaries</t>
  </si>
  <si>
    <t xml:space="preserve">    a) Equity Shares</t>
  </si>
  <si>
    <t>2)  Investments in Associate</t>
  </si>
  <si>
    <t xml:space="preserve">        Unquoted</t>
  </si>
  <si>
    <t>79,91,554 Shares of Rs.10/- each in Viceroy Banglore Hotels Pvt. Ltd</t>
  </si>
  <si>
    <t>27,44,530 Shares of Rs.10/- each in Café'd lake Pvt Ltd</t>
  </si>
  <si>
    <t>40,00,000 Shares of Rs.10/- each in Crustum Products Pvt. Ltd</t>
  </si>
  <si>
    <t>46,69,267 Shares of Rs. 10/- each in Minerva Hospitalities Pvt Ltd</t>
  </si>
  <si>
    <t>10,000 Shares of Rs.10/- each in Viceroy Chennai Hotels &amp; Resorts Pvt.Ltd</t>
  </si>
  <si>
    <t>31,80,000 Shares or Rs.10/- each in Banjara Hospitalities Pvt. Ltd</t>
  </si>
  <si>
    <t xml:space="preserve">Unquoted </t>
  </si>
  <si>
    <t>a) Equity Shares</t>
  </si>
  <si>
    <t>(C) Financial Assets - Loans and Advances</t>
  </si>
  <si>
    <t>Capital Advances</t>
  </si>
  <si>
    <t>Secured, Considered Good</t>
  </si>
  <si>
    <t>Unsecured, Considered Good</t>
  </si>
  <si>
    <t xml:space="preserve">Loans &amp; Advances </t>
  </si>
  <si>
    <t xml:space="preserve">Subsidiary/ Associate Company Advances </t>
  </si>
  <si>
    <t>Loans Receivable</t>
  </si>
  <si>
    <t>Advances Recoverable in Cash or in kind</t>
  </si>
  <si>
    <t>(D) Financial Assets - Other Non-Current assets</t>
  </si>
  <si>
    <t>Unamortised  Expenses</t>
  </si>
  <si>
    <t>Rent Receivable</t>
  </si>
  <si>
    <t>Other Non Current Assets</t>
  </si>
  <si>
    <t>Other nonCurrent Assets</t>
  </si>
  <si>
    <t>Branch Divisions</t>
  </si>
  <si>
    <t>TDS Receivable on Rents</t>
  </si>
  <si>
    <t>Finished goods - Beverage Inventory</t>
  </si>
  <si>
    <t>Liquier</t>
  </si>
  <si>
    <t>(D) OTHER CURRENT ASSETS</t>
  </si>
  <si>
    <t xml:space="preserve">Loans and Advances to Employees </t>
  </si>
  <si>
    <t>Prepaid Expense</t>
  </si>
  <si>
    <t>Advances to related parties(HO)</t>
  </si>
  <si>
    <t xml:space="preserve">Secured Considered Good </t>
  </si>
  <si>
    <t>(A) EQUITY SHARE CAPITAL</t>
  </si>
  <si>
    <t>Equity Share Capital</t>
  </si>
  <si>
    <t xml:space="preserve">      (a) Authorised</t>
  </si>
  <si>
    <t>4,50,00,000 Equity Shares of Rs.10 each</t>
  </si>
  <si>
    <t>10,00,000 Preference shares of Rs.100 each</t>
  </si>
  <si>
    <t xml:space="preserve">                  (March 31,2022: 10,00,000 Shares of Rs.100 each)</t>
  </si>
  <si>
    <t xml:space="preserve">                  (March 31,2021: 10,00,000 Shares of Rs.100 each)</t>
  </si>
  <si>
    <t xml:space="preserve">       (b) Issued </t>
  </si>
  <si>
    <t>4,24,05,224 Equity Shares of Rs.10 each</t>
  </si>
  <si>
    <t xml:space="preserve">                  (March 31,2022: 4,24,05,224 Shares of Rs.10 each)</t>
  </si>
  <si>
    <t xml:space="preserve">                  (March 31,2021: 4,24,05,224 Shares of Rs.10 each)</t>
  </si>
  <si>
    <t xml:space="preserve">       (c) Subscribed &amp; Fully Paid Up</t>
  </si>
  <si>
    <t xml:space="preserve">       (d) Subscribed &amp; not fully paid up</t>
  </si>
  <si>
    <t xml:space="preserve">       (e) Par Value per share Rs. 10/-</t>
  </si>
  <si>
    <t>RESERVES AND SURPLUS</t>
  </si>
  <si>
    <t>a) Capital reserve</t>
  </si>
  <si>
    <t xml:space="preserve">     As at the commencement of the year</t>
  </si>
  <si>
    <t xml:space="preserve">     Add: Additions during the year</t>
  </si>
  <si>
    <t xml:space="preserve">     Less: Utilised during the year</t>
  </si>
  <si>
    <t xml:space="preserve">subtotal </t>
  </si>
  <si>
    <t>b) Securities Premium Reserve</t>
  </si>
  <si>
    <t>c) Debenture redemtion reserve</t>
  </si>
  <si>
    <t>d) Revaluation reserve</t>
  </si>
  <si>
    <t xml:space="preserve">e) General Reserves </t>
  </si>
  <si>
    <t xml:space="preserve">     Less: Accumulated Depreciation</t>
  </si>
  <si>
    <t>f) Surpuls :</t>
  </si>
  <si>
    <t xml:space="preserve">   i) Opening Balance  - Profit and Loss Account</t>
  </si>
  <si>
    <t xml:space="preserve">      Add: Transfer from Profit &amp; Loss Account</t>
  </si>
  <si>
    <t xml:space="preserve">      Less: Transfer To General Reserve</t>
  </si>
  <si>
    <t xml:space="preserve">     Less: Transitional effect of change in the useful live of assets, as per the provisions of schedule II of the Companies Act 2013</t>
  </si>
  <si>
    <t xml:space="preserve">Long Term borrowings </t>
  </si>
  <si>
    <t>a) Non Convertible Debentures</t>
  </si>
  <si>
    <t xml:space="preserve">    Secured </t>
  </si>
  <si>
    <t xml:space="preserve">                                      Sub Total</t>
  </si>
  <si>
    <t>b)  i) Term Loans</t>
  </si>
  <si>
    <t xml:space="preserve">           From Banks and financial institutions</t>
  </si>
  <si>
    <t xml:space="preserve">           From IARC &amp; EARC</t>
  </si>
  <si>
    <t xml:space="preserve">           From Others</t>
  </si>
  <si>
    <t xml:space="preserve">     ii) Un Secured Loans</t>
  </si>
  <si>
    <t xml:space="preserve">           From Related Parties</t>
  </si>
  <si>
    <t xml:space="preserve">                                     Sub Total</t>
  </si>
  <si>
    <t>(B) DEFERRED TAX LIABILITIES (NET):</t>
  </si>
  <si>
    <t>Opening Deferred tax Liability</t>
  </si>
  <si>
    <t xml:space="preserve">Add: </t>
  </si>
  <si>
    <t>Deferred Tax Liability for the year ( Due to SLM and WDV Difference )</t>
  </si>
  <si>
    <t>Deferred Tax Liability for the year ( Due to Others )</t>
  </si>
  <si>
    <t xml:space="preserve"> Advance from Customers</t>
  </si>
  <si>
    <t>(C) OTHER NON CURRENT LIABILITIES</t>
  </si>
  <si>
    <t xml:space="preserve">Short term borrowings  </t>
  </si>
  <si>
    <t xml:space="preserve">         - Secured</t>
  </si>
  <si>
    <t xml:space="preserve">Cash Credits and Working Capital Demand Loan from Banks </t>
  </si>
  <si>
    <t>TOTAL: (A)</t>
  </si>
  <si>
    <t>a) Suppliers</t>
  </si>
  <si>
    <t xml:space="preserve">Other Payables </t>
  </si>
  <si>
    <t>Current maturities of finance lease obligation</t>
  </si>
  <si>
    <t>interest accured but not due on borrowings</t>
  </si>
  <si>
    <t>Deposits</t>
  </si>
  <si>
    <t>Advances received from customers</t>
  </si>
  <si>
    <t xml:space="preserve">Audit Fee Payable </t>
  </si>
  <si>
    <t>Bonus Payable</t>
  </si>
  <si>
    <t>Statutory Liabilities</t>
  </si>
  <si>
    <t>PF &amp; ESI Payable</t>
  </si>
  <si>
    <t>Salaries Payable</t>
  </si>
  <si>
    <t>Spirit to serve charity fund</t>
  </si>
  <si>
    <t>Other Payable (WCT Payable), Ser. Tax Payable etc.</t>
  </si>
  <si>
    <t>Management fee and Consultancy Charges</t>
  </si>
  <si>
    <t>(C) OTHER CURRENT LIABILITIES</t>
  </si>
  <si>
    <t>(D) PROVISION:</t>
  </si>
  <si>
    <t>a) Provisions for employee benefits</t>
  </si>
  <si>
    <t>Provision for pension</t>
  </si>
  <si>
    <t xml:space="preserve">    Provision for accruals</t>
  </si>
  <si>
    <t xml:space="preserve">b) Others </t>
  </si>
  <si>
    <t xml:space="preserve">    Provision for FBT</t>
  </si>
  <si>
    <t xml:space="preserve">    Provision for Bad and Doubtful Debts</t>
  </si>
  <si>
    <t>Provision for Gratuity</t>
  </si>
  <si>
    <t>TOTAL CURRENT ASSETS</t>
  </si>
  <si>
    <t xml:space="preserve">                   (March 31,2022  4,50,00,000  Shares of Rs.10 each)</t>
  </si>
  <si>
    <t xml:space="preserve">                   (March 31,2021  4,50,00,000  Shares of Rs.10 each)</t>
  </si>
  <si>
    <t xml:space="preserve">TOTAL </t>
  </si>
  <si>
    <t>(ii) Trade payables</t>
  </si>
  <si>
    <t>PP&amp;E</t>
  </si>
  <si>
    <t>Years</t>
  </si>
  <si>
    <t>Growth rate YOY</t>
  </si>
  <si>
    <t>Average</t>
  </si>
  <si>
    <t>5 months</t>
  </si>
  <si>
    <t>(a) Inventories</t>
  </si>
  <si>
    <t xml:space="preserve">   (500 NCDs, Face Value - Rs. 10,00,000/- , 14% Interest)</t>
  </si>
  <si>
    <t>Monthly Average</t>
  </si>
  <si>
    <t>Historical Profit &amp; Loss Statement</t>
  </si>
  <si>
    <t xml:space="preserve">M/S Viceroy Hotels Limited </t>
  </si>
  <si>
    <t>Total Income</t>
  </si>
  <si>
    <t>Total expenses</t>
  </si>
  <si>
    <t>EBITDA</t>
  </si>
  <si>
    <t>EBIT</t>
  </si>
  <si>
    <t>Exceptional Items</t>
  </si>
  <si>
    <t xml:space="preserve">Tax expense: </t>
  </si>
  <si>
    <t>EBITDA Margin %</t>
  </si>
  <si>
    <t>EBIT Margin %</t>
  </si>
  <si>
    <t>Net Profit Margin %</t>
  </si>
  <si>
    <t>Revenue Growth % (Y.O.Y.)</t>
  </si>
  <si>
    <t>Other income</t>
  </si>
  <si>
    <t>INCOME</t>
  </si>
  <si>
    <t>EXPENSES</t>
  </si>
  <si>
    <t>Cost of material Consumed</t>
  </si>
  <si>
    <t>Employees benefit Expenses</t>
  </si>
  <si>
    <t>Finance Costs</t>
  </si>
  <si>
    <t>Depreciation and Amortisation Expenses</t>
  </si>
  <si>
    <t>Other Operating and General Expenses</t>
  </si>
  <si>
    <t>Profit/(Loss) before tax</t>
  </si>
  <si>
    <t>Profit (Loss) after Tax for the period</t>
  </si>
  <si>
    <t>Total Comprehensive Income for the year</t>
  </si>
  <si>
    <t>Particular (In Crores)</t>
  </si>
  <si>
    <t>Marriott</t>
  </si>
  <si>
    <t>Courtyard</t>
  </si>
  <si>
    <t>Built up Area</t>
  </si>
  <si>
    <t>Total Rooms</t>
  </si>
  <si>
    <t>Banquet Area</t>
  </si>
  <si>
    <t>No. of Restaurants</t>
  </si>
  <si>
    <t>3.21 Acres</t>
  </si>
  <si>
    <t>2.94 Lakh Sq. ft</t>
  </si>
  <si>
    <t>42,094 Sq.ft</t>
  </si>
  <si>
    <t>1.29 Acres</t>
  </si>
  <si>
    <t>2.67 Lakh Sq. ft</t>
  </si>
  <si>
    <t>196 (112 Operational)</t>
  </si>
  <si>
    <t>8,353 Sq. f</t>
  </si>
  <si>
    <t>NAME OF THE SUBSIDIARIES</t>
  </si>
  <si>
    <t>PROPORTION OF INTEREST</t>
  </si>
  <si>
    <t>Viceroy Chennai Hotels &amp; Resorts Pvt Ltd</t>
  </si>
  <si>
    <t xml:space="preserve">Cafe de lake Pvt. Ltd  </t>
  </si>
  <si>
    <t xml:space="preserve">Crustums Products Pvt. Ltd  </t>
  </si>
  <si>
    <t xml:space="preserve">Minerva Hospitalities Pvt. Ltd  </t>
  </si>
  <si>
    <t xml:space="preserve">Banjara Hospitalities Private Limited  </t>
  </si>
  <si>
    <t>too much variation so constant</t>
  </si>
  <si>
    <t>Tax Rate</t>
  </si>
  <si>
    <t>+</t>
  </si>
  <si>
    <t>+/-</t>
  </si>
  <si>
    <t>Period</t>
  </si>
  <si>
    <t>PV of TV</t>
  </si>
  <si>
    <t>PV OF FCFF+PV OF TV</t>
  </si>
  <si>
    <t>I. ASSETS:</t>
  </si>
  <si>
    <t>1. Non Current Assets:</t>
  </si>
  <si>
    <t>a) Property, Plant and Equipment</t>
  </si>
  <si>
    <t>b) Capital Work in Progress</t>
  </si>
  <si>
    <t>c) Financial Assets</t>
  </si>
  <si>
    <t>i) Non Current Investments</t>
  </si>
  <si>
    <t>e) Other Non Current Assets</t>
  </si>
  <si>
    <t>2. Current Assets:</t>
  </si>
  <si>
    <t>a) Inventories</t>
  </si>
  <si>
    <t>b) Financial Assets</t>
  </si>
  <si>
    <t>ii) Trade Receivables</t>
  </si>
  <si>
    <t>iii) Cash and Cash Equivalents</t>
  </si>
  <si>
    <t>iv) Other Balances with Bank</t>
  </si>
  <si>
    <t>vi) Other Financial Assets</t>
  </si>
  <si>
    <t>c) Other Current Assets</t>
  </si>
  <si>
    <t>(a) Advances other than Capital Advances</t>
  </si>
  <si>
    <t>(b) Other Assets</t>
  </si>
  <si>
    <t>TOTAL ASSETS</t>
  </si>
  <si>
    <t>II. EQUITY AND LIABILITIES:</t>
  </si>
  <si>
    <t>Equity</t>
  </si>
  <si>
    <t>a) Equity Share Capital</t>
  </si>
  <si>
    <t>b) Other Equity</t>
  </si>
  <si>
    <t>Total Equity</t>
  </si>
  <si>
    <t>1. Non Current Liabilities:</t>
  </si>
  <si>
    <t>a) Financial Liabilities</t>
  </si>
  <si>
    <t>i) Borrowings</t>
  </si>
  <si>
    <t>ii) Other Financial Liabilties</t>
  </si>
  <si>
    <t>b)Provisions</t>
  </si>
  <si>
    <t>c) Deferred Tax Liabilities (Net)</t>
  </si>
  <si>
    <t>d) Other Non Current Liabilties</t>
  </si>
  <si>
    <t>2. Current Liabilities:</t>
  </si>
  <si>
    <t>ii) Trade Payables</t>
  </si>
  <si>
    <t>iii) Other Financial Liabilities</t>
  </si>
  <si>
    <t>b) Provisions</t>
  </si>
  <si>
    <t>(i) Current Provisions</t>
  </si>
  <si>
    <t>(ii) Current Tax Liability</t>
  </si>
  <si>
    <t>c) Other Current Liabilities</t>
  </si>
  <si>
    <t>Total Non-Current Liabilities</t>
  </si>
  <si>
    <t>TOTAL EQUITY &amp; LIABILITIES</t>
  </si>
  <si>
    <t>Total Current Liabilities</t>
  </si>
  <si>
    <t>ii) Loans and Advances</t>
  </si>
  <si>
    <t>v) Loans and Advances</t>
  </si>
  <si>
    <t>Net Sales</t>
  </si>
  <si>
    <t>COGS</t>
  </si>
  <si>
    <t>Accounts receivable, net</t>
  </si>
  <si>
    <t>Accounts payable</t>
  </si>
  <si>
    <t>AR as a % of Sales</t>
  </si>
  <si>
    <t>Inventories as a % COGS</t>
  </si>
  <si>
    <t>AP as a % of COGS</t>
  </si>
  <si>
    <t>Gross Opening PP&amp;E</t>
  </si>
  <si>
    <t>CapEx of the year</t>
  </si>
  <si>
    <t xml:space="preserve">Gross Closing PP&amp;E </t>
  </si>
  <si>
    <t>Less: Accumulated Depreciation</t>
  </si>
  <si>
    <t>Net PP&amp;E</t>
  </si>
  <si>
    <t>CapEx as a % of Sales</t>
  </si>
  <si>
    <t>Depreciation of the year</t>
  </si>
  <si>
    <t>Depreciation as a % of Fixed Assets</t>
  </si>
  <si>
    <t>PAT before minority interest</t>
  </si>
  <si>
    <t>Change in AR</t>
  </si>
  <si>
    <t>Change in Inventory</t>
  </si>
  <si>
    <t>Change in Other current assets</t>
  </si>
  <si>
    <t>Change in AP</t>
  </si>
  <si>
    <t>Change in all other assets and Liability</t>
  </si>
  <si>
    <t>Cash from Operations</t>
  </si>
  <si>
    <t>Capex from PP&amp;E</t>
  </si>
  <si>
    <t>Cash from Investments</t>
  </si>
  <si>
    <t>Dividend Paid</t>
  </si>
  <si>
    <t>Option Proceeds</t>
  </si>
  <si>
    <t>Treasury Stock</t>
  </si>
  <si>
    <t>Change in debt</t>
  </si>
  <si>
    <t>Cash From Financing</t>
  </si>
  <si>
    <t>Surplus/Deficit</t>
  </si>
  <si>
    <t>Opening Cash Balance</t>
  </si>
  <si>
    <t>Closing Cash Balance</t>
  </si>
  <si>
    <t>Employees benefit Expenses as a % of Sales</t>
  </si>
  <si>
    <t>Loans and Advances as a % of Total assets</t>
  </si>
  <si>
    <t>Total Assets</t>
  </si>
  <si>
    <t>Depreciation and Amortization expenses</t>
  </si>
  <si>
    <t>Investment</t>
  </si>
  <si>
    <t>Adjustments of fixed Assets</t>
  </si>
  <si>
    <t>(Increase) / Decrease in Long Term Loans &amp; Advances</t>
  </si>
  <si>
    <t>Check</t>
  </si>
  <si>
    <t>Cost of Debt</t>
  </si>
  <si>
    <t>https://in.investing.com/rates-bonds/india-10-year-bond-yield-historical-data</t>
  </si>
  <si>
    <t>https://kunaldesai.blog/nifty-returns/</t>
  </si>
  <si>
    <t>Weighted Average Cost of Capital (WACC)</t>
  </si>
  <si>
    <t>Weightage</t>
  </si>
  <si>
    <t>Required Return</t>
  </si>
  <si>
    <t>Equity Shared Capital</t>
  </si>
  <si>
    <t>Company Risk Premium</t>
  </si>
  <si>
    <t>Appropriate Discount Rate</t>
  </si>
  <si>
    <t>Debt</t>
  </si>
  <si>
    <t>Retained earning</t>
  </si>
  <si>
    <t>Sub Total</t>
  </si>
  <si>
    <t>Reserve and Security Premium Account</t>
  </si>
  <si>
    <t>Discount Factor</t>
  </si>
  <si>
    <t>Working Capital Schedule</t>
  </si>
  <si>
    <t>CALCULATION OF FREE CASH FLOW TO FIRM (FCFF)</t>
  </si>
  <si>
    <t>NOPAT = EBIT*(1+T)</t>
  </si>
  <si>
    <t>Add: Depreciation &amp; Amortization</t>
  </si>
  <si>
    <t>Less: Changes in Working Capital</t>
  </si>
  <si>
    <t>Less: CAPEX</t>
  </si>
  <si>
    <t>Unlevered Free Cash Flow (UFCF)/ FCFF</t>
  </si>
  <si>
    <t>Discount Rate (WACC)</t>
  </si>
  <si>
    <t>Perpetual Growth Rate</t>
  </si>
  <si>
    <t>Terminal Value (TV)</t>
  </si>
  <si>
    <t>Present Value (PV) of FCFF</t>
  </si>
  <si>
    <t>Enterprise Value (EV) of the Firm</t>
  </si>
  <si>
    <t>Enterprise Value Of the Firm</t>
  </si>
  <si>
    <t>Crores</t>
  </si>
  <si>
    <t>Sensitivity Analysis</t>
  </si>
  <si>
    <t>INPUTS</t>
  </si>
  <si>
    <t>Valuation Date</t>
  </si>
  <si>
    <t>Discount Rate</t>
  </si>
  <si>
    <t>Discount Rate Change</t>
  </si>
  <si>
    <t>Scenario</t>
  </si>
  <si>
    <t>Enterprise Value</t>
  </si>
  <si>
    <t>Bull Case</t>
  </si>
  <si>
    <t>Present Case</t>
  </si>
  <si>
    <t>Bear Case</t>
  </si>
  <si>
    <t>Growth Rate</t>
  </si>
  <si>
    <t>WACC</t>
  </si>
  <si>
    <t>CALCULATION OF WEIGHTED AVERAGE COST OF CAPITAL (WACC)</t>
  </si>
  <si>
    <t xml:space="preserve">Working Capital </t>
  </si>
  <si>
    <t>Change in current assets - Change in current liabilities</t>
  </si>
  <si>
    <t>CALENDAR 2019 -63.8%</t>
  </si>
  <si>
    <t>CALENDAR 2020   29%</t>
  </si>
  <si>
    <t>CALENDAR 2021  37.7%</t>
  </si>
  <si>
    <t>CALENDER 2022 TILL AUGUST 22 &gt; 51%</t>
  </si>
  <si>
    <t>Calandar Years</t>
  </si>
  <si>
    <t>Occupancy Rates</t>
  </si>
  <si>
    <t>Till August Less then 51%</t>
  </si>
  <si>
    <t>Sale of products</t>
  </si>
  <si>
    <t>Sale of servicas</t>
  </si>
  <si>
    <t>Other operating revenues</t>
  </si>
  <si>
    <t>Purchases of stock-in-trade</t>
  </si>
  <si>
    <t>Changes in inventories</t>
  </si>
  <si>
    <t>Current Tax MAT Credit Written off</t>
  </si>
  <si>
    <t>CAGR</t>
  </si>
  <si>
    <t>range is 40% to 60%</t>
  </si>
  <si>
    <t>Inputs</t>
  </si>
  <si>
    <t>Cost of Equity (Nifty 50 10-year Return)</t>
  </si>
  <si>
    <t>Net working capital</t>
  </si>
  <si>
    <t>FCFF for Remaining Year</t>
  </si>
  <si>
    <t>M/S NSL Textiles Private Limited</t>
  </si>
  <si>
    <t>Debt and Debt equivalents</t>
  </si>
  <si>
    <t>cash and cash equivalents</t>
  </si>
  <si>
    <t>Equity Value of the Firm</t>
  </si>
  <si>
    <t>Crs</t>
  </si>
  <si>
    <t>Diluted No of Shares</t>
  </si>
  <si>
    <t>Share Price</t>
  </si>
  <si>
    <t xml:space="preserve">INR NINE HUNDRED NINTY FOUR CRORES AND THIRTY EIGHT LAKHS </t>
  </si>
  <si>
    <t xml:space="preserve">Current Tax </t>
  </si>
  <si>
    <t>7-8%</t>
  </si>
  <si>
    <t>Cash Credit Facility</t>
  </si>
  <si>
    <t>Opening Balance</t>
  </si>
  <si>
    <t>Interest</t>
  </si>
  <si>
    <t xml:space="preserve">Repayment </t>
  </si>
  <si>
    <t>Principal</t>
  </si>
  <si>
    <t>Closing Balance</t>
  </si>
  <si>
    <t>OCD</t>
  </si>
  <si>
    <t>Loan for Capex</t>
  </si>
  <si>
    <t>Annual Capex</t>
  </si>
  <si>
    <t>Amount Borrowings</t>
  </si>
  <si>
    <t>Interest on Loan</t>
  </si>
  <si>
    <t>Balance Sheet</t>
  </si>
  <si>
    <t>NSL TEXTILES LIMITED</t>
  </si>
  <si>
    <t>2018-19</t>
  </si>
  <si>
    <t>2019-20</t>
  </si>
  <si>
    <t>2020-21</t>
  </si>
  <si>
    <t>2021-22</t>
  </si>
  <si>
    <t>2022-23</t>
  </si>
  <si>
    <t>2023-24</t>
  </si>
  <si>
    <t>Aud</t>
  </si>
  <si>
    <t>ESTI</t>
  </si>
  <si>
    <t>CURRENT LIABILITIES</t>
  </si>
  <si>
    <t xml:space="preserve"> Short-term borrowings from </t>
  </si>
  <si>
    <t>banks(including bills purchased,</t>
  </si>
  <si>
    <t>discounted &amp; excess borrowing</t>
  </si>
  <si>
    <t>placed on repayment basis)</t>
  </si>
  <si>
    <t>(i.)  From applicant banks</t>
  </si>
  <si>
    <t>(ii.) From other banks</t>
  </si>
  <si>
    <t xml:space="preserve">(iii) Of which BP &amp; BD </t>
  </si>
  <si>
    <t xml:space="preserve">          SUB TOTAL</t>
  </si>
  <si>
    <t>Short term borrowings from others</t>
  </si>
  <si>
    <t>Sundry Creditors (Trade)</t>
  </si>
  <si>
    <t>Advance payments from custo-</t>
  </si>
  <si>
    <t>mers/deposits from dealers</t>
  </si>
  <si>
    <t>Provision for taxes</t>
  </si>
  <si>
    <t>Inter-Corporate Deposits</t>
  </si>
  <si>
    <t>Other statutory liabilities</t>
  </si>
  <si>
    <t>(due within one year)</t>
  </si>
  <si>
    <t>Deposits/instalments of term</t>
  </si>
  <si>
    <t>loans/DPGs/Debentures,etc.</t>
  </si>
  <si>
    <t>Other current liabilities &amp;</t>
  </si>
  <si>
    <t>provisions(due within 1 Yr)</t>
  </si>
  <si>
    <t xml:space="preserve">    (specify major items)</t>
  </si>
  <si>
    <t>Interest accrued</t>
  </si>
  <si>
    <t>Deferred Payments due</t>
  </si>
  <si>
    <t>TL overdues</t>
  </si>
  <si>
    <t>Others</t>
  </si>
  <si>
    <t xml:space="preserve">    SUB-TOTAL (B)</t>
  </si>
  <si>
    <t xml:space="preserve">           TERM    LIABILITIES</t>
  </si>
  <si>
    <t>Creditors for capital goods</t>
  </si>
  <si>
    <t>Long term provisions</t>
  </si>
  <si>
    <t>DTL</t>
  </si>
  <si>
    <t>Term loans(excluding instalment)</t>
  </si>
  <si>
    <t>payable within one year)</t>
  </si>
  <si>
    <t>Optionally Convertible Debentures issued to lenders</t>
  </si>
  <si>
    <t>Deferred Payment Credits &amp; Buyers</t>
  </si>
  <si>
    <t>Credit (excluding instalments due</t>
  </si>
  <si>
    <t>within one year)</t>
  </si>
  <si>
    <t>Term deposits (repayable</t>
  </si>
  <si>
    <t>after one year)</t>
  </si>
  <si>
    <t>Other term liabilities-Unsec. Deposits &amp; OCDS</t>
  </si>
  <si>
    <t>TOTAL TERM LIABILITIES</t>
  </si>
  <si>
    <t xml:space="preserve">TOTAL OUTSIDE LIABILITIES </t>
  </si>
  <si>
    <t xml:space="preserve">           NET WORTH</t>
  </si>
  <si>
    <t xml:space="preserve">         -------------------------</t>
  </si>
  <si>
    <t>Ordinary share capital</t>
  </si>
  <si>
    <t>General reserve</t>
  </si>
  <si>
    <t>Revaluation reserve</t>
  </si>
  <si>
    <t>Securities premium</t>
  </si>
  <si>
    <t>Surplus (+) or deficit (-) in</t>
  </si>
  <si>
    <t>Profit &amp; Loss Account</t>
  </si>
  <si>
    <t>Others (specify)</t>
  </si>
  <si>
    <t>Deferred Premiums on OCD's</t>
  </si>
  <si>
    <t>Compulasrily convertible debentures</t>
  </si>
  <si>
    <t>Government grants</t>
  </si>
  <si>
    <t>Debenture Redumption Reserve</t>
  </si>
  <si>
    <t>NET WORTH</t>
  </si>
  <si>
    <t>Cash and bank balances</t>
  </si>
  <si>
    <t xml:space="preserve"> Fixed Deposits with Banks  -DSRA Rs 10cr &amp; Bal LC margin money</t>
  </si>
  <si>
    <t xml:space="preserve"> (i)  Receivables other than </t>
  </si>
  <si>
    <t xml:space="preserve">      deferred &amp; exports (include </t>
  </si>
  <si>
    <t xml:space="preserve">      bills purchased and </t>
  </si>
  <si>
    <t xml:space="preserve">      discounted by Banks)</t>
  </si>
  <si>
    <t>(ii)  Export receivables(include</t>
  </si>
  <si>
    <t xml:space="preserve">      discounted by banks) </t>
  </si>
  <si>
    <t xml:space="preserve">Instalments of deferred </t>
  </si>
  <si>
    <t>receivables(due with in one yr.)</t>
  </si>
  <si>
    <t>Inventory:</t>
  </si>
  <si>
    <t>(i)Raw materials(including stores</t>
  </si>
  <si>
    <t xml:space="preserve">   &amp; other items used in the </t>
  </si>
  <si>
    <t xml:space="preserve">   process of manufacture)</t>
  </si>
  <si>
    <t xml:space="preserve">     (a) Imported</t>
  </si>
  <si>
    <t xml:space="preserve">     (b) Indigenous</t>
  </si>
  <si>
    <t xml:space="preserve">(ii) Stock-In-Process </t>
  </si>
  <si>
    <t>(iii) Finished goods</t>
  </si>
  <si>
    <t>(iv) Other Consumable Spares</t>
  </si>
  <si>
    <t xml:space="preserve">        (a) Imported</t>
  </si>
  <si>
    <t xml:space="preserve">        (b) Indigenous)</t>
  </si>
  <si>
    <t>Advance to suppliers of raw</t>
  </si>
  <si>
    <t>materials &amp; stores and spares</t>
  </si>
  <si>
    <t>Advance payment of taxes</t>
  </si>
  <si>
    <t xml:space="preserve">Other Current assets </t>
  </si>
  <si>
    <t>Other current assets</t>
  </si>
  <si>
    <t>Central Excise Receivable</t>
  </si>
  <si>
    <t xml:space="preserve">        FIXED ASSETS</t>
  </si>
  <si>
    <t>Gross Block(Land &amp; Building machinery, work-in-process)</t>
  </si>
  <si>
    <t>Capital Expenditure</t>
  </si>
  <si>
    <t>Depreciation to date</t>
  </si>
  <si>
    <t>NET BLOCK</t>
  </si>
  <si>
    <t>Investment/bookdebts/advances/</t>
  </si>
  <si>
    <t>deposits which are not current</t>
  </si>
  <si>
    <t>assets</t>
  </si>
  <si>
    <t>(i)  a) Investment in subsidiary</t>
  </si>
  <si>
    <t xml:space="preserve">         Co./affiliates</t>
  </si>
  <si>
    <t xml:space="preserve">     b) Other Investments</t>
  </si>
  <si>
    <t xml:space="preserve">(ii) Advances to suppliers of </t>
  </si>
  <si>
    <t xml:space="preserve">     capital goods &amp; contractors</t>
  </si>
  <si>
    <t>(iii)Deferred receivables (maturity</t>
  </si>
  <si>
    <t xml:space="preserve">      exceeding one year)</t>
  </si>
  <si>
    <t>(iv)Others (a) Debtors&gt; 6 months</t>
  </si>
  <si>
    <t xml:space="preserve">               (b) Security Deposits</t>
  </si>
  <si>
    <t xml:space="preserve">               (c) Others </t>
  </si>
  <si>
    <t>Non-consumables stores &amp;</t>
  </si>
  <si>
    <t>spares</t>
  </si>
  <si>
    <t xml:space="preserve">Other non-current assets incl- </t>
  </si>
  <si>
    <t>uding dues from Directors</t>
  </si>
  <si>
    <t>TOTAL OTHER NON-CURR. ASSETS</t>
  </si>
  <si>
    <t xml:space="preserve">Intangible assets (patents, </t>
  </si>
  <si>
    <t xml:space="preserve">goodwill, prelim.expenses, bad/ </t>
  </si>
  <si>
    <t>doubtful exp.not provided for etc)</t>
  </si>
  <si>
    <t>TOTAL ASSETS(34+37+41+42)</t>
  </si>
  <si>
    <t xml:space="preserve">FY Ending </t>
  </si>
  <si>
    <t xml:space="preserve">Days in Year </t>
  </si>
  <si>
    <t>Rs. Cr.</t>
  </si>
  <si>
    <t>Revenue from Finished Goods</t>
  </si>
  <si>
    <t>Trade Receivable Days</t>
  </si>
  <si>
    <t>Days</t>
  </si>
  <si>
    <t>Cost of Materials Consumed</t>
  </si>
  <si>
    <t>Inventory Days</t>
  </si>
  <si>
    <t>Trade Payables</t>
  </si>
  <si>
    <t>Trade Payable Days</t>
  </si>
  <si>
    <t xml:space="preserve">Cost of Materials Consumed </t>
  </si>
  <si>
    <t>D_S_O</t>
  </si>
  <si>
    <t>D_I_O</t>
  </si>
  <si>
    <t>D_P_O</t>
  </si>
  <si>
    <t>Days sales outstanding</t>
  </si>
  <si>
    <t>Days inventory outstanding</t>
  </si>
  <si>
    <t>Days payable outstanding</t>
  </si>
  <si>
    <t>Net Working Capital</t>
  </si>
  <si>
    <t>INR Crore</t>
  </si>
  <si>
    <t>Total Revenue</t>
  </si>
  <si>
    <t>NWC</t>
  </si>
  <si>
    <t>Addition</t>
  </si>
  <si>
    <t>Revenue Earned</t>
  </si>
  <si>
    <t>Raw Material paid cost</t>
  </si>
  <si>
    <t>Amount Payable</t>
  </si>
  <si>
    <t>Change in Working Capital</t>
  </si>
  <si>
    <t>JINDAL INDIA THERMAL POWER LIMITED</t>
  </si>
  <si>
    <t>No. days</t>
  </si>
  <si>
    <t>Total No. days</t>
  </si>
  <si>
    <t>Salvage
value</t>
  </si>
  <si>
    <t>Life/ Depreciation %</t>
  </si>
  <si>
    <t>(Rs. In Lakhs)</t>
  </si>
  <si>
    <t>Done</t>
  </si>
  <si>
    <t>Gross Block</t>
  </si>
  <si>
    <t>Deduction</t>
  </si>
  <si>
    <t>Depreciation</t>
  </si>
  <si>
    <t>Asset Write off (Net block)</t>
  </si>
  <si>
    <t>Accumulated Depreciation</t>
  </si>
  <si>
    <t>Net Block</t>
  </si>
  <si>
    <t>Furniture and Fixtures</t>
  </si>
  <si>
    <t>Office Equipments</t>
  </si>
  <si>
    <t>Computers</t>
  </si>
  <si>
    <t>Motor Vehicle</t>
  </si>
  <si>
    <t>Capex During the year</t>
  </si>
  <si>
    <t>Revenue from Salvage Value</t>
  </si>
  <si>
    <t>Depreciation for the year</t>
  </si>
  <si>
    <t>WPI Calculations</t>
  </si>
  <si>
    <t>COMM_NAME</t>
  </si>
  <si>
    <t>INDEX2011-2012 (Base Case)</t>
  </si>
  <si>
    <t>2012-13</t>
  </si>
  <si>
    <t>2013-14</t>
  </si>
  <si>
    <t>2014-15</t>
  </si>
  <si>
    <t>2015-16</t>
  </si>
  <si>
    <t>2016-17</t>
  </si>
  <si>
    <t>2017-18</t>
  </si>
  <si>
    <t>All commodities</t>
  </si>
  <si>
    <t>Compounded WPI from 2012-13 to 2018-19 is 2.61%</t>
  </si>
  <si>
    <t>Expected WPI</t>
  </si>
  <si>
    <t>Escalation Rate for Capital Assets</t>
  </si>
  <si>
    <t>%</t>
  </si>
  <si>
    <t>Freehold Land and Freehold land given on operating lease</t>
  </si>
  <si>
    <t>Factory Buildings</t>
  </si>
  <si>
    <t>Tools and Templates</t>
  </si>
  <si>
    <t>Electrical Installations</t>
  </si>
  <si>
    <t>Long term Borrowings</t>
  </si>
  <si>
    <t>Term loans from banks</t>
  </si>
  <si>
    <t>Optionally convertible debentures held by lender banks</t>
  </si>
  <si>
    <t>Secured (Refer Note 28)</t>
  </si>
  <si>
    <t>Unsecured (Refer Note 28 &amp; 41)</t>
  </si>
  <si>
    <t>Optionally convertible debentures held by related parties</t>
  </si>
  <si>
    <t>Compulsorily convertible debentures held by related parties</t>
  </si>
  <si>
    <t>Inter-corporate deposits due to related parties</t>
  </si>
  <si>
    <t>Short-term borrowings</t>
  </si>
  <si>
    <t>Loans from banks {Refer Note 28}</t>
  </si>
  <si>
    <t>Cash credit facility</t>
  </si>
  <si>
    <t>Current maturities of long-term borrowings (Refer Note 5)</t>
  </si>
  <si>
    <t>24-25</t>
  </si>
  <si>
    <t>Repayment</t>
  </si>
  <si>
    <t>30-31</t>
  </si>
  <si>
    <t>Deposits/instalments of term loans/DPGs/Debentures,etc. (due within one year)</t>
  </si>
  <si>
    <t>Less: Present Value of balance OCD repayment after 31st March 2030</t>
  </si>
  <si>
    <t>In Crs</t>
  </si>
  <si>
    <t>Outstanding Amount</t>
  </si>
  <si>
    <t xml:space="preserve">Opening balance </t>
  </si>
  <si>
    <t>Principal Payment</t>
  </si>
  <si>
    <t xml:space="preserve">Interest payment </t>
  </si>
  <si>
    <t>INR in Crs</t>
  </si>
  <si>
    <t>FY 24</t>
  </si>
  <si>
    <t>FY 25</t>
  </si>
  <si>
    <t>FY 26</t>
  </si>
  <si>
    <t>FY 27</t>
  </si>
  <si>
    <t>FY 28</t>
  </si>
  <si>
    <t>FY 29</t>
  </si>
  <si>
    <t>FY 30</t>
  </si>
  <si>
    <t>Revenue from Operations (A)</t>
  </si>
  <si>
    <t>YoY Growth</t>
  </si>
  <si>
    <t>Total Expenses (B)</t>
  </si>
  <si>
    <t>EBIDTA (A-B)</t>
  </si>
  <si>
    <t>EBITDA Margin</t>
  </si>
  <si>
    <t>Less  Interest</t>
  </si>
  <si>
    <t>Less: Increase/(Decrease) in Working Capital</t>
  </si>
  <si>
    <t>Less: Capex</t>
  </si>
  <si>
    <t>Less: (Increase)/Decrease in Borrowings</t>
  </si>
  <si>
    <t>Free Cash Flow to Equity &amp; CCD</t>
  </si>
  <si>
    <t xml:space="preserve">Remaning Period from 30th Sept 2023 </t>
  </si>
  <si>
    <t>Cashflow Attributable to projected period after 30th Sept 2023</t>
  </si>
  <si>
    <t>Cost of Equity</t>
  </si>
  <si>
    <t>Cash Accrual Factor</t>
  </si>
  <si>
    <t xml:space="preserve">Discounting Factor  </t>
  </si>
  <si>
    <t>Present Value of FCFE</t>
  </si>
  <si>
    <t>Calculation of Terminal Value</t>
  </si>
  <si>
    <t>Growth Rate assumed</t>
  </si>
  <si>
    <t>Terminal Value of FCFE</t>
  </si>
  <si>
    <t xml:space="preserve">Present Value of Terminal Value  </t>
  </si>
  <si>
    <t>Add: Present Value of FCFE</t>
  </si>
  <si>
    <t>Add: Cash &amp; Cash Equivalent</t>
  </si>
  <si>
    <t>Enterprise Value of Company</t>
  </si>
  <si>
    <t>Value of issued Equity shares &amp; CCD</t>
  </si>
  <si>
    <t>Less: Value of CCDs issued as on 30th September 2023</t>
  </si>
  <si>
    <t>Value of issued Equity shares</t>
  </si>
  <si>
    <t>No of Issued Equity shares of NSL Textiles (Crore)</t>
  </si>
  <si>
    <t xml:space="preserve">Value per equity share of NSL textile </t>
  </si>
  <si>
    <t xml:space="preserve">  </t>
  </si>
  <si>
    <t>Net Borrowing</t>
  </si>
  <si>
    <t>Change in Borrowing</t>
  </si>
  <si>
    <t>Less: TAX@33.38%</t>
  </si>
  <si>
    <t>Discount rate</t>
  </si>
  <si>
    <t>INR in lacs</t>
  </si>
  <si>
    <t>WACC Calculation</t>
  </si>
  <si>
    <t>Incremental Cost of Debt</t>
  </si>
  <si>
    <t>Proportion of Debt</t>
  </si>
  <si>
    <t>Tax</t>
  </si>
  <si>
    <t>Discounting factor</t>
  </si>
  <si>
    <t>Expected growth rate(Terminal)</t>
  </si>
  <si>
    <t>Target</t>
  </si>
  <si>
    <t>Damodaran - Green &amp; Renewable Energy</t>
  </si>
  <si>
    <t>Unlevered Beta - Industry</t>
  </si>
  <si>
    <t>Relevered Beta</t>
  </si>
  <si>
    <t>Industry</t>
  </si>
  <si>
    <t>Cost of Equity (Ke)</t>
  </si>
  <si>
    <t>Risk Free Rate (Rfr)</t>
  </si>
  <si>
    <t>RBI - 10-Year G-Sec Par Yield (FBIL) - 15 March 2024</t>
  </si>
  <si>
    <t>Market Return (Rm)</t>
  </si>
  <si>
    <t>Sum if Risk Free Rate and Market Risk Premium</t>
  </si>
  <si>
    <t>Market Risk Premium</t>
  </si>
  <si>
    <t>Damodaran ERP India Jan 2024</t>
  </si>
  <si>
    <t>Levered Beta</t>
  </si>
  <si>
    <t xml:space="preserve"> </t>
  </si>
  <si>
    <t>Additional Risk Premium</t>
  </si>
  <si>
    <t>Higher CSRP on account of new business</t>
  </si>
  <si>
    <t>Cost of Debt (Kd)</t>
  </si>
  <si>
    <t>Pre Tax - Cost of Debt (Kd)</t>
  </si>
  <si>
    <t>Cost of Debt - Pre Tax</t>
  </si>
  <si>
    <t>Marginal tax rate</t>
  </si>
  <si>
    <t>To be considered from Tax Workings Sheet</t>
  </si>
  <si>
    <t>Post Tax - Cost of Debt (Kd)</t>
  </si>
  <si>
    <t>Debt / Equity</t>
  </si>
  <si>
    <t>Rounded off WACC</t>
  </si>
  <si>
    <t xml:space="preserve">Project IRR </t>
  </si>
  <si>
    <t>Particulars (Rs in lacs)</t>
  </si>
  <si>
    <t>Period (Months)</t>
  </si>
  <si>
    <t>Less: Taxes</t>
  </si>
  <si>
    <t>Add: Depreciation &amp; Amortisation</t>
  </si>
  <si>
    <t>Gross Cash Flow</t>
  </si>
  <si>
    <t>Increase/(Decrease) in working capital</t>
  </si>
  <si>
    <t>Capex/ (salvage value)</t>
  </si>
  <si>
    <t>Free Cash Flow to Firm (FCFF)</t>
  </si>
  <si>
    <t>Project IRR (Post-tax)</t>
  </si>
  <si>
    <t>Discount period</t>
  </si>
  <si>
    <t>PV of FCF</t>
  </si>
  <si>
    <t>Terminal Value</t>
  </si>
  <si>
    <t>PV of Terminal Value</t>
  </si>
  <si>
    <t>PV of FCF+ PV of Terminal Value</t>
  </si>
  <si>
    <t>NPV</t>
  </si>
  <si>
    <t>Year</t>
  </si>
  <si>
    <t>No. Of Years</t>
  </si>
  <si>
    <t>Cash Accrual</t>
  </si>
  <si>
    <t>Accumulated Cash Accrual</t>
  </si>
  <si>
    <t>TPC</t>
  </si>
  <si>
    <t>Payback Period</t>
  </si>
  <si>
    <t>D/E</t>
  </si>
  <si>
    <t>TV</t>
  </si>
  <si>
    <t>PV (FCFE+ TV)</t>
  </si>
  <si>
    <t>Equity value</t>
  </si>
  <si>
    <t>Total Expenses</t>
  </si>
  <si>
    <t>No of outstanding Equity shares of NSL Textiles (Crore)</t>
  </si>
  <si>
    <t>Equity Value of Company</t>
  </si>
  <si>
    <t>Less: Interest</t>
  </si>
  <si>
    <t>Present Value of TV</t>
  </si>
  <si>
    <t>Add: Debt and Debt equivalents</t>
  </si>
  <si>
    <t>Less: Cash &amp; Cash Equivalent</t>
  </si>
  <si>
    <t>FY 2024 Prov.</t>
  </si>
  <si>
    <t>PV of FCFF + PV of TV</t>
  </si>
  <si>
    <t>Total PV of FCFE and TV</t>
  </si>
  <si>
    <t>SENSITIVITY ANALYSIS</t>
  </si>
  <si>
    <t>Discount Rate (Cost of Equity)</t>
  </si>
  <si>
    <t>Expected Market Return (Rm) Nifty Fifty 10-year return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</si>
</sst>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3" formatCode="_ * #,##0.00_ ;_ * \-#,##0.00_ ;_ * &quot;-&quot;??_ ;_ @_ "/>
    <numFmt numFmtId="164" formatCode="_(&quot;$&quot;* #,##0.00_);_(&quot;$&quot;* \(#,##0.00\);_(&quot;$&quot;* &quot;-&quot;??_);_(@_)"/>
    <numFmt numFmtId="165" formatCode="_(* #,##0.00_);_(* \(#,##0.00\);_(* &quot;-&quot;??_);_(@_)"/>
    <numFmt numFmtId="166" formatCode="0.00_);\(0.00\)"/>
    <numFmt numFmtId="167" formatCode="_ &quot;₹&quot;\ * #,##0_ ;_ &quot;₹&quot;\ * \-#,##0_ ;_ &quot;₹&quot;\ * &quot;-&quot;??_ ;_ @_ "/>
    <numFmt numFmtId="168" formatCode="_(* #,##0_);_(* \(#,##0\);_(* &quot;-&quot;??_);_(@_)"/>
    <numFmt numFmtId="169" formatCode="&quot;FY&quot;\ 0"/>
    <numFmt numFmtId="170" formatCode="0.000"/>
    <numFmt numFmtId="171" formatCode="_ &quot;Rs.&quot;\ * #,##0.00_ ;_ &quot;Rs.&quot;\ * \-#,##0.00_ ;_ &quot;Rs.&quot;\ * &quot;-&quot;??_ ;_ @_ "/>
    <numFmt numFmtId="172" formatCode="_ * #,##0_ ;_ * \-#,##0_ ;_ * &quot;-&quot;??_ ;_ @_ "/>
    <numFmt numFmtId="173" formatCode="dd\.mm\.yyyy"/>
    <numFmt numFmtId="174" formatCode="_-* #,##0_-;\-* #,##0_-;_-* &quot;-&quot;??_-;_-@_-"/>
    <numFmt numFmtId="175" formatCode="&quot;FY&quot;\ 0\ &quot;E&quot;"/>
    <numFmt numFmtId="176" formatCode="&quot;FY&quot;\ 0\ &quot;A&quot;"/>
    <numFmt numFmtId="177" formatCode="0_);\(0\)"/>
    <numFmt numFmtId="178" formatCode="0.00000"/>
    <numFmt numFmtId="179" formatCode="0.0%"/>
    <numFmt numFmtId="180" formatCode="[$-409]mmm\-yy;@"/>
    <numFmt numFmtId="181" formatCode="dd\ mmm\ yyyy"/>
    <numFmt numFmtId="182" formatCode="[$-409]d\-mmm\-yy;@"/>
    <numFmt numFmtId="183" formatCode="0.0000"/>
    <numFmt numFmtId="184" formatCode="_-* #,##0.00\ [$€]_-;\-* #,##0.00\ [$€]_-;_-* &quot;-&quot;??\ [$€]_-;_-@_-"/>
    <numFmt numFmtId="185" formatCode="0.0"/>
    <numFmt numFmtId="186" formatCode="0.000%"/>
    <numFmt numFmtId="187" formatCode="0.0_);\(0.0\)"/>
    <numFmt numFmtId="188" formatCode="0.0000000%"/>
  </numFmts>
  <fonts count="105">
    <font>
      <sz val="11"/>
      <color theme="1"/>
      <name val="Calibri"/>
      <family val="2"/>
      <scheme val="minor"/>
    </font>
    <font>
      <b/>
      <sz val="11"/>
      <color theme="0"/>
      <name val="Calibri"/>
      <family val="2"/>
      <scheme val="minor"/>
    </font>
    <font>
      <b/>
      <sz val="11"/>
      <color theme="1"/>
      <name val="Calibri"/>
      <family val="2"/>
      <scheme val="minor"/>
    </font>
    <font>
      <b/>
      <sz val="14"/>
      <color rgb="FFC00000"/>
      <name val="Calibri"/>
      <family val="2"/>
      <scheme val="minor"/>
    </font>
    <font>
      <b/>
      <sz val="13"/>
      <color theme="1"/>
      <name val="Calibri"/>
      <family val="2"/>
      <scheme val="minor"/>
    </font>
    <font>
      <sz val="11"/>
      <color theme="0"/>
      <name val="Calibri"/>
      <family val="2"/>
      <scheme val="minor"/>
    </font>
    <font>
      <b/>
      <sz val="12"/>
      <color theme="0"/>
      <name val="Calibri"/>
      <family val="2"/>
      <scheme val="minor"/>
    </font>
    <font>
      <b/>
      <sz val="11"/>
      <color rgb="FFC00000"/>
      <name val="Calibri"/>
      <family val="2"/>
      <scheme val="minor"/>
    </font>
    <font>
      <b/>
      <sz val="12"/>
      <color rgb="FFC00000"/>
      <name val="Calibri"/>
      <family val="2"/>
      <scheme val="minor"/>
    </font>
    <font>
      <sz val="11"/>
      <color theme="1"/>
      <name val="Calibri"/>
      <family val="2"/>
      <scheme val="minor"/>
    </font>
    <font>
      <sz val="11"/>
      <name val="Calibri"/>
      <family val="2"/>
    </font>
    <font>
      <sz val="11"/>
      <name val="Arial Narrow"/>
      <family val="2"/>
    </font>
    <font>
      <b/>
      <sz val="11"/>
      <name val="Arial Narrow"/>
      <family val="2"/>
    </font>
    <font>
      <b/>
      <sz val="10"/>
      <name val="Arial"/>
      <family val="2"/>
    </font>
    <font>
      <sz val="10"/>
      <name val="Arial Narrow"/>
      <family val="2"/>
    </font>
    <font>
      <sz val="12"/>
      <name val="Arial Narrow"/>
      <family val="2"/>
    </font>
    <font>
      <b/>
      <sz val="10"/>
      <name val="Arial Narrow"/>
      <family val="2"/>
    </font>
    <font>
      <sz val="11"/>
      <name val="Calibri"/>
      <family val="2"/>
      <scheme val="minor"/>
    </font>
    <font>
      <b/>
      <sz val="11"/>
      <name val="Calibri"/>
      <family val="2"/>
      <scheme val="minor"/>
    </font>
    <font>
      <sz val="9"/>
      <color indexed="81"/>
      <name val="Tahoma"/>
      <family val="2"/>
    </font>
    <font>
      <b/>
      <sz val="9"/>
      <color indexed="81"/>
      <name val="Tahoma"/>
      <family val="2"/>
    </font>
    <font>
      <sz val="11"/>
      <color rgb="FFFFFFFF"/>
      <name val="Roboto"/>
    </font>
    <font>
      <sz val="11"/>
      <color rgb="FF4A4A4A"/>
      <name val="Roboto"/>
    </font>
    <font>
      <sz val="11"/>
      <color rgb="FF03050A"/>
      <name val="Roboto"/>
    </font>
    <font>
      <sz val="11"/>
      <color rgb="FFFFFFFF"/>
      <name val="Calibri"/>
      <family val="2"/>
      <scheme val="minor"/>
    </font>
    <font>
      <sz val="11"/>
      <color rgb="FF4A4A4A"/>
      <name val="Calibri"/>
      <family val="2"/>
      <scheme val="minor"/>
    </font>
    <font>
      <b/>
      <sz val="11"/>
      <color rgb="FF4A4A4A"/>
      <name val="Calibri"/>
      <family val="2"/>
      <scheme val="minor"/>
    </font>
    <font>
      <b/>
      <sz val="11"/>
      <color rgb="FFFFFFFF"/>
      <name val="Calibri"/>
      <family val="2"/>
      <scheme val="minor"/>
    </font>
    <font>
      <sz val="10"/>
      <name val="Arial"/>
      <family val="2"/>
    </font>
    <font>
      <b/>
      <sz val="11"/>
      <name val="Calibri"/>
      <family val="2"/>
    </font>
    <font>
      <b/>
      <sz val="10"/>
      <color theme="0"/>
      <name val="Arial"/>
      <family val="2"/>
    </font>
    <font>
      <sz val="10"/>
      <color theme="0"/>
      <name val="Arial"/>
      <family val="2"/>
    </font>
    <font>
      <sz val="11"/>
      <name val="Tahoma"/>
      <family val="2"/>
    </font>
    <font>
      <b/>
      <sz val="9"/>
      <color theme="0"/>
      <name val="Arial"/>
      <family val="2"/>
    </font>
    <font>
      <sz val="9"/>
      <color theme="1"/>
      <name val="Arial"/>
      <family val="2"/>
    </font>
    <font>
      <i/>
      <sz val="9"/>
      <color theme="1"/>
      <name val="Arial"/>
      <family val="2"/>
    </font>
    <font>
      <b/>
      <sz val="9"/>
      <color theme="1"/>
      <name val="Arial"/>
      <family val="2"/>
    </font>
    <font>
      <b/>
      <sz val="9"/>
      <name val="Arial"/>
      <family val="2"/>
    </font>
    <font>
      <sz val="9"/>
      <color rgb="FF000000"/>
      <name val="Arial"/>
      <family val="2"/>
    </font>
    <font>
      <sz val="9"/>
      <name val="Arial"/>
      <family val="2"/>
    </font>
    <font>
      <i/>
      <sz val="9"/>
      <color rgb="FF00B0F0"/>
      <name val="Arial"/>
      <family val="2"/>
    </font>
    <font>
      <b/>
      <i/>
      <sz val="9"/>
      <color theme="1"/>
      <name val="Arial"/>
      <family val="2"/>
    </font>
    <font>
      <i/>
      <sz val="9"/>
      <name val="Arial"/>
      <family val="2"/>
    </font>
    <font>
      <sz val="9"/>
      <color rgb="FF00B0F0"/>
      <name val="Arial"/>
      <family val="2"/>
    </font>
    <font>
      <b/>
      <sz val="9"/>
      <color rgb="FF000000"/>
      <name val="Arial"/>
      <family val="2"/>
    </font>
    <font>
      <sz val="9"/>
      <name val="Arial MT"/>
    </font>
    <font>
      <sz val="9"/>
      <name val="Arial MT"/>
      <family val="2"/>
    </font>
    <font>
      <b/>
      <i/>
      <sz val="9"/>
      <color theme="0"/>
      <name val="Arial"/>
      <family val="2"/>
    </font>
    <font>
      <b/>
      <i/>
      <sz val="9"/>
      <name val="Arial"/>
      <family val="2"/>
    </font>
    <font>
      <sz val="11"/>
      <color theme="1"/>
      <name val="Arial"/>
      <family val="2"/>
    </font>
    <font>
      <sz val="10"/>
      <name val="Tahoma"/>
      <family val="2"/>
    </font>
    <font>
      <sz val="11"/>
      <name val="Arial"/>
      <family val="2"/>
    </font>
    <font>
      <b/>
      <vertAlign val="superscript"/>
      <sz val="9"/>
      <color theme="1"/>
      <name val="Arial"/>
      <family val="2"/>
    </font>
    <font>
      <sz val="11"/>
      <color rgb="FF000000"/>
      <name val="Calibri"/>
      <family val="2"/>
      <scheme val="minor"/>
    </font>
    <font>
      <sz val="11.5"/>
      <color theme="1"/>
      <name val="Book Antiqua"/>
      <family val="1"/>
    </font>
    <font>
      <sz val="14"/>
      <name val="Book Antiqua"/>
      <family val="1"/>
    </font>
    <font>
      <b/>
      <sz val="14"/>
      <name val="Book Antiqua"/>
      <family val="1"/>
    </font>
    <font>
      <b/>
      <sz val="14"/>
      <color theme="0"/>
      <name val="Calibri"/>
      <family val="2"/>
      <scheme val="minor"/>
    </font>
    <font>
      <sz val="14"/>
      <color theme="0"/>
      <name val="Calibri"/>
      <family val="2"/>
      <scheme val="minor"/>
    </font>
    <font>
      <b/>
      <i/>
      <sz val="11"/>
      <color rgb="FF000000"/>
      <name val="Calibri"/>
      <family val="2"/>
    </font>
    <font>
      <sz val="11"/>
      <color theme="3" tint="0.39997558519241921"/>
      <name val="Calibri"/>
      <family val="2"/>
      <scheme val="minor"/>
    </font>
    <font>
      <u/>
      <sz val="11"/>
      <color theme="10"/>
      <name val="Calibri"/>
      <family val="2"/>
      <scheme val="minor"/>
    </font>
    <font>
      <sz val="11"/>
      <color theme="1"/>
      <name val="Calibri"/>
      <family val="2"/>
    </font>
    <font>
      <b/>
      <sz val="14"/>
      <color theme="0"/>
      <name val="Calibri"/>
      <family val="2"/>
    </font>
    <font>
      <sz val="11"/>
      <color theme="0"/>
      <name val="Calibri"/>
      <family val="2"/>
    </font>
    <font>
      <b/>
      <sz val="12"/>
      <color theme="0"/>
      <name val="Calibri"/>
      <family val="2"/>
    </font>
    <font>
      <b/>
      <sz val="12"/>
      <color theme="1"/>
      <name val="Calibri"/>
      <family val="2"/>
      <scheme val="minor"/>
    </font>
    <font>
      <sz val="11"/>
      <color rgb="FF222222"/>
      <name val="Arial"/>
      <family val="2"/>
    </font>
    <font>
      <sz val="10"/>
      <color indexed="8"/>
      <name val="MS Sans Serif"/>
    </font>
    <font>
      <b/>
      <sz val="11"/>
      <color theme="1"/>
      <name val="Arial"/>
      <family val="2"/>
    </font>
    <font>
      <sz val="11"/>
      <color rgb="FFFF0000"/>
      <name val="Calibri"/>
      <family val="2"/>
      <scheme val="minor"/>
    </font>
    <font>
      <sz val="11"/>
      <color indexed="8"/>
      <name val="Calibri"/>
      <family val="2"/>
      <scheme val="minor"/>
    </font>
    <font>
      <sz val="10"/>
      <color indexed="8"/>
      <name val="MS Sans Serif"/>
      <family val="2"/>
    </font>
    <font>
      <sz val="11"/>
      <color theme="0" tint="-0.499984740745262"/>
      <name val="Calibri"/>
      <family val="2"/>
      <scheme val="minor"/>
    </font>
    <font>
      <sz val="11"/>
      <color rgb="FF0070C0"/>
      <name val="Calibri"/>
      <family val="2"/>
      <scheme val="minor"/>
    </font>
    <font>
      <b/>
      <sz val="11"/>
      <color indexed="8"/>
      <name val="Calibri"/>
      <family val="2"/>
      <scheme val="minor"/>
    </font>
    <font>
      <i/>
      <sz val="11"/>
      <color theme="1"/>
      <name val="Calibri"/>
      <family val="2"/>
      <scheme val="minor"/>
    </font>
    <font>
      <sz val="10"/>
      <color theme="5"/>
      <name val="Arial"/>
      <family val="2"/>
    </font>
    <font>
      <sz val="10"/>
      <color rgb="FF00B050"/>
      <name val="Arial"/>
      <family val="2"/>
    </font>
    <font>
      <sz val="12"/>
      <name val="Calibri"/>
      <family val="2"/>
      <scheme val="minor"/>
    </font>
    <font>
      <i/>
      <sz val="12"/>
      <name val="Calibri"/>
      <family val="2"/>
      <scheme val="minor"/>
    </font>
    <font>
      <b/>
      <i/>
      <sz val="12"/>
      <name val="Calibri"/>
      <family val="2"/>
      <scheme val="minor"/>
    </font>
    <font>
      <b/>
      <sz val="12"/>
      <name val="Calibri"/>
      <family val="2"/>
      <scheme val="minor"/>
    </font>
    <font>
      <sz val="12"/>
      <color theme="1"/>
      <name val="Calibri"/>
      <family val="2"/>
      <scheme val="minor"/>
    </font>
    <font>
      <sz val="10"/>
      <name val="Courier"/>
      <family val="3"/>
    </font>
    <font>
      <b/>
      <sz val="10"/>
      <color theme="0"/>
      <name val="Calibri"/>
      <family val="2"/>
    </font>
    <font>
      <sz val="10"/>
      <name val="Calibri"/>
      <family val="2"/>
    </font>
    <font>
      <b/>
      <u/>
      <sz val="10"/>
      <name val="Calibri"/>
      <family val="2"/>
    </font>
    <font>
      <b/>
      <sz val="10"/>
      <name val="Calibri"/>
      <family val="2"/>
    </font>
    <font>
      <i/>
      <sz val="10"/>
      <color rgb="FFFF0000"/>
      <name val="Calibri"/>
      <family val="2"/>
    </font>
    <font>
      <i/>
      <sz val="10"/>
      <name val="Calibri"/>
      <family val="2"/>
    </font>
    <font>
      <sz val="11"/>
      <color theme="1"/>
      <name val="Times New Roman"/>
      <family val="2"/>
    </font>
    <font>
      <b/>
      <sz val="11"/>
      <color rgb="FFC00000"/>
      <name val="Calibri"/>
      <family val="2"/>
    </font>
    <font>
      <sz val="11"/>
      <color rgb="FFC00000"/>
      <name val="Calibri"/>
      <family val="2"/>
    </font>
    <font>
      <b/>
      <sz val="11"/>
      <color indexed="12"/>
      <name val="Calibri"/>
      <family val="2"/>
    </font>
    <font>
      <b/>
      <sz val="11"/>
      <color theme="0"/>
      <name val="Calibri"/>
      <family val="2"/>
    </font>
    <font>
      <b/>
      <sz val="11"/>
      <color theme="1"/>
      <name val="Calibri"/>
      <family val="2"/>
    </font>
    <font>
      <sz val="12"/>
      <name val="Arial"/>
      <family val="2"/>
    </font>
    <font>
      <b/>
      <i/>
      <sz val="12"/>
      <name val="Arial"/>
      <family val="2"/>
    </font>
    <font>
      <b/>
      <sz val="11"/>
      <color theme="0"/>
      <name val="Arial"/>
      <family val="2"/>
    </font>
    <font>
      <b/>
      <sz val="12"/>
      <name val="Arial"/>
      <family val="2"/>
    </font>
    <font>
      <b/>
      <sz val="11"/>
      <color rgb="FFFFFFFF"/>
      <name val="Calibri"/>
      <family val="2"/>
    </font>
    <font>
      <sz val="11"/>
      <color rgb="FF000000"/>
      <name val="Calibri"/>
      <family val="2"/>
    </font>
    <font>
      <b/>
      <sz val="11"/>
      <color rgb="FF000000"/>
      <name val="Calibri"/>
      <family val="2"/>
    </font>
    <font>
      <b/>
      <sz val="11"/>
      <name val="Arial"/>
      <family val="2"/>
    </font>
  </fonts>
  <fills count="36">
    <fill>
      <patternFill patternType="none"/>
    </fill>
    <fill>
      <patternFill patternType="gray125"/>
    </fill>
    <fill>
      <patternFill patternType="solid">
        <fgColor rgb="FF002060"/>
        <bgColor indexed="64"/>
      </patternFill>
    </fill>
    <fill>
      <patternFill patternType="solid">
        <fgColor theme="9" tint="0.39997558519241921"/>
        <bgColor indexed="64"/>
      </patternFill>
    </fill>
    <fill>
      <patternFill patternType="solid">
        <fgColor theme="0"/>
        <bgColor indexed="64"/>
      </patternFill>
    </fill>
    <fill>
      <patternFill patternType="solid">
        <fgColor rgb="FF3A2D7D"/>
        <bgColor indexed="64"/>
      </patternFill>
    </fill>
    <fill>
      <patternFill patternType="solid">
        <fgColor rgb="FFFFFFFF"/>
        <bgColor indexed="64"/>
      </patternFill>
    </fill>
    <fill>
      <patternFill patternType="solid">
        <fgColor rgb="FFF8F8F8"/>
        <bgColor indexed="64"/>
      </patternFill>
    </fill>
    <fill>
      <patternFill patternType="solid">
        <fgColor rgb="FF8EAADB"/>
        <bgColor indexed="64"/>
      </patternFill>
    </fill>
    <fill>
      <patternFill patternType="solid">
        <fgColor theme="3" tint="-0.249977111117893"/>
        <bgColor indexed="64"/>
      </patternFill>
    </fill>
    <fill>
      <patternFill patternType="solid">
        <fgColor theme="4" tint="0.59999389629810485"/>
        <bgColor indexed="64"/>
      </patternFill>
    </fill>
    <fill>
      <patternFill patternType="solid">
        <fgColor theme="3"/>
        <bgColor indexed="64"/>
      </patternFill>
    </fill>
    <fill>
      <patternFill patternType="solid">
        <fgColor indexed="9"/>
        <bgColor indexed="64"/>
      </patternFill>
    </fill>
    <fill>
      <patternFill patternType="solid">
        <fgColor rgb="FFFFFFFF"/>
        <bgColor rgb="FF000000"/>
      </patternFill>
    </fill>
    <fill>
      <patternFill patternType="solid">
        <fgColor rgb="FFFFFF00"/>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rgb="FF00B050"/>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3" tint="0.59999389629810485"/>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5"/>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01274E"/>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9CC2E5"/>
        <bgColor indexed="64"/>
      </patternFill>
    </fill>
  </fills>
  <borders count="58">
    <border>
      <left/>
      <right/>
      <top/>
      <bottom/>
      <diagonal/>
    </border>
    <border>
      <left/>
      <right/>
      <top style="thin">
        <color indexed="64"/>
      </top>
      <bottom style="thin">
        <color indexed="64"/>
      </bottom>
      <diagonal/>
    </border>
    <border>
      <left style="medium">
        <color rgb="FFCCCCCC"/>
      </left>
      <right style="medium">
        <color rgb="FFCCCCCC"/>
      </right>
      <top style="medium">
        <color rgb="FFCCCCCC"/>
      </top>
      <bottom/>
      <diagonal/>
    </border>
    <border>
      <left/>
      <right style="medium">
        <color rgb="FFCCCCCC"/>
      </right>
      <top style="medium">
        <color rgb="FFCCCCCC"/>
      </top>
      <bottom/>
      <diagonal/>
    </border>
    <border>
      <left/>
      <right/>
      <top/>
      <bottom style="medium">
        <color rgb="FFE3E3E3"/>
      </bottom>
      <diagonal/>
    </border>
    <border>
      <left style="medium">
        <color rgb="FFCCCCCC"/>
      </left>
      <right style="medium">
        <color rgb="FFCCCCCC"/>
      </right>
      <top style="medium">
        <color rgb="FFE3E3E3"/>
      </top>
      <bottom/>
      <diagonal/>
    </border>
    <border>
      <left style="medium">
        <color rgb="FFCCCCCC"/>
      </left>
      <right style="medium">
        <color rgb="FFE3E3E3"/>
      </right>
      <top style="medium">
        <color rgb="FFE3E3E3"/>
      </top>
      <bottom/>
      <diagonal/>
    </border>
    <border>
      <left style="medium">
        <color rgb="FFCCCCCC"/>
      </left>
      <right style="medium">
        <color rgb="FFE3E3E3"/>
      </right>
      <top style="medium">
        <color rgb="FFCCCCCC"/>
      </top>
      <bottom/>
      <diagonal/>
    </border>
    <border>
      <left/>
      <right style="medium">
        <color rgb="FFE3E3E3"/>
      </right>
      <top/>
      <bottom style="medium">
        <color rgb="FFE3E3E3"/>
      </bottom>
      <diagonal/>
    </border>
    <border>
      <left style="medium">
        <color rgb="FFCCCCCC"/>
      </left>
      <right/>
      <top style="medium">
        <color rgb="FFE3E3E3"/>
      </top>
      <bottom style="medium">
        <color rgb="FFCCCCCC"/>
      </bottom>
      <diagonal/>
    </border>
    <border>
      <left/>
      <right/>
      <top style="medium">
        <color rgb="FFE3E3E3"/>
      </top>
      <bottom style="medium">
        <color rgb="FFCCCCCC"/>
      </bottom>
      <diagonal/>
    </border>
    <border>
      <left/>
      <right style="medium">
        <color rgb="FFCCCCCC"/>
      </right>
      <top style="medium">
        <color rgb="FFE3E3E3"/>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indexed="64"/>
      </right>
      <top style="thin">
        <color theme="0" tint="-0.24994659260841701"/>
      </top>
      <bottom/>
      <diagonal/>
    </border>
    <border>
      <left style="thin">
        <color theme="0" tint="-0.24994659260841701"/>
      </left>
      <right/>
      <top/>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bottom style="thin">
        <color indexed="64"/>
      </bottom>
      <diagonal/>
    </border>
    <border>
      <left style="thin">
        <color theme="0" tint="-0.24994659260841701"/>
      </left>
      <right/>
      <top style="thin">
        <color theme="0" tint="-0.24994659260841701"/>
      </top>
      <bottom style="thin">
        <color theme="0" tint="-0.2499465926084170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9">
    <xf numFmtId="0" fontId="0" fillId="0" borderId="0"/>
    <xf numFmtId="165" fontId="9" fillId="0" borderId="0" applyFont="0" applyFill="0" applyBorder="0" applyAlignment="0" applyProtection="0"/>
    <xf numFmtId="164" fontId="9" fillId="0" borderId="0" applyFont="0" applyFill="0" applyBorder="0" applyAlignment="0" applyProtection="0"/>
    <xf numFmtId="0" fontId="28" fillId="0" borderId="0"/>
    <xf numFmtId="9" fontId="9" fillId="0" borderId="0" applyFont="0" applyFill="0" applyBorder="0" applyAlignment="0" applyProtection="0"/>
    <xf numFmtId="0" fontId="32" fillId="0" borderId="0"/>
    <xf numFmtId="0" fontId="9" fillId="0" borderId="0"/>
    <xf numFmtId="43" fontId="9" fillId="0" borderId="0" applyFont="0" applyFill="0" applyBorder="0" applyAlignment="0" applyProtection="0"/>
    <xf numFmtId="0" fontId="28" fillId="0" borderId="0"/>
    <xf numFmtId="0" fontId="28" fillId="0" borderId="0"/>
    <xf numFmtId="165" fontId="28" fillId="0" borderId="0" applyFont="0" applyFill="0" applyBorder="0" applyAlignment="0" applyProtection="0"/>
    <xf numFmtId="165" fontId="28" fillId="0" borderId="0" applyFont="0" applyFill="0" applyBorder="0" applyAlignment="0" applyProtection="0"/>
    <xf numFmtId="0" fontId="28" fillId="0" borderId="0"/>
    <xf numFmtId="165" fontId="28" fillId="0" borderId="0" applyFont="0" applyFill="0" applyBorder="0" applyAlignment="0" applyProtection="0"/>
    <xf numFmtId="0" fontId="61" fillId="0" borderId="0" applyNumberFormat="0" applyFill="0" applyBorder="0" applyAlignment="0" applyProtection="0"/>
    <xf numFmtId="165" fontId="9" fillId="0" borderId="0" applyFont="0" applyFill="0" applyBorder="0" applyAlignment="0" applyProtection="0"/>
    <xf numFmtId="0" fontId="9" fillId="0" borderId="0"/>
    <xf numFmtId="9" fontId="9" fillId="0" borderId="0" applyFont="0" applyFill="0" applyBorder="0" applyAlignment="0" applyProtection="0"/>
    <xf numFmtId="0" fontId="68" fillId="0" borderId="0"/>
    <xf numFmtId="0" fontId="72" fillId="0" borderId="0"/>
    <xf numFmtId="0" fontId="9" fillId="0" borderId="0"/>
    <xf numFmtId="43" fontId="9" fillId="0" borderId="0" applyFont="0" applyFill="0" applyBorder="0" applyAlignment="0" applyProtection="0"/>
    <xf numFmtId="184" fontId="9" fillId="0" borderId="0"/>
    <xf numFmtId="9" fontId="28" fillId="0" borderId="0" applyFont="0" applyFill="0" applyBorder="0" applyAlignment="0" applyProtection="0"/>
    <xf numFmtId="0" fontId="28" fillId="0" borderId="0"/>
    <xf numFmtId="165" fontId="84" fillId="0" borderId="0" applyFont="0" applyFill="0" applyBorder="0" applyAlignment="0" applyProtection="0"/>
    <xf numFmtId="0" fontId="28" fillId="0" borderId="0"/>
    <xf numFmtId="9" fontId="28" fillId="0" borderId="0" applyFont="0" applyFill="0" applyBorder="0" applyAlignment="0" applyProtection="0"/>
    <xf numFmtId="0" fontId="91" fillId="0" borderId="0"/>
  </cellStyleXfs>
  <cellXfs count="928">
    <xf numFmtId="0" fontId="0" fillId="0" borderId="0" xfId="0"/>
    <xf numFmtId="0" fontId="1" fillId="2" borderId="0" xfId="0" applyFont="1" applyFill="1"/>
    <xf numFmtId="0" fontId="1" fillId="2" borderId="0" xfId="0" applyFont="1" applyFill="1" applyAlignment="1">
      <alignment vertical="center"/>
    </xf>
    <xf numFmtId="0" fontId="2" fillId="0" borderId="0" xfId="0" applyFont="1"/>
    <xf numFmtId="2" fontId="0" fillId="0" borderId="0" xfId="0" applyNumberFormat="1"/>
    <xf numFmtId="2" fontId="0" fillId="0" borderId="0" xfId="0" applyNumberFormat="1" applyAlignment="1">
      <alignment horizontal="center" vertical="center"/>
    </xf>
    <xf numFmtId="2" fontId="0" fillId="0" borderId="0" xfId="0" applyNumberFormat="1" applyAlignment="1">
      <alignment horizontal="center"/>
    </xf>
    <xf numFmtId="0" fontId="0" fillId="0" borderId="0" xfId="0" applyAlignment="1">
      <alignment horizontal="left" indent="2"/>
    </xf>
    <xf numFmtId="2" fontId="2" fillId="0" borderId="0" xfId="0" applyNumberFormat="1" applyFont="1" applyAlignment="1">
      <alignment horizontal="center" vertical="center"/>
    </xf>
    <xf numFmtId="0" fontId="2" fillId="0" borderId="0" xfId="0" applyFont="1" applyAlignment="1">
      <alignment vertical="center"/>
    </xf>
    <xf numFmtId="0" fontId="0" fillId="0" borderId="1" xfId="0" applyBorder="1"/>
    <xf numFmtId="2" fontId="2" fillId="0" borderId="1" xfId="0" applyNumberFormat="1" applyFont="1" applyBorder="1" applyAlignment="1">
      <alignment horizontal="center" vertical="center"/>
    </xf>
    <xf numFmtId="2" fontId="2" fillId="0" borderId="1" xfId="0" applyNumberFormat="1" applyFont="1" applyBorder="1" applyAlignment="1">
      <alignment horizontal="center"/>
    </xf>
    <xf numFmtId="0" fontId="1" fillId="2" borderId="0" xfId="0" applyFont="1" applyFill="1" applyAlignment="1">
      <alignment horizontal="center"/>
    </xf>
    <xf numFmtId="0" fontId="1" fillId="2" borderId="0" xfId="0" applyFont="1" applyFill="1" applyAlignment="1">
      <alignment horizontal="center" vertical="center"/>
    </xf>
    <xf numFmtId="0" fontId="0" fillId="0" borderId="0" xfId="0" applyAlignment="1">
      <alignment horizontal="center"/>
    </xf>
    <xf numFmtId="0" fontId="2" fillId="0" borderId="1" xfId="0" applyFont="1" applyBorder="1"/>
    <xf numFmtId="0" fontId="2" fillId="0" borderId="0" xfId="0" applyFont="1" applyAlignment="1">
      <alignment horizontal="left" indent="2"/>
    </xf>
    <xf numFmtId="0" fontId="2" fillId="0" borderId="1" xfId="0" applyFont="1" applyBorder="1" applyAlignment="1">
      <alignment vertical="center"/>
    </xf>
    <xf numFmtId="0" fontId="7" fillId="3" borderId="0" xfId="0" applyFont="1" applyFill="1"/>
    <xf numFmtId="0" fontId="8" fillId="3" borderId="0" xfId="0" applyFont="1" applyFill="1" applyAlignment="1">
      <alignment vertical="center"/>
    </xf>
    <xf numFmtId="0" fontId="0" fillId="0" borderId="0" xfId="0" applyAlignment="1">
      <alignment horizontal="center" vertical="center"/>
    </xf>
    <xf numFmtId="0" fontId="0" fillId="0" borderId="1" xfId="0" applyBorder="1" applyAlignment="1">
      <alignment vertical="center"/>
    </xf>
    <xf numFmtId="0" fontId="2" fillId="0" borderId="0" xfId="0" applyFont="1" applyAlignment="1">
      <alignment horizontal="left" vertical="center" indent="1"/>
    </xf>
    <xf numFmtId="0" fontId="1" fillId="2" borderId="1" xfId="0" applyFont="1" applyFill="1" applyBorder="1" applyAlignment="1">
      <alignment vertical="center"/>
    </xf>
    <xf numFmtId="2" fontId="1" fillId="2" borderId="1" xfId="0" applyNumberFormat="1" applyFont="1" applyFill="1" applyBorder="1" applyAlignment="1">
      <alignment horizontal="center" vertical="center"/>
    </xf>
    <xf numFmtId="0" fontId="5" fillId="2" borderId="1" xfId="0" applyFont="1" applyFill="1" applyBorder="1"/>
    <xf numFmtId="9" fontId="0" fillId="0" borderId="0" xfId="0" applyNumberFormat="1" applyAlignment="1">
      <alignment horizontal="center" vertical="center"/>
    </xf>
    <xf numFmtId="0" fontId="5" fillId="2" borderId="1" xfId="0" applyFont="1" applyFill="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indent="3"/>
    </xf>
    <xf numFmtId="165" fontId="0" fillId="0" borderId="0" xfId="1" applyFont="1" applyBorder="1" applyAlignment="1">
      <alignment horizontal="right" vertical="top"/>
    </xf>
    <xf numFmtId="0" fontId="12" fillId="0" borderId="0" xfId="0" applyFont="1" applyAlignment="1">
      <alignment horizontal="justify"/>
    </xf>
    <xf numFmtId="0" fontId="10" fillId="0" borderId="0" xfId="0" applyFont="1"/>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indent="3"/>
    </xf>
    <xf numFmtId="0" fontId="2" fillId="0" borderId="1" xfId="0" applyFont="1" applyBorder="1" applyAlignment="1">
      <alignment horizontal="center"/>
    </xf>
    <xf numFmtId="0" fontId="2" fillId="0" borderId="0" xfId="0" applyFont="1" applyAlignment="1">
      <alignment horizontal="center"/>
    </xf>
    <xf numFmtId="0" fontId="2" fillId="0" borderId="0" xfId="0" applyFont="1" applyAlignment="1">
      <alignment horizontal="left"/>
    </xf>
    <xf numFmtId="0" fontId="2" fillId="0" borderId="1" xfId="0" applyFont="1" applyBorder="1" applyAlignment="1">
      <alignment horizontal="left" vertical="center" indent="3"/>
    </xf>
    <xf numFmtId="0" fontId="0" fillId="4" borderId="0" xfId="0" applyFill="1"/>
    <xf numFmtId="0" fontId="1" fillId="4" borderId="0" xfId="0" applyFont="1" applyFill="1" applyAlignment="1">
      <alignment vertical="center"/>
    </xf>
    <xf numFmtId="2" fontId="1" fillId="4" borderId="0" xfId="0" applyNumberFormat="1" applyFont="1" applyFill="1" applyAlignment="1">
      <alignment horizontal="center" vertical="center"/>
    </xf>
    <xf numFmtId="0" fontId="5" fillId="4" borderId="0" xfId="0" applyFont="1" applyFill="1"/>
    <xf numFmtId="0" fontId="5" fillId="4" borderId="0" xfId="0" applyFont="1" applyFill="1" applyAlignment="1">
      <alignment horizontal="center" vertical="center"/>
    </xf>
    <xf numFmtId="166" fontId="1" fillId="2" borderId="1" xfId="0" applyNumberFormat="1" applyFont="1" applyFill="1" applyBorder="1" applyAlignment="1">
      <alignment horizontal="center" vertical="center"/>
    </xf>
    <xf numFmtId="0" fontId="21" fillId="5" borderId="2" xfId="0" applyFont="1" applyFill="1" applyBorder="1" applyAlignment="1">
      <alignment horizontal="center" vertical="top" wrapText="1"/>
    </xf>
    <xf numFmtId="0" fontId="22" fillId="0" borderId="4" xfId="0" applyFont="1" applyBorder="1" applyAlignment="1">
      <alignment horizontal="right" vertical="top" wrapText="1"/>
    </xf>
    <xf numFmtId="0" fontId="22" fillId="7" borderId="4" xfId="0" applyFont="1" applyFill="1" applyBorder="1" applyAlignment="1">
      <alignment horizontal="right" vertical="top" wrapText="1"/>
    </xf>
    <xf numFmtId="0" fontId="21" fillId="5" borderId="5" xfId="0" applyFont="1" applyFill="1" applyBorder="1" applyAlignment="1">
      <alignment horizontal="center" vertical="top" wrapText="1"/>
    </xf>
    <xf numFmtId="0" fontId="21" fillId="5" borderId="6" xfId="0" applyFont="1" applyFill="1" applyBorder="1" applyAlignment="1">
      <alignment horizontal="center" vertical="top" wrapText="1"/>
    </xf>
    <xf numFmtId="0" fontId="21" fillId="5" borderId="7" xfId="0" applyFont="1" applyFill="1" applyBorder="1" applyAlignment="1">
      <alignment horizontal="center" vertical="top" wrapText="1"/>
    </xf>
    <xf numFmtId="0" fontId="22" fillId="0" borderId="8" xfId="0" applyFont="1" applyBorder="1" applyAlignment="1">
      <alignment horizontal="right" vertical="top" wrapText="1"/>
    </xf>
    <xf numFmtId="0" fontId="22" fillId="7" borderId="8" xfId="0" applyFont="1" applyFill="1" applyBorder="1" applyAlignment="1">
      <alignment horizontal="right" vertical="top" wrapText="1"/>
    </xf>
    <xf numFmtId="0" fontId="23" fillId="0" borderId="0" xfId="0" applyFont="1" applyAlignment="1">
      <alignment horizontal="left" vertical="center" wrapText="1"/>
    </xf>
    <xf numFmtId="0" fontId="0" fillId="0" borderId="0" xfId="0" applyAlignment="1">
      <alignment wrapText="1"/>
    </xf>
    <xf numFmtId="0" fontId="21" fillId="5" borderId="9" xfId="0" applyFont="1" applyFill="1" applyBorder="1" applyAlignment="1">
      <alignment vertical="top" wrapText="1"/>
    </xf>
    <xf numFmtId="0" fontId="21" fillId="5" borderId="10" xfId="0" applyFont="1" applyFill="1" applyBorder="1" applyAlignment="1">
      <alignment vertical="top" wrapText="1"/>
    </xf>
    <xf numFmtId="0" fontId="21" fillId="5" borderId="11" xfId="0" applyFont="1" applyFill="1" applyBorder="1" applyAlignment="1">
      <alignment vertical="top" wrapText="1"/>
    </xf>
    <xf numFmtId="0" fontId="21" fillId="5" borderId="12" xfId="0" applyFont="1" applyFill="1" applyBorder="1" applyAlignment="1">
      <alignment vertical="top" wrapText="1"/>
    </xf>
    <xf numFmtId="0" fontId="21" fillId="5" borderId="13" xfId="0" applyFont="1" applyFill="1" applyBorder="1" applyAlignment="1">
      <alignment vertical="top" wrapText="1"/>
    </xf>
    <xf numFmtId="0" fontId="21" fillId="5" borderId="14" xfId="0" applyFont="1" applyFill="1" applyBorder="1" applyAlignment="1">
      <alignment vertical="top" wrapText="1"/>
    </xf>
    <xf numFmtId="0" fontId="21" fillId="5" borderId="3" xfId="0" applyFont="1" applyFill="1" applyBorder="1" applyAlignment="1">
      <alignment horizontal="center" vertical="top" wrapText="1"/>
    </xf>
    <xf numFmtId="0" fontId="24" fillId="5" borderId="15" xfId="0" applyFont="1" applyFill="1" applyBorder="1" applyAlignment="1">
      <alignment horizontal="center" vertical="top" wrapText="1"/>
    </xf>
    <xf numFmtId="0" fontId="25" fillId="0" borderId="15" xfId="0" applyFont="1" applyBorder="1" applyAlignment="1">
      <alignment vertical="top" wrapText="1"/>
    </xf>
    <xf numFmtId="0" fontId="25" fillId="7" borderId="15" xfId="0" applyFont="1" applyFill="1" applyBorder="1" applyAlignment="1">
      <alignment vertical="top" wrapText="1"/>
    </xf>
    <xf numFmtId="0" fontId="25" fillId="0" borderId="15" xfId="0" applyFont="1" applyBorder="1" applyAlignment="1">
      <alignment horizontal="center" vertical="top" wrapText="1"/>
    </xf>
    <xf numFmtId="0" fontId="25" fillId="7" borderId="15" xfId="0" applyFont="1" applyFill="1" applyBorder="1" applyAlignment="1">
      <alignment horizontal="center" vertical="top" wrapText="1"/>
    </xf>
    <xf numFmtId="10" fontId="25" fillId="0" borderId="15" xfId="0" applyNumberFormat="1" applyFont="1" applyBorder="1" applyAlignment="1">
      <alignment horizontal="center" vertical="top" wrapText="1"/>
    </xf>
    <xf numFmtId="10" fontId="25" fillId="7" borderId="15" xfId="0" applyNumberFormat="1" applyFont="1" applyFill="1" applyBorder="1" applyAlignment="1">
      <alignment horizontal="center" vertical="top" wrapText="1"/>
    </xf>
    <xf numFmtId="9" fontId="25" fillId="0" borderId="15" xfId="0" applyNumberFormat="1" applyFont="1" applyBorder="1" applyAlignment="1">
      <alignment horizontal="center" vertical="top" wrapText="1"/>
    </xf>
    <xf numFmtId="0" fontId="26" fillId="8" borderId="15" xfId="0" applyFont="1" applyFill="1" applyBorder="1" applyAlignment="1">
      <alignment vertical="top" wrapText="1"/>
    </xf>
    <xf numFmtId="0" fontId="26" fillId="8" borderId="15" xfId="0" applyFont="1" applyFill="1" applyBorder="1" applyAlignment="1">
      <alignment horizontal="center" vertical="top" wrapText="1"/>
    </xf>
    <xf numFmtId="9" fontId="26" fillId="8" borderId="15" xfId="0" applyNumberFormat="1" applyFont="1" applyFill="1" applyBorder="1" applyAlignment="1">
      <alignment horizontal="center" vertical="top" wrapText="1"/>
    </xf>
    <xf numFmtId="0" fontId="25" fillId="6" borderId="15" xfId="0" applyFont="1" applyFill="1" applyBorder="1" applyAlignment="1">
      <alignment horizontal="center" vertical="top" wrapText="1"/>
    </xf>
    <xf numFmtId="0" fontId="27" fillId="5" borderId="15" xfId="0" applyFont="1" applyFill="1" applyBorder="1" applyAlignment="1">
      <alignment horizontal="center" vertical="top" wrapText="1"/>
    </xf>
    <xf numFmtId="0" fontId="0" fillId="0" borderId="15" xfId="0" applyBorder="1" applyAlignment="1">
      <alignment horizontal="center" vertical="center"/>
    </xf>
    <xf numFmtId="0" fontId="0" fillId="0" borderId="15" xfId="0" applyBorder="1" applyAlignment="1">
      <alignment horizontal="left" vertical="center"/>
    </xf>
    <xf numFmtId="167" fontId="0" fillId="0" borderId="15" xfId="2" applyNumberFormat="1" applyFont="1" applyBorder="1" applyAlignment="1">
      <alignment horizontal="center" vertical="center"/>
    </xf>
    <xf numFmtId="0" fontId="0" fillId="8" borderId="0" xfId="0" applyFill="1" applyAlignment="1">
      <alignment horizontal="left" indent="2"/>
    </xf>
    <xf numFmtId="165" fontId="10" fillId="0" borderId="0" xfId="1" applyFont="1" applyFill="1" applyBorder="1" applyAlignment="1" applyProtection="1">
      <alignment vertical="center"/>
    </xf>
    <xf numFmtId="165" fontId="10" fillId="0" borderId="0" xfId="1" applyFont="1" applyFill="1" applyBorder="1"/>
    <xf numFmtId="165" fontId="29" fillId="0" borderId="0" xfId="1" applyFont="1" applyFill="1" applyBorder="1"/>
    <xf numFmtId="165" fontId="10" fillId="0" borderId="0" xfId="1" applyFont="1" applyBorder="1"/>
    <xf numFmtId="165" fontId="10" fillId="0" borderId="0" xfId="1" applyFont="1" applyBorder="1" applyAlignment="1">
      <alignment vertical="top" wrapText="1"/>
    </xf>
    <xf numFmtId="168" fontId="13" fillId="0" borderId="15" xfId="0" applyNumberFormat="1" applyFont="1" applyBorder="1" applyAlignment="1">
      <alignment horizontal="right"/>
    </xf>
    <xf numFmtId="165" fontId="13" fillId="0" borderId="15" xfId="1" applyFont="1" applyBorder="1"/>
    <xf numFmtId="165" fontId="0" fillId="0" borderId="0" xfId="1" applyFont="1" applyBorder="1"/>
    <xf numFmtId="165" fontId="30" fillId="2" borderId="15" xfId="0" applyNumberFormat="1" applyFont="1" applyFill="1" applyBorder="1" applyAlignment="1">
      <alignment horizontal="center"/>
    </xf>
    <xf numFmtId="2" fontId="30" fillId="2" borderId="15" xfId="1" applyNumberFormat="1" applyFont="1" applyFill="1" applyBorder="1" applyAlignment="1">
      <alignment horizontal="center" vertical="center" wrapText="1"/>
    </xf>
    <xf numFmtId="0" fontId="13" fillId="0" borderId="15" xfId="0" applyFont="1" applyBorder="1" applyAlignment="1">
      <alignment horizontal="center"/>
    </xf>
    <xf numFmtId="0" fontId="13" fillId="0" borderId="15" xfId="0" applyFont="1" applyBorder="1"/>
    <xf numFmtId="0" fontId="28" fillId="0" borderId="15" xfId="0" applyFont="1" applyBorder="1"/>
    <xf numFmtId="0" fontId="13" fillId="0" borderId="15" xfId="0" applyFont="1" applyBorder="1" applyAlignment="1">
      <alignment wrapText="1"/>
    </xf>
    <xf numFmtId="0" fontId="28" fillId="0" borderId="15" xfId="0" applyFont="1" applyBorder="1" applyAlignment="1">
      <alignment horizontal="center"/>
    </xf>
    <xf numFmtId="168" fontId="28" fillId="0" borderId="15" xfId="0" applyNumberFormat="1" applyFont="1" applyBorder="1" applyAlignment="1">
      <alignment horizontal="left" indent="1"/>
    </xf>
    <xf numFmtId="165" fontId="0" fillId="0" borderId="15" xfId="1" applyFont="1" applyBorder="1"/>
    <xf numFmtId="168" fontId="28" fillId="0" borderId="15" xfId="0" applyNumberFormat="1" applyFont="1" applyBorder="1" applyAlignment="1">
      <alignment horizontal="left" wrapText="1" indent="1"/>
    </xf>
    <xf numFmtId="168" fontId="28" fillId="0" borderId="15" xfId="0" applyNumberFormat="1" applyFont="1" applyBorder="1" applyAlignment="1">
      <alignment horizontal="left" wrapText="1"/>
    </xf>
    <xf numFmtId="165" fontId="28" fillId="0" borderId="15" xfId="1" applyFont="1" applyBorder="1"/>
    <xf numFmtId="168" fontId="28" fillId="0" borderId="15" xfId="0" applyNumberFormat="1" applyFont="1" applyBorder="1" applyAlignment="1">
      <alignment horizontal="right"/>
    </xf>
    <xf numFmtId="168" fontId="28" fillId="0" borderId="15" xfId="0" applyNumberFormat="1" applyFont="1" applyBorder="1"/>
    <xf numFmtId="165" fontId="10" fillId="0" borderId="15" xfId="1" applyFont="1" applyBorder="1"/>
    <xf numFmtId="0" fontId="29" fillId="0" borderId="15" xfId="0" applyFont="1" applyBorder="1" applyAlignment="1">
      <alignment horizontal="left" wrapText="1" indent="1"/>
    </xf>
    <xf numFmtId="165" fontId="10" fillId="0" borderId="15" xfId="1" applyFont="1" applyFill="1" applyBorder="1" applyProtection="1"/>
    <xf numFmtId="0" fontId="31" fillId="2" borderId="15" xfId="0" applyFont="1" applyFill="1" applyBorder="1" applyAlignment="1">
      <alignment horizontal="center"/>
    </xf>
    <xf numFmtId="168" fontId="30" fillId="2" borderId="15" xfId="0" applyNumberFormat="1" applyFont="1" applyFill="1" applyBorder="1" applyAlignment="1">
      <alignment horizontal="right"/>
    </xf>
    <xf numFmtId="165" fontId="30" fillId="2" borderId="15" xfId="1" applyFont="1" applyFill="1" applyBorder="1"/>
    <xf numFmtId="165" fontId="13" fillId="0" borderId="0" xfId="0" applyNumberFormat="1" applyFont="1"/>
    <xf numFmtId="165" fontId="10" fillId="0" borderId="0" xfId="1" applyFont="1" applyFill="1" applyBorder="1" applyAlignment="1" applyProtection="1">
      <alignment horizontal="center" vertical="center" wrapText="1"/>
    </xf>
    <xf numFmtId="165" fontId="13" fillId="0" borderId="0" xfId="1" applyFont="1" applyBorder="1"/>
    <xf numFmtId="165" fontId="10" fillId="0" borderId="0" xfId="1" applyFont="1" applyFill="1" applyBorder="1" applyProtection="1"/>
    <xf numFmtId="0" fontId="7" fillId="3" borderId="0" xfId="0" applyFont="1" applyFill="1" applyAlignment="1">
      <alignment horizontal="center"/>
    </xf>
    <xf numFmtId="0" fontId="7" fillId="3" borderId="0" xfId="0" applyFont="1" applyFill="1" applyAlignment="1">
      <alignment vertical="center"/>
    </xf>
    <xf numFmtId="169" fontId="1" fillId="2" borderId="0" xfId="0" applyNumberFormat="1" applyFont="1" applyFill="1" applyAlignment="1">
      <alignment horizontal="center" vertical="center"/>
    </xf>
    <xf numFmtId="0" fontId="2" fillId="0" borderId="15" xfId="0" applyFont="1" applyBorder="1" applyAlignment="1">
      <alignment vertical="center"/>
    </xf>
    <xf numFmtId="0" fontId="17" fillId="0" borderId="0" xfId="5" applyFont="1" applyAlignment="1">
      <alignment vertical="center"/>
    </xf>
    <xf numFmtId="9" fontId="0" fillId="0" borderId="0" xfId="0" applyNumberFormat="1"/>
    <xf numFmtId="170" fontId="0" fillId="0" borderId="0" xfId="0" applyNumberFormat="1" applyAlignment="1">
      <alignment horizontal="center"/>
    </xf>
    <xf numFmtId="9" fontId="0" fillId="0" borderId="0" xfId="0" applyNumberFormat="1" applyAlignment="1">
      <alignment horizontal="center"/>
    </xf>
    <xf numFmtId="0" fontId="3" fillId="3" borderId="15" xfId="0" applyFont="1" applyFill="1" applyBorder="1" applyAlignment="1">
      <alignment vertical="center"/>
    </xf>
    <xf numFmtId="0" fontId="0" fillId="0" borderId="15" xfId="0" applyBorder="1"/>
    <xf numFmtId="0" fontId="6" fillId="2" borderId="15" xfId="0" applyFont="1" applyFill="1" applyBorder="1" applyAlignment="1">
      <alignment vertical="center"/>
    </xf>
    <xf numFmtId="0" fontId="1" fillId="2" borderId="15" xfId="0" applyFont="1" applyFill="1" applyBorder="1" applyAlignment="1">
      <alignment vertical="center"/>
    </xf>
    <xf numFmtId="0" fontId="1" fillId="2" borderId="15" xfId="0" applyFont="1" applyFill="1" applyBorder="1"/>
    <xf numFmtId="0" fontId="1" fillId="2" borderId="15" xfId="0" applyFont="1" applyFill="1" applyBorder="1" applyAlignment="1">
      <alignment horizontal="center" vertical="center" wrapText="1"/>
    </xf>
    <xf numFmtId="0" fontId="1" fillId="2" borderId="15" xfId="0" applyFont="1" applyFill="1" applyBorder="1" applyAlignment="1">
      <alignment horizontal="center" vertical="center"/>
    </xf>
    <xf numFmtId="0" fontId="0" fillId="0" borderId="15" xfId="0" applyBorder="1" applyAlignment="1">
      <alignment horizontal="center"/>
    </xf>
    <xf numFmtId="0" fontId="4" fillId="0" borderId="15" xfId="0" applyFont="1" applyBorder="1"/>
    <xf numFmtId="0" fontId="2" fillId="0" borderId="15" xfId="0" applyFont="1" applyBorder="1"/>
    <xf numFmtId="0" fontId="0" fillId="0" borderId="15" xfId="0" applyBorder="1" applyAlignment="1">
      <alignment horizontal="left" indent="2"/>
    </xf>
    <xf numFmtId="2" fontId="0" fillId="0" borderId="15" xfId="0" applyNumberFormat="1" applyBorder="1" applyAlignment="1">
      <alignment horizontal="center"/>
    </xf>
    <xf numFmtId="165" fontId="0" fillId="0" borderId="15" xfId="1" applyFont="1" applyBorder="1" applyAlignment="1">
      <alignment horizontal="right" vertical="top"/>
    </xf>
    <xf numFmtId="0" fontId="0" fillId="0" borderId="15" xfId="0" applyBorder="1" applyAlignment="1">
      <alignment vertical="center"/>
    </xf>
    <xf numFmtId="2" fontId="2" fillId="0" borderId="15" xfId="0" applyNumberFormat="1" applyFont="1" applyBorder="1" applyAlignment="1">
      <alignment horizontal="center" vertical="center"/>
    </xf>
    <xf numFmtId="0" fontId="0" fillId="0" borderId="15" xfId="0" applyBorder="1" applyAlignment="1">
      <alignment horizontal="left"/>
    </xf>
    <xf numFmtId="0" fontId="11" fillId="0" borderId="15" xfId="0" applyFont="1" applyBorder="1" applyAlignment="1">
      <alignment horizontal="left" vertical="top" indent="1"/>
    </xf>
    <xf numFmtId="2" fontId="2" fillId="0" borderId="15" xfId="0" applyNumberFormat="1" applyFont="1" applyBorder="1" applyAlignment="1">
      <alignment horizontal="center"/>
    </xf>
    <xf numFmtId="0" fontId="13" fillId="0" borderId="15" xfId="0" applyFont="1" applyBorder="1" applyAlignment="1">
      <alignment horizontal="left"/>
    </xf>
    <xf numFmtId="0" fontId="14" fillId="0" borderId="15" xfId="0" applyFont="1" applyBorder="1" applyAlignment="1">
      <alignment horizontal="left"/>
    </xf>
    <xf numFmtId="166" fontId="0" fillId="0" borderId="15" xfId="0" applyNumberFormat="1" applyBorder="1" applyAlignment="1">
      <alignment horizontal="center"/>
    </xf>
    <xf numFmtId="0" fontId="12" fillId="0" borderId="15" xfId="0" applyFont="1" applyBorder="1" applyAlignment="1">
      <alignment horizontal="justify"/>
    </xf>
    <xf numFmtId="0" fontId="12" fillId="0" borderId="15" xfId="0" applyFont="1" applyBorder="1" applyAlignment="1">
      <alignment horizontal="left"/>
    </xf>
    <xf numFmtId="0" fontId="0" fillId="0" borderId="15" xfId="0" applyBorder="1" applyAlignment="1">
      <alignment horizontal="left" indent="1"/>
    </xf>
    <xf numFmtId="0" fontId="0" fillId="0" borderId="15" xfId="0" applyBorder="1" applyAlignment="1">
      <alignment horizontal="justify"/>
    </xf>
    <xf numFmtId="0" fontId="11" fillId="0" borderId="15" xfId="0" applyFont="1" applyBorder="1" applyAlignment="1">
      <alignment horizontal="left" wrapText="1"/>
    </xf>
    <xf numFmtId="0" fontId="13" fillId="0" borderId="15" xfId="0" applyFont="1" applyBorder="1" applyAlignment="1">
      <alignment horizontal="right" vertical="center" wrapText="1"/>
    </xf>
    <xf numFmtId="2" fontId="0" fillId="0" borderId="15" xfId="0" applyNumberFormat="1" applyBorder="1" applyAlignment="1">
      <alignment horizontal="center" vertical="center"/>
    </xf>
    <xf numFmtId="0" fontId="0" fillId="2" borderId="15" xfId="0" applyFill="1" applyBorder="1"/>
    <xf numFmtId="2" fontId="1" fillId="2" borderId="15" xfId="0" applyNumberFormat="1" applyFont="1" applyFill="1" applyBorder="1" applyAlignment="1">
      <alignment horizontal="center" vertical="center"/>
    </xf>
    <xf numFmtId="9" fontId="0" fillId="0" borderId="0" xfId="4" applyFont="1"/>
    <xf numFmtId="0" fontId="34" fillId="0" borderId="0" xfId="0" applyFont="1"/>
    <xf numFmtId="0" fontId="36" fillId="10" borderId="15" xfId="0" applyFont="1" applyFill="1" applyBorder="1" applyAlignment="1">
      <alignment horizontal="center" vertical="center" wrapText="1"/>
    </xf>
    <xf numFmtId="0" fontId="36" fillId="10" borderId="18" xfId="0" applyFont="1" applyFill="1" applyBorder="1" applyAlignment="1">
      <alignment horizontal="center" vertical="top" wrapText="1"/>
    </xf>
    <xf numFmtId="0" fontId="34" fillId="0" borderId="15" xfId="0" applyFont="1" applyBorder="1" applyAlignment="1">
      <alignment horizontal="right" vertical="center" wrapText="1"/>
    </xf>
    <xf numFmtId="0" fontId="34" fillId="0" borderId="15" xfId="0" applyFont="1" applyBorder="1" applyAlignment="1">
      <alignment vertical="center"/>
    </xf>
    <xf numFmtId="4" fontId="38" fillId="0" borderId="15" xfId="0" applyNumberFormat="1" applyFont="1" applyBorder="1" applyAlignment="1">
      <alignment horizontal="center" vertical="center" shrinkToFit="1"/>
    </xf>
    <xf numFmtId="2" fontId="38" fillId="0" borderId="15" xfId="0" applyNumberFormat="1" applyFont="1" applyBorder="1" applyAlignment="1">
      <alignment horizontal="left" vertical="center" indent="2" shrinkToFit="1"/>
    </xf>
    <xf numFmtId="2" fontId="34" fillId="0" borderId="15" xfId="0" applyNumberFormat="1" applyFont="1" applyBorder="1" applyAlignment="1">
      <alignment horizontal="center" vertical="center" wrapText="1"/>
    </xf>
    <xf numFmtId="10" fontId="40" fillId="0" borderId="0" xfId="0" applyNumberFormat="1" applyFont="1"/>
    <xf numFmtId="2" fontId="38" fillId="0" borderId="15" xfId="0" applyNumberFormat="1" applyFont="1" applyBorder="1" applyAlignment="1">
      <alignment horizontal="center" vertical="center" shrinkToFit="1"/>
    </xf>
    <xf numFmtId="0" fontId="39" fillId="0" borderId="15" xfId="0" applyFont="1" applyBorder="1" applyAlignment="1">
      <alignment horizontal="left" vertical="center" wrapText="1"/>
    </xf>
    <xf numFmtId="0" fontId="39" fillId="0" borderId="15" xfId="0" applyFont="1" applyBorder="1" applyAlignment="1">
      <alignment horizontal="center" vertical="center" wrapText="1"/>
    </xf>
    <xf numFmtId="0" fontId="34" fillId="0" borderId="15" xfId="0" applyFont="1" applyBorder="1" applyAlignment="1">
      <alignment horizontal="left" vertical="center"/>
    </xf>
    <xf numFmtId="0" fontId="34" fillId="0" borderId="15" xfId="0" applyFont="1" applyBorder="1" applyAlignment="1">
      <alignment horizontal="center" vertical="center"/>
    </xf>
    <xf numFmtId="9" fontId="34" fillId="0" borderId="0" xfId="0" applyNumberFormat="1" applyFont="1"/>
    <xf numFmtId="0" fontId="34" fillId="10" borderId="24" xfId="0" applyFont="1" applyFill="1" applyBorder="1" applyAlignment="1">
      <alignment horizontal="center" vertical="center"/>
    </xf>
    <xf numFmtId="0" fontId="34" fillId="10" borderId="25" xfId="0" applyFont="1" applyFill="1" applyBorder="1" applyAlignment="1">
      <alignment horizontal="center" vertical="center" wrapText="1"/>
    </xf>
    <xf numFmtId="0" fontId="36" fillId="10" borderId="26" xfId="0" applyFont="1" applyFill="1" applyBorder="1" applyAlignment="1">
      <alignment horizontal="center" vertical="center" wrapText="1"/>
    </xf>
    <xf numFmtId="165" fontId="36" fillId="10" borderId="27" xfId="1" applyFont="1" applyFill="1" applyBorder="1" applyAlignment="1">
      <alignment horizontal="center" vertical="center" wrapText="1"/>
    </xf>
    <xf numFmtId="165" fontId="36" fillId="10" borderId="28" xfId="1" applyFont="1" applyFill="1" applyBorder="1" applyAlignment="1">
      <alignment horizontal="center" vertical="center" wrapText="1"/>
    </xf>
    <xf numFmtId="4" fontId="36" fillId="10" borderId="28" xfId="1" applyNumberFormat="1" applyFont="1" applyFill="1" applyBorder="1" applyAlignment="1">
      <alignment horizontal="center" vertical="center"/>
    </xf>
    <xf numFmtId="0" fontId="36" fillId="10" borderId="29" xfId="0" applyFont="1" applyFill="1" applyBorder="1" applyAlignment="1">
      <alignment horizontal="left" vertical="center" wrapText="1"/>
    </xf>
    <xf numFmtId="0" fontId="34" fillId="0" borderId="0" xfId="0" applyFont="1" applyAlignment="1">
      <alignment wrapText="1"/>
    </xf>
    <xf numFmtId="0" fontId="34" fillId="0" borderId="0" xfId="0" applyFont="1" applyAlignment="1">
      <alignment horizontal="left" wrapText="1"/>
    </xf>
    <xf numFmtId="0" fontId="35" fillId="0" borderId="30" xfId="0" applyFont="1" applyBorder="1" applyAlignment="1">
      <alignment horizontal="left" vertical="top" wrapText="1"/>
    </xf>
    <xf numFmtId="0" fontId="35" fillId="0" borderId="0" xfId="0" applyFont="1" applyAlignment="1">
      <alignment horizontal="left" vertical="top" wrapText="1"/>
    </xf>
    <xf numFmtId="0" fontId="35" fillId="0" borderId="0" xfId="0" applyFont="1" applyAlignment="1">
      <alignment vertical="top" wrapText="1"/>
    </xf>
    <xf numFmtId="0" fontId="39" fillId="0" borderId="30" xfId="0" applyFont="1" applyBorder="1" applyAlignment="1">
      <alignment horizontal="left" vertical="top" wrapText="1"/>
    </xf>
    <xf numFmtId="0" fontId="39" fillId="0" borderId="0" xfId="0" applyFont="1" applyAlignment="1">
      <alignment horizontal="left" vertical="top" wrapText="1"/>
    </xf>
    <xf numFmtId="0" fontId="35" fillId="0" borderId="0" xfId="0" applyFont="1" applyAlignment="1">
      <alignment horizontal="right"/>
    </xf>
    <xf numFmtId="0" fontId="36" fillId="10" borderId="15" xfId="0" applyFont="1" applyFill="1" applyBorder="1" applyAlignment="1">
      <alignment horizontal="center" vertical="top" wrapText="1"/>
    </xf>
    <xf numFmtId="0" fontId="36" fillId="10" borderId="15" xfId="0" applyFont="1" applyFill="1" applyBorder="1" applyAlignment="1">
      <alignment horizontal="left" vertical="center" wrapText="1"/>
    </xf>
    <xf numFmtId="9" fontId="34" fillId="0" borderId="0" xfId="0" applyNumberFormat="1" applyFont="1" applyAlignment="1">
      <alignment wrapText="1"/>
    </xf>
    <xf numFmtId="0" fontId="36" fillId="0" borderId="15" xfId="0" applyFont="1" applyBorder="1" applyAlignment="1">
      <alignment horizontal="center" vertical="center" wrapText="1"/>
    </xf>
    <xf numFmtId="2" fontId="34" fillId="0" borderId="15" xfId="0" applyNumberFormat="1" applyFont="1" applyBorder="1" applyAlignment="1">
      <alignment horizontal="center" vertical="center"/>
    </xf>
    <xf numFmtId="2" fontId="34" fillId="4" borderId="15" xfId="0" applyNumberFormat="1" applyFont="1" applyFill="1" applyBorder="1" applyAlignment="1">
      <alignment horizontal="center" vertical="center" wrapText="1"/>
    </xf>
    <xf numFmtId="4" fontId="36" fillId="10" borderId="27" xfId="1" applyNumberFormat="1" applyFont="1" applyFill="1" applyBorder="1" applyAlignment="1">
      <alignment horizontal="center" vertical="center"/>
    </xf>
    <xf numFmtId="0" fontId="34" fillId="0" borderId="0" xfId="0" applyFont="1" applyAlignment="1">
      <alignment vertical="center" wrapText="1"/>
    </xf>
    <xf numFmtId="0" fontId="34" fillId="0" borderId="0" xfId="0" applyFont="1" applyAlignment="1">
      <alignment vertical="top" wrapText="1"/>
    </xf>
    <xf numFmtId="168" fontId="34" fillId="0" borderId="0" xfId="1" applyNumberFormat="1" applyFont="1" applyAlignment="1">
      <alignment vertical="center" wrapText="1"/>
    </xf>
    <xf numFmtId="0" fontId="34" fillId="0" borderId="0" xfId="0" applyFont="1" applyAlignment="1">
      <alignment horizontal="center" vertical="center" wrapText="1"/>
    </xf>
    <xf numFmtId="0" fontId="34" fillId="0" borderId="0" xfId="0" applyFont="1" applyAlignment="1">
      <alignment horizontal="left" vertical="top" wrapText="1"/>
    </xf>
    <xf numFmtId="0" fontId="34" fillId="0" borderId="0" xfId="0" applyFont="1" applyAlignment="1">
      <alignment horizontal="center" wrapText="1"/>
    </xf>
    <xf numFmtId="0" fontId="36" fillId="10" borderId="15" xfId="0" applyFont="1" applyFill="1" applyBorder="1" applyAlignment="1">
      <alignment horizontal="left" vertical="center"/>
    </xf>
    <xf numFmtId="0" fontId="35" fillId="0" borderId="0" xfId="0" applyFont="1" applyAlignment="1">
      <alignment horizontal="right" vertical="center" wrapText="1"/>
    </xf>
    <xf numFmtId="0" fontId="34" fillId="0" borderId="15" xfId="0" applyFont="1" applyBorder="1" applyAlignment="1">
      <alignment horizontal="center" vertical="center" wrapText="1"/>
    </xf>
    <xf numFmtId="0" fontId="35" fillId="0" borderId="15" xfId="0" applyFont="1" applyBorder="1" applyAlignment="1">
      <alignment horizontal="center" vertical="center" wrapText="1"/>
    </xf>
    <xf numFmtId="9" fontId="40" fillId="0" borderId="0" xfId="0" applyNumberFormat="1" applyFont="1" applyAlignment="1">
      <alignment horizontal="right" vertical="center" wrapText="1"/>
    </xf>
    <xf numFmtId="9" fontId="43" fillId="0" borderId="0" xfId="0" applyNumberFormat="1" applyFont="1" applyAlignment="1">
      <alignment vertical="center"/>
    </xf>
    <xf numFmtId="0" fontId="34" fillId="0" borderId="15" xfId="0" applyFont="1" applyBorder="1" applyAlignment="1">
      <alignment horizontal="left" vertical="center" wrapText="1"/>
    </xf>
    <xf numFmtId="0" fontId="36" fillId="10" borderId="24" xfId="0" applyFont="1" applyFill="1" applyBorder="1" applyAlignment="1">
      <alignment horizontal="left"/>
    </xf>
    <xf numFmtId="0" fontId="36" fillId="10" borderId="27" xfId="0" applyFont="1" applyFill="1" applyBorder="1" applyAlignment="1">
      <alignment horizontal="left" wrapText="1"/>
    </xf>
    <xf numFmtId="0" fontId="35" fillId="0" borderId="34" xfId="0" applyFont="1" applyBorder="1" applyAlignment="1">
      <alignment horizontal="left" vertical="top" wrapText="1"/>
    </xf>
    <xf numFmtId="0" fontId="39" fillId="0" borderId="34" xfId="0" applyFont="1" applyBorder="1" applyAlignment="1">
      <alignment horizontal="left" vertical="top" wrapText="1"/>
    </xf>
    <xf numFmtId="0" fontId="34" fillId="0" borderId="34" xfId="0" applyFont="1" applyBorder="1"/>
    <xf numFmtId="0" fontId="33" fillId="0" borderId="0" xfId="0" applyFont="1" applyAlignment="1">
      <alignment wrapText="1"/>
    </xf>
    <xf numFmtId="0" fontId="36" fillId="10" borderId="21" xfId="0" applyFont="1" applyFill="1" applyBorder="1" applyAlignment="1">
      <alignment horizontal="center" vertical="center" wrapText="1"/>
    </xf>
    <xf numFmtId="0" fontId="44" fillId="10" borderId="19" xfId="0" applyFont="1" applyFill="1" applyBorder="1" applyAlignment="1">
      <alignment horizontal="center" vertical="center" wrapText="1"/>
    </xf>
    <xf numFmtId="0" fontId="44" fillId="10" borderId="15" xfId="0" applyFont="1" applyFill="1" applyBorder="1" applyAlignment="1">
      <alignment horizontal="center" vertical="center" wrapText="1"/>
    </xf>
    <xf numFmtId="0" fontId="36" fillId="10" borderId="21" xfId="0" applyFont="1" applyFill="1" applyBorder="1" applyAlignment="1">
      <alignment horizontal="left" vertical="center" wrapText="1"/>
    </xf>
    <xf numFmtId="0" fontId="45" fillId="0" borderId="15" xfId="0" applyFont="1" applyBorder="1" applyAlignment="1">
      <alignment horizontal="left" vertical="top" wrapText="1"/>
    </xf>
    <xf numFmtId="2" fontId="46" fillId="0" borderId="15" xfId="0" applyNumberFormat="1" applyFont="1" applyBorder="1" applyAlignment="1">
      <alignment horizontal="center" vertical="top"/>
    </xf>
    <xf numFmtId="2" fontId="34" fillId="0" borderId="15" xfId="0" applyNumberFormat="1" applyFont="1" applyBorder="1" applyAlignment="1">
      <alignment horizontal="center" wrapText="1"/>
    </xf>
    <xf numFmtId="2" fontId="34" fillId="0" borderId="23" xfId="0" applyNumberFormat="1" applyFont="1" applyBorder="1" applyAlignment="1">
      <alignment horizontal="center" wrapText="1"/>
    </xf>
    <xf numFmtId="2" fontId="34" fillId="0" borderId="23" xfId="0" quotePrefix="1" applyNumberFormat="1" applyFont="1" applyBorder="1" applyAlignment="1">
      <alignment horizontal="center" vertical="center"/>
    </xf>
    <xf numFmtId="9" fontId="34" fillId="0" borderId="0" xfId="0" applyNumberFormat="1" applyFont="1" applyAlignment="1">
      <alignment horizontal="center" vertical="center" wrapText="1"/>
    </xf>
    <xf numFmtId="0" fontId="34" fillId="0" borderId="15" xfId="0" applyFont="1" applyBorder="1" applyAlignment="1">
      <alignment horizontal="center" wrapText="1"/>
    </xf>
    <xf numFmtId="0" fontId="39" fillId="0" borderId="15" xfId="0" applyFont="1" applyBorder="1" applyAlignment="1">
      <alignment horizontal="left" vertical="top" wrapText="1"/>
    </xf>
    <xf numFmtId="2" fontId="34" fillId="0" borderId="15" xfId="0" quotePrefix="1" applyNumberFormat="1" applyFont="1" applyBorder="1" applyAlignment="1">
      <alignment horizontal="center" vertical="center"/>
    </xf>
    <xf numFmtId="9" fontId="34" fillId="0" borderId="0" xfId="4" applyFont="1"/>
    <xf numFmtId="0" fontId="36" fillId="10" borderId="27" xfId="0" applyFont="1" applyFill="1" applyBorder="1" applyAlignment="1">
      <alignment horizontal="left" vertical="center" wrapText="1"/>
    </xf>
    <xf numFmtId="2" fontId="36" fillId="10" borderId="27" xfId="0" quotePrefix="1" applyNumberFormat="1" applyFont="1" applyFill="1" applyBorder="1" applyAlignment="1">
      <alignment horizontal="center" vertical="center"/>
    </xf>
    <xf numFmtId="0" fontId="36" fillId="10" borderId="25" xfId="0" applyFont="1" applyFill="1" applyBorder="1" applyAlignment="1">
      <alignment horizontal="left" wrapText="1"/>
    </xf>
    <xf numFmtId="0" fontId="34" fillId="0" borderId="0" xfId="0" applyFont="1" applyAlignment="1">
      <alignment horizontal="center"/>
    </xf>
    <xf numFmtId="0" fontId="33" fillId="0" borderId="0" xfId="0" applyFont="1" applyAlignment="1">
      <alignment horizontal="center"/>
    </xf>
    <xf numFmtId="0" fontId="34" fillId="0" borderId="22" xfId="0" applyFont="1" applyBorder="1"/>
    <xf numFmtId="0" fontId="34" fillId="0" borderId="0" xfId="0" applyFont="1" applyAlignment="1">
      <alignment horizontal="center" vertical="top"/>
    </xf>
    <xf numFmtId="0" fontId="37" fillId="10" borderId="15" xfId="0" applyFont="1" applyFill="1" applyBorder="1" applyAlignment="1">
      <alignment horizontal="center" vertical="center"/>
    </xf>
    <xf numFmtId="171" fontId="37" fillId="10" borderId="15" xfId="0" applyNumberFormat="1" applyFont="1" applyFill="1" applyBorder="1" applyAlignment="1">
      <alignment horizontal="center" vertical="center" wrapText="1"/>
    </xf>
    <xf numFmtId="0" fontId="34" fillId="0" borderId="34" xfId="0" applyFont="1" applyBorder="1" applyAlignment="1">
      <alignment horizontal="center" vertical="top"/>
    </xf>
    <xf numFmtId="0" fontId="34" fillId="0" borderId="15" xfId="0" applyFont="1" applyBorder="1" applyAlignment="1">
      <alignment horizontal="center"/>
    </xf>
    <xf numFmtId="0" fontId="34" fillId="0" borderId="15" xfId="0" applyFont="1" applyBorder="1" applyAlignment="1">
      <alignment horizontal="center" vertical="top"/>
    </xf>
    <xf numFmtId="0" fontId="34" fillId="0" borderId="15" xfId="0" applyFont="1" applyBorder="1" applyAlignment="1">
      <alignment horizontal="left"/>
    </xf>
    <xf numFmtId="4" fontId="34" fillId="0" borderId="15" xfId="1" applyNumberFormat="1" applyFont="1" applyBorder="1" applyAlignment="1">
      <alignment horizontal="center" vertical="center"/>
    </xf>
    <xf numFmtId="4" fontId="34" fillId="0" borderId="15" xfId="1" applyNumberFormat="1" applyFont="1" applyFill="1" applyBorder="1" applyAlignment="1">
      <alignment horizontal="center" vertical="center"/>
    </xf>
    <xf numFmtId="4" fontId="37" fillId="10" borderId="22" xfId="1" applyNumberFormat="1" applyFont="1" applyFill="1" applyBorder="1" applyAlignment="1">
      <alignment horizontal="center"/>
    </xf>
    <xf numFmtId="0" fontId="37" fillId="10" borderId="37" xfId="0" applyFont="1" applyFill="1" applyBorder="1"/>
    <xf numFmtId="0" fontId="34" fillId="0" borderId="30" xfId="0" applyFont="1" applyBorder="1" applyAlignment="1">
      <alignment horizontal="center" vertical="top"/>
    </xf>
    <xf numFmtId="0" fontId="36" fillId="0" borderId="15" xfId="0" applyFont="1" applyBorder="1" applyAlignment="1">
      <alignment vertical="top"/>
    </xf>
    <xf numFmtId="0" fontId="36" fillId="0" borderId="15" xfId="0" applyFont="1" applyBorder="1" applyAlignment="1">
      <alignment horizontal="center" vertical="top"/>
    </xf>
    <xf numFmtId="0" fontId="36" fillId="0" borderId="15" xfId="0" applyFont="1" applyBorder="1" applyAlignment="1">
      <alignment horizontal="center"/>
    </xf>
    <xf numFmtId="9" fontId="36" fillId="0" borderId="15" xfId="4" applyFont="1" applyBorder="1" applyAlignment="1">
      <alignment horizontal="center"/>
    </xf>
    <xf numFmtId="0" fontId="47" fillId="0" borderId="0" xfId="0" applyFont="1" applyAlignment="1">
      <alignment horizontal="left"/>
    </xf>
    <xf numFmtId="0" fontId="36" fillId="0" borderId="15" xfId="0" applyFont="1" applyBorder="1" applyAlignment="1">
      <alignment vertical="center" wrapText="1"/>
    </xf>
    <xf numFmtId="0" fontId="39" fillId="0" borderId="15" xfId="0" applyFont="1" applyBorder="1" applyAlignment="1">
      <alignment vertical="center" wrapText="1"/>
    </xf>
    <xf numFmtId="0" fontId="34" fillId="0" borderId="15" xfId="0" applyFont="1" applyBorder="1" applyAlignment="1">
      <alignment vertical="center" wrapText="1"/>
    </xf>
    <xf numFmtId="4" fontId="36" fillId="10" borderId="15" xfId="1" applyNumberFormat="1" applyFont="1" applyFill="1" applyBorder="1" applyAlignment="1">
      <alignment horizontal="center" vertical="center"/>
    </xf>
    <xf numFmtId="0" fontId="41" fillId="10" borderId="19" xfId="0" applyFont="1" applyFill="1" applyBorder="1" applyAlignment="1">
      <alignment horizontal="left"/>
    </xf>
    <xf numFmtId="0" fontId="41" fillId="10" borderId="1" xfId="0" applyFont="1" applyFill="1" applyBorder="1" applyAlignment="1">
      <alignment horizontal="left"/>
    </xf>
    <xf numFmtId="0" fontId="41" fillId="10" borderId="20" xfId="0" applyFont="1" applyFill="1" applyBorder="1" applyAlignment="1">
      <alignment horizontal="left"/>
    </xf>
    <xf numFmtId="0" fontId="34" fillId="10" borderId="15" xfId="0" applyFont="1" applyFill="1" applyBorder="1" applyAlignment="1">
      <alignment vertical="center"/>
    </xf>
    <xf numFmtId="0" fontId="34" fillId="10" borderId="15" xfId="0" applyFont="1" applyFill="1" applyBorder="1" applyAlignment="1">
      <alignment vertical="top" wrapText="1"/>
    </xf>
    <xf numFmtId="0" fontId="34" fillId="0" borderId="15" xfId="0" applyFont="1" applyBorder="1" applyAlignment="1">
      <alignment vertical="top" wrapText="1"/>
    </xf>
    <xf numFmtId="0" fontId="34" fillId="4" borderId="15" xfId="0" applyFont="1" applyFill="1" applyBorder="1" applyAlignment="1">
      <alignment vertical="center" wrapText="1"/>
    </xf>
    <xf numFmtId="0" fontId="41" fillId="10" borderId="15" xfId="0" applyFont="1" applyFill="1" applyBorder="1"/>
    <xf numFmtId="0" fontId="34" fillId="10" borderId="24" xfId="0" applyFont="1" applyFill="1" applyBorder="1" applyAlignment="1">
      <alignment vertical="center"/>
    </xf>
    <xf numFmtId="0" fontId="34" fillId="10" borderId="25" xfId="0" applyFont="1" applyFill="1" applyBorder="1" applyAlignment="1">
      <alignment wrapText="1"/>
    </xf>
    <xf numFmtId="0" fontId="39" fillId="0" borderId="15" xfId="0" applyFont="1" applyBorder="1" applyAlignment="1">
      <alignment vertical="top" wrapText="1"/>
    </xf>
    <xf numFmtId="0" fontId="34" fillId="0" borderId="15" xfId="0" applyFont="1" applyBorder="1" applyAlignment="1">
      <alignment horizontal="left" wrapText="1"/>
    </xf>
    <xf numFmtId="0" fontId="34" fillId="0" borderId="15" xfId="0" applyFont="1" applyBorder="1" applyAlignment="1">
      <alignment wrapText="1"/>
    </xf>
    <xf numFmtId="2" fontId="36" fillId="10" borderId="15" xfId="0" quotePrefix="1" applyNumberFormat="1" applyFont="1" applyFill="1" applyBorder="1" applyAlignment="1">
      <alignment horizontal="center" vertical="center"/>
    </xf>
    <xf numFmtId="2" fontId="36" fillId="0" borderId="15" xfId="0" applyNumberFormat="1" applyFont="1" applyBorder="1" applyAlignment="1">
      <alignment horizontal="center" wrapText="1"/>
    </xf>
    <xf numFmtId="2" fontId="36" fillId="0" borderId="15" xfId="0" quotePrefix="1" applyNumberFormat="1" applyFont="1" applyBorder="1" applyAlignment="1">
      <alignment horizontal="center" vertical="center"/>
    </xf>
    <xf numFmtId="0" fontId="35" fillId="0" borderId="15" xfId="0" applyFont="1" applyBorder="1" applyAlignment="1">
      <alignment horizontal="right" vertical="center" wrapText="1"/>
    </xf>
    <xf numFmtId="0" fontId="36" fillId="10" borderId="15" xfId="0" applyFont="1" applyFill="1" applyBorder="1" applyAlignment="1">
      <alignment horizontal="left"/>
    </xf>
    <xf numFmtId="0" fontId="36" fillId="10" borderId="15" xfId="0" applyFont="1" applyFill="1" applyBorder="1" applyAlignment="1">
      <alignment horizontal="left" wrapText="1"/>
    </xf>
    <xf numFmtId="2" fontId="36" fillId="10" borderId="15" xfId="0" applyNumberFormat="1" applyFont="1" applyFill="1" applyBorder="1" applyAlignment="1">
      <alignment horizontal="center" wrapText="1"/>
    </xf>
    <xf numFmtId="4" fontId="36" fillId="10" borderId="28" xfId="1" applyNumberFormat="1" applyFont="1" applyFill="1" applyBorder="1" applyAlignment="1">
      <alignment horizontal="center"/>
    </xf>
    <xf numFmtId="2" fontId="34" fillId="0" borderId="23" xfId="0" quotePrefix="1" applyNumberFormat="1" applyFont="1" applyBorder="1" applyAlignment="1">
      <alignment horizontal="center"/>
    </xf>
    <xf numFmtId="0" fontId="35" fillId="0" borderId="15" xfId="0" applyFont="1" applyBorder="1" applyAlignment="1">
      <alignment horizontal="center" wrapText="1"/>
    </xf>
    <xf numFmtId="0" fontId="34" fillId="0" borderId="15" xfId="0" applyFont="1" applyBorder="1" applyAlignment="1">
      <alignment horizontal="right" vertical="top" wrapText="1"/>
    </xf>
    <xf numFmtId="0" fontId="36" fillId="10" borderId="15" xfId="0" applyFont="1" applyFill="1" applyBorder="1" applyAlignment="1">
      <alignment wrapText="1"/>
    </xf>
    <xf numFmtId="0" fontId="34" fillId="10" borderId="15" xfId="0" applyFont="1" applyFill="1" applyBorder="1" applyAlignment="1">
      <alignment wrapText="1"/>
    </xf>
    <xf numFmtId="170" fontId="0" fillId="0" borderId="15" xfId="0" applyNumberFormat="1" applyBorder="1" applyAlignment="1">
      <alignment horizontal="center" vertical="center"/>
    </xf>
    <xf numFmtId="0" fontId="34" fillId="0" borderId="15" xfId="0" applyFont="1" applyBorder="1" applyAlignment="1">
      <alignment horizontal="center" vertical="top" wrapText="1"/>
    </xf>
    <xf numFmtId="0" fontId="36" fillId="10" borderId="18" xfId="0" applyFont="1" applyFill="1" applyBorder="1" applyAlignment="1">
      <alignment vertical="top" wrapText="1"/>
    </xf>
    <xf numFmtId="0" fontId="36" fillId="10" borderId="18" xfId="0" applyFont="1" applyFill="1" applyBorder="1" applyAlignment="1">
      <alignment horizontal="center" vertical="center" wrapText="1"/>
    </xf>
    <xf numFmtId="0" fontId="36" fillId="10" borderId="15" xfId="0" applyFont="1" applyFill="1" applyBorder="1" applyAlignment="1">
      <alignment horizontal="center" wrapText="1"/>
    </xf>
    <xf numFmtId="0" fontId="36" fillId="10" borderId="18" xfId="0" applyFont="1" applyFill="1" applyBorder="1" applyAlignment="1">
      <alignment horizontal="center" wrapText="1"/>
    </xf>
    <xf numFmtId="0" fontId="17" fillId="0" borderId="0" xfId="6" applyFont="1" applyAlignment="1">
      <alignment vertical="top" wrapText="1"/>
    </xf>
    <xf numFmtId="0" fontId="0" fillId="0" borderId="15" xfId="0" applyBorder="1" applyAlignment="1">
      <alignment horizontal="left" vertical="top"/>
    </xf>
    <xf numFmtId="0" fontId="0" fillId="0" borderId="15" xfId="0" applyBorder="1" applyAlignment="1">
      <alignment horizontal="center" vertical="center" wrapText="1"/>
    </xf>
    <xf numFmtId="0" fontId="0" fillId="0" borderId="15" xfId="0" applyBorder="1" applyAlignment="1">
      <alignment horizontal="center" wrapText="1"/>
    </xf>
    <xf numFmtId="0" fontId="50" fillId="0" borderId="15" xfId="5" applyFont="1" applyBorder="1" applyAlignment="1">
      <alignment vertical="center"/>
    </xf>
    <xf numFmtId="165" fontId="10" fillId="0" borderId="0" xfId="1" applyFont="1" applyFill="1"/>
    <xf numFmtId="168" fontId="28" fillId="0" borderId="15" xfId="1" applyNumberFormat="1" applyFont="1" applyBorder="1"/>
    <xf numFmtId="165" fontId="10" fillId="0" borderId="15" xfId="1" applyFont="1" applyFill="1" applyBorder="1"/>
    <xf numFmtId="0" fontId="50" fillId="0" borderId="15" xfId="5" applyFont="1" applyBorder="1" applyAlignment="1">
      <alignment vertical="center" wrapText="1"/>
    </xf>
    <xf numFmtId="0" fontId="50" fillId="0" borderId="15" xfId="5" applyFont="1" applyBorder="1" applyAlignment="1">
      <alignment horizontal="left" vertical="center" wrapText="1"/>
    </xf>
    <xf numFmtId="0" fontId="17" fillId="0" borderId="15" xfId="6" applyFont="1" applyBorder="1" applyAlignment="1">
      <alignment vertical="top" wrapText="1"/>
    </xf>
    <xf numFmtId="165" fontId="17" fillId="0" borderId="15" xfId="1" applyFont="1" applyFill="1" applyBorder="1" applyAlignment="1">
      <alignment vertical="top" wrapText="1"/>
    </xf>
    <xf numFmtId="170" fontId="34" fillId="4" borderId="15" xfId="0" applyNumberFormat="1" applyFont="1" applyFill="1" applyBorder="1" applyAlignment="1">
      <alignment horizontal="center" vertical="center" wrapText="1"/>
    </xf>
    <xf numFmtId="0" fontId="36" fillId="10" borderId="22" xfId="0" applyFont="1" applyFill="1" applyBorder="1" applyAlignment="1">
      <alignment horizontal="left" wrapText="1"/>
    </xf>
    <xf numFmtId="0" fontId="36" fillId="10" borderId="38" xfId="0" applyFont="1" applyFill="1" applyBorder="1" applyAlignment="1">
      <alignment horizontal="left" wrapText="1"/>
    </xf>
    <xf numFmtId="2" fontId="36" fillId="10" borderId="22" xfId="0" quotePrefix="1" applyNumberFormat="1" applyFont="1" applyFill="1" applyBorder="1" applyAlignment="1">
      <alignment horizontal="center" vertical="center"/>
    </xf>
    <xf numFmtId="2" fontId="36" fillId="10" borderId="22" xfId="0" quotePrefix="1" applyNumberFormat="1" applyFont="1" applyFill="1" applyBorder="1" applyAlignment="1">
      <alignment horizontal="center"/>
    </xf>
    <xf numFmtId="2" fontId="36" fillId="10" borderId="21" xfId="0" quotePrefix="1" applyNumberFormat="1" applyFont="1" applyFill="1" applyBorder="1" applyAlignment="1">
      <alignment horizontal="center"/>
    </xf>
    <xf numFmtId="2" fontId="36" fillId="10" borderId="38" xfId="0" quotePrefix="1" applyNumberFormat="1" applyFont="1" applyFill="1" applyBorder="1" applyAlignment="1">
      <alignment horizontal="center"/>
    </xf>
    <xf numFmtId="0" fontId="36" fillId="10" borderId="37" xfId="0" applyFont="1" applyFill="1" applyBorder="1" applyAlignment="1">
      <alignment horizontal="left" wrapText="1"/>
    </xf>
    <xf numFmtId="2" fontId="36" fillId="0" borderId="15" xfId="0" applyNumberFormat="1" applyFont="1" applyBorder="1" applyAlignment="1">
      <alignment horizontal="left" vertical="center" wrapText="1"/>
    </xf>
    <xf numFmtId="0" fontId="39" fillId="0" borderId="15" xfId="5" applyFont="1" applyBorder="1" applyAlignment="1">
      <alignment vertical="center"/>
    </xf>
    <xf numFmtId="0" fontId="34" fillId="4" borderId="15" xfId="0" applyFont="1" applyFill="1" applyBorder="1" applyAlignment="1">
      <alignment vertical="center"/>
    </xf>
    <xf numFmtId="2" fontId="34" fillId="0" borderId="15" xfId="0" applyNumberFormat="1" applyFont="1" applyBorder="1" applyAlignment="1">
      <alignment horizontal="center"/>
    </xf>
    <xf numFmtId="0" fontId="36" fillId="10" borderId="36" xfId="0" applyFont="1" applyFill="1" applyBorder="1" applyAlignment="1">
      <alignment horizontal="left"/>
    </xf>
    <xf numFmtId="2" fontId="34" fillId="0" borderId="15" xfId="0" applyNumberFormat="1" applyFont="1" applyBorder="1" applyAlignment="1">
      <alignment horizontal="left" vertical="center" wrapText="1"/>
    </xf>
    <xf numFmtId="0" fontId="36" fillId="10" borderId="27" xfId="0" applyFont="1" applyFill="1" applyBorder="1" applyAlignment="1">
      <alignment vertical="top" wrapText="1"/>
    </xf>
    <xf numFmtId="0" fontId="34" fillId="0" borderId="29" xfId="0" applyFont="1" applyBorder="1" applyAlignment="1">
      <alignment horizontal="center" vertical="center" wrapText="1"/>
    </xf>
    <xf numFmtId="2" fontId="0" fillId="4" borderId="15" xfId="0" applyNumberFormat="1" applyFill="1" applyBorder="1" applyAlignment="1">
      <alignment horizontal="center"/>
    </xf>
    <xf numFmtId="0" fontId="34" fillId="4" borderId="15" xfId="0" applyFont="1" applyFill="1" applyBorder="1" applyAlignment="1">
      <alignment horizontal="left" vertical="center" wrapText="1"/>
    </xf>
    <xf numFmtId="0" fontId="34" fillId="4" borderId="15" xfId="0" applyFont="1" applyFill="1" applyBorder="1" applyAlignment="1">
      <alignment horizontal="left" vertical="top" wrapText="1"/>
    </xf>
    <xf numFmtId="0" fontId="36" fillId="10" borderId="15" xfId="0" applyFont="1" applyFill="1" applyBorder="1" applyAlignment="1">
      <alignment vertical="center"/>
    </xf>
    <xf numFmtId="0" fontId="49" fillId="0" borderId="15" xfId="0" applyFont="1" applyBorder="1" applyAlignment="1">
      <alignment horizontal="center" vertical="center"/>
    </xf>
    <xf numFmtId="0" fontId="49" fillId="0" borderId="15" xfId="0" applyFont="1" applyBorder="1" applyAlignment="1">
      <alignment horizontal="center" vertical="center" wrapText="1"/>
    </xf>
    <xf numFmtId="173" fontId="51" fillId="12" borderId="15" xfId="0" applyNumberFormat="1" applyFont="1" applyFill="1" applyBorder="1" applyAlignment="1">
      <alignment horizontal="center" vertical="center"/>
    </xf>
    <xf numFmtId="172" fontId="51" fillId="0" borderId="15" xfId="7" applyNumberFormat="1" applyFont="1" applyBorder="1" applyAlignment="1">
      <alignment horizontal="center" vertical="center"/>
    </xf>
    <xf numFmtId="4" fontId="51" fillId="4" borderId="15" xfId="0" applyNumberFormat="1" applyFont="1" applyFill="1" applyBorder="1" applyAlignment="1">
      <alignment horizontal="center"/>
    </xf>
    <xf numFmtId="0" fontId="18" fillId="10" borderId="15" xfId="0" applyFont="1" applyFill="1" applyBorder="1" applyAlignment="1">
      <alignment horizontal="center" vertical="center" wrapText="1"/>
    </xf>
    <xf numFmtId="0" fontId="18" fillId="10" borderId="15" xfId="0" applyFont="1" applyFill="1" applyBorder="1" applyAlignment="1">
      <alignment horizontal="left" vertical="center"/>
    </xf>
    <xf numFmtId="172" fontId="18" fillId="10" borderId="15" xfId="7" applyNumberFormat="1" applyFont="1" applyFill="1" applyBorder="1" applyAlignment="1">
      <alignment horizontal="center" vertical="center"/>
    </xf>
    <xf numFmtId="0" fontId="18" fillId="10" borderId="15" xfId="0" applyFont="1" applyFill="1" applyBorder="1" applyAlignment="1">
      <alignment horizontal="center" vertical="center"/>
    </xf>
    <xf numFmtId="0" fontId="17" fillId="12" borderId="15" xfId="0" applyFont="1" applyFill="1" applyBorder="1" applyAlignment="1">
      <alignment horizontal="center" vertical="center"/>
    </xf>
    <xf numFmtId="0" fontId="17" fillId="12" borderId="15" xfId="0" applyFont="1" applyFill="1" applyBorder="1" applyAlignment="1">
      <alignment horizontal="left" vertical="center"/>
    </xf>
    <xf numFmtId="172" fontId="17" fillId="12" borderId="15" xfId="7" applyNumberFormat="1" applyFont="1" applyFill="1" applyBorder="1" applyAlignment="1">
      <alignment horizontal="center" vertical="center"/>
    </xf>
    <xf numFmtId="173" fontId="17" fillId="12" borderId="15" xfId="0" applyNumberFormat="1" applyFont="1" applyFill="1" applyBorder="1" applyAlignment="1">
      <alignment horizontal="center" vertical="center"/>
    </xf>
    <xf numFmtId="0" fontId="17" fillId="0" borderId="15" xfId="0" applyFont="1" applyBorder="1" applyAlignment="1">
      <alignment horizontal="left" vertical="center"/>
    </xf>
    <xf numFmtId="172" fontId="17" fillId="0" borderId="15" xfId="7" applyNumberFormat="1" applyFont="1" applyBorder="1" applyAlignment="1">
      <alignment vertical="center"/>
    </xf>
    <xf numFmtId="172" fontId="17" fillId="0" borderId="15" xfId="7" applyNumberFormat="1" applyFont="1" applyBorder="1" applyAlignment="1">
      <alignment horizontal="center" vertical="center"/>
    </xf>
    <xf numFmtId="174" fontId="17" fillId="13" borderId="15" xfId="7" applyNumberFormat="1" applyFont="1" applyFill="1" applyBorder="1" applyAlignment="1">
      <alignment horizontal="center" vertical="center"/>
    </xf>
    <xf numFmtId="0" fontId="17" fillId="13" borderId="15" xfId="0" applyFont="1" applyFill="1" applyBorder="1" applyAlignment="1">
      <alignment horizontal="left" vertical="center"/>
    </xf>
    <xf numFmtId="172" fontId="17" fillId="13" borderId="15" xfId="7" applyNumberFormat="1" applyFont="1" applyFill="1" applyBorder="1" applyAlignment="1">
      <alignment horizontal="center" vertical="center"/>
    </xf>
    <xf numFmtId="174" fontId="53" fillId="13" borderId="15" xfId="7" applyNumberFormat="1" applyFont="1" applyFill="1" applyBorder="1" applyAlignment="1">
      <alignment horizontal="center" vertical="center"/>
    </xf>
    <xf numFmtId="0" fontId="53" fillId="13" borderId="15" xfId="0" applyFont="1" applyFill="1" applyBorder="1" applyAlignment="1">
      <alignment horizontal="left" vertical="center"/>
    </xf>
    <xf numFmtId="172" fontId="53" fillId="13" borderId="15" xfId="7" applyNumberFormat="1" applyFont="1" applyFill="1" applyBorder="1" applyAlignment="1">
      <alignment horizontal="center" vertical="center"/>
    </xf>
    <xf numFmtId="4" fontId="17" fillId="4" borderId="15" xfId="0" applyNumberFormat="1" applyFont="1" applyFill="1" applyBorder="1" applyAlignment="1">
      <alignment horizontal="center"/>
    </xf>
    <xf numFmtId="0" fontId="17" fillId="0" borderId="15" xfId="8" applyFont="1" applyBorder="1" applyAlignment="1">
      <alignment horizontal="left" vertical="center"/>
    </xf>
    <xf numFmtId="4" fontId="0" fillId="4" borderId="15" xfId="0" applyNumberFormat="1" applyFill="1" applyBorder="1" applyAlignment="1">
      <alignment horizontal="center"/>
    </xf>
    <xf numFmtId="4" fontId="17" fillId="0" borderId="15" xfId="0" applyNumberFormat="1" applyFont="1" applyBorder="1" applyAlignment="1">
      <alignment horizontal="center"/>
    </xf>
    <xf numFmtId="0" fontId="17" fillId="0" borderId="15" xfId="8" applyFont="1" applyBorder="1" applyAlignment="1">
      <alignment horizontal="left"/>
    </xf>
    <xf numFmtId="172" fontId="17" fillId="0" borderId="15" xfId="7" applyNumberFormat="1" applyFont="1" applyBorder="1"/>
    <xf numFmtId="0" fontId="17" fillId="0" borderId="15" xfId="8" applyFont="1" applyBorder="1" applyAlignment="1">
      <alignment horizontal="center" vertical="center"/>
    </xf>
    <xf numFmtId="0" fontId="2" fillId="0" borderId="15" xfId="0" applyFont="1" applyBorder="1" applyAlignment="1">
      <alignment horizontal="center" vertical="center"/>
    </xf>
    <xf numFmtId="0" fontId="17" fillId="0" borderId="15" xfId="9" applyFont="1" applyBorder="1" applyAlignment="1">
      <alignment horizontal="left"/>
    </xf>
    <xf numFmtId="168" fontId="17" fillId="0" borderId="15" xfId="10" applyNumberFormat="1" applyFont="1" applyFill="1" applyBorder="1"/>
    <xf numFmtId="173" fontId="51" fillId="12" borderId="15" xfId="0" applyNumberFormat="1" applyFont="1" applyFill="1" applyBorder="1" applyAlignment="1">
      <alignment horizontal="center"/>
    </xf>
    <xf numFmtId="168" fontId="49" fillId="0" borderId="15" xfId="11" applyNumberFormat="1" applyFont="1" applyBorder="1" applyAlignment="1">
      <alignment horizontal="right" vertical="top"/>
    </xf>
    <xf numFmtId="0" fontId="49" fillId="0" borderId="15" xfId="0" applyFont="1" applyBorder="1" applyAlignment="1">
      <alignment horizontal="center"/>
    </xf>
    <xf numFmtId="168" fontId="51" fillId="0" borderId="15" xfId="11" applyNumberFormat="1" applyFont="1" applyBorder="1"/>
    <xf numFmtId="4" fontId="49" fillId="0" borderId="15" xfId="0" applyNumberFormat="1" applyFont="1" applyBorder="1" applyAlignment="1">
      <alignment horizontal="center"/>
    </xf>
    <xf numFmtId="0" fontId="51" fillId="0" borderId="15" xfId="0" applyFont="1" applyBorder="1" applyAlignment="1">
      <alignment vertical="center"/>
    </xf>
    <xf numFmtId="0" fontId="51" fillId="0" borderId="15" xfId="0" applyFont="1" applyBorder="1"/>
    <xf numFmtId="0" fontId="51" fillId="0" borderId="15" xfId="8" applyFont="1" applyBorder="1" applyAlignment="1">
      <alignment vertical="center"/>
    </xf>
    <xf numFmtId="0" fontId="35" fillId="0" borderId="15" xfId="0" applyFont="1" applyBorder="1" applyAlignment="1">
      <alignment horizontal="right" wrapText="1"/>
    </xf>
    <xf numFmtId="0" fontId="45" fillId="0" borderId="15" xfId="0" applyFont="1" applyBorder="1" applyAlignment="1">
      <alignment horizontal="left" vertical="center" wrapText="1"/>
    </xf>
    <xf numFmtId="2" fontId="34" fillId="0" borderId="15" xfId="0" applyNumberFormat="1" applyFont="1" applyBorder="1" applyAlignment="1">
      <alignment vertical="center" wrapText="1"/>
    </xf>
    <xf numFmtId="0" fontId="46" fillId="0" borderId="15" xfId="0" applyFont="1" applyBorder="1" applyAlignment="1">
      <alignment horizontal="left" vertical="center" wrapText="1"/>
    </xf>
    <xf numFmtId="170" fontId="34" fillId="0" borderId="15" xfId="0" applyNumberFormat="1" applyFont="1" applyBorder="1" applyAlignment="1">
      <alignment vertical="center" wrapText="1"/>
    </xf>
    <xf numFmtId="170" fontId="34" fillId="0" borderId="23" xfId="0" quotePrefix="1" applyNumberFormat="1" applyFont="1" applyBorder="1" applyAlignment="1">
      <alignment horizontal="center" vertical="center"/>
    </xf>
    <xf numFmtId="9" fontId="34" fillId="14" borderId="0" xfId="0" applyNumberFormat="1" applyFont="1" applyFill="1" applyAlignment="1">
      <alignment horizontal="center" vertical="center" wrapText="1"/>
    </xf>
    <xf numFmtId="0" fontId="34" fillId="14" borderId="0" xfId="0" applyFont="1" applyFill="1" applyAlignment="1">
      <alignment wrapText="1"/>
    </xf>
    <xf numFmtId="9" fontId="34" fillId="14" borderId="0" xfId="0" applyNumberFormat="1" applyFont="1" applyFill="1" applyAlignment="1">
      <alignment wrapText="1"/>
    </xf>
    <xf numFmtId="1" fontId="0" fillId="0" borderId="15" xfId="0" applyNumberFormat="1" applyBorder="1" applyAlignment="1">
      <alignment horizontal="center"/>
    </xf>
    <xf numFmtId="0" fontId="11" fillId="0" borderId="15" xfId="0" applyFont="1" applyBorder="1" applyAlignment="1">
      <alignment horizontal="left"/>
    </xf>
    <xf numFmtId="0" fontId="17" fillId="0" borderId="0" xfId="0" applyFont="1" applyAlignment="1">
      <alignment vertical="center"/>
    </xf>
    <xf numFmtId="0" fontId="54" fillId="0" borderId="0" xfId="0" applyFont="1" applyAlignment="1">
      <alignment horizontal="left"/>
    </xf>
    <xf numFmtId="0" fontId="0" fillId="0" borderId="0" xfId="0" applyAlignment="1">
      <alignment horizontal="left" vertical="center" indent="1"/>
    </xf>
    <xf numFmtId="0" fontId="0" fillId="0" borderId="0" xfId="0" applyAlignment="1">
      <alignment horizontal="left"/>
    </xf>
    <xf numFmtId="170" fontId="0" fillId="0" borderId="0" xfId="0" applyNumberFormat="1" applyAlignment="1">
      <alignment horizontal="center" vertical="center"/>
    </xf>
    <xf numFmtId="0" fontId="11" fillId="0" borderId="15" xfId="0" applyFont="1" applyBorder="1" applyAlignment="1">
      <alignment horizontal="left" indent="1"/>
    </xf>
    <xf numFmtId="0" fontId="55" fillId="0" borderId="0" xfId="12" applyFont="1"/>
    <xf numFmtId="168" fontId="56" fillId="0" borderId="0" xfId="13" applyNumberFormat="1" applyFont="1" applyFill="1" applyBorder="1" applyAlignment="1">
      <alignment vertical="center"/>
    </xf>
    <xf numFmtId="168" fontId="55" fillId="0" borderId="0" xfId="13" applyNumberFormat="1" applyFont="1" applyFill="1" applyBorder="1" applyAlignment="1">
      <alignment vertical="center"/>
    </xf>
    <xf numFmtId="10" fontId="17" fillId="0" borderId="15" xfId="4" applyNumberFormat="1" applyFont="1" applyFill="1" applyBorder="1"/>
    <xf numFmtId="168" fontId="55" fillId="0" borderId="15" xfId="13" applyNumberFormat="1" applyFont="1" applyFill="1" applyBorder="1" applyAlignment="1">
      <alignment horizontal="center" vertical="center"/>
    </xf>
    <xf numFmtId="0" fontId="0" fillId="0" borderId="1" xfId="0" applyBorder="1" applyAlignment="1">
      <alignment horizontal="left"/>
    </xf>
    <xf numFmtId="0" fontId="0" fillId="0" borderId="1" xfId="0" applyBorder="1" applyAlignment="1">
      <alignment horizontal="left" vertical="center" indent="3"/>
    </xf>
    <xf numFmtId="0" fontId="57" fillId="15" borderId="0" xfId="0" applyFont="1" applyFill="1"/>
    <xf numFmtId="0" fontId="58" fillId="15" borderId="0" xfId="0" applyFont="1" applyFill="1"/>
    <xf numFmtId="175" fontId="1" fillId="2" borderId="0" xfId="0" applyNumberFormat="1" applyFont="1" applyFill="1" applyAlignment="1">
      <alignment horizontal="center"/>
    </xf>
    <xf numFmtId="176" fontId="1" fillId="2" borderId="15" xfId="0" applyNumberFormat="1" applyFont="1" applyFill="1" applyBorder="1" applyAlignment="1">
      <alignment horizontal="center" vertical="center"/>
    </xf>
    <xf numFmtId="2" fontId="0" fillId="0" borderId="15" xfId="0" applyNumberFormat="1" applyBorder="1"/>
    <xf numFmtId="0" fontId="2" fillId="16" borderId="15" xfId="0" applyFont="1" applyFill="1" applyBorder="1"/>
    <xf numFmtId="2" fontId="2" fillId="16" borderId="15" xfId="0" applyNumberFormat="1" applyFont="1" applyFill="1" applyBorder="1"/>
    <xf numFmtId="0" fontId="2" fillId="4" borderId="15" xfId="0" applyFont="1" applyFill="1" applyBorder="1"/>
    <xf numFmtId="2" fontId="2" fillId="4" borderId="15" xfId="0" applyNumberFormat="1" applyFont="1" applyFill="1" applyBorder="1"/>
    <xf numFmtId="166" fontId="2" fillId="16" borderId="15" xfId="0" applyNumberFormat="1" applyFont="1" applyFill="1" applyBorder="1"/>
    <xf numFmtId="177" fontId="2" fillId="16" borderId="15" xfId="0" applyNumberFormat="1" applyFont="1" applyFill="1" applyBorder="1"/>
    <xf numFmtId="166" fontId="1" fillId="2" borderId="15" xfId="0" applyNumberFormat="1" applyFont="1" applyFill="1" applyBorder="1"/>
    <xf numFmtId="0" fontId="59" fillId="0" borderId="15" xfId="0" applyFont="1" applyBorder="1" applyAlignment="1">
      <alignment vertical="center"/>
    </xf>
    <xf numFmtId="10" fontId="0" fillId="0" borderId="15" xfId="4" applyNumberFormat="1" applyFont="1" applyBorder="1"/>
    <xf numFmtId="0" fontId="0" fillId="16" borderId="15" xfId="0" applyFill="1" applyBorder="1"/>
    <xf numFmtId="9" fontId="0" fillId="0" borderId="15" xfId="0" applyNumberFormat="1" applyBorder="1"/>
    <xf numFmtId="0" fontId="2" fillId="16" borderId="15" xfId="0" applyFont="1" applyFill="1" applyBorder="1" applyAlignment="1">
      <alignment vertical="center"/>
    </xf>
    <xf numFmtId="0" fontId="0" fillId="16" borderId="15" xfId="0" applyFill="1" applyBorder="1" applyAlignment="1">
      <alignment vertical="center"/>
    </xf>
    <xf numFmtId="2" fontId="2" fillId="16" borderId="15" xfId="0" applyNumberFormat="1" applyFont="1" applyFill="1" applyBorder="1" applyAlignment="1">
      <alignment horizontal="center"/>
    </xf>
    <xf numFmtId="0" fontId="13" fillId="16" borderId="15" xfId="0" applyFont="1" applyFill="1" applyBorder="1" applyAlignment="1">
      <alignment horizontal="left" wrapText="1"/>
    </xf>
    <xf numFmtId="0" fontId="0" fillId="16" borderId="15" xfId="0" applyFill="1" applyBorder="1" applyAlignment="1">
      <alignment horizontal="left"/>
    </xf>
    <xf numFmtId="0" fontId="16" fillId="16" borderId="15" xfId="0" applyFont="1" applyFill="1" applyBorder="1" applyAlignment="1">
      <alignment horizontal="left"/>
    </xf>
    <xf numFmtId="166" fontId="2" fillId="16" borderId="15" xfId="0" applyNumberFormat="1" applyFont="1" applyFill="1" applyBorder="1" applyAlignment="1">
      <alignment horizontal="center"/>
    </xf>
    <xf numFmtId="0" fontId="13" fillId="16" borderId="15" xfId="0" applyFont="1" applyFill="1" applyBorder="1" applyAlignment="1">
      <alignment horizontal="left"/>
    </xf>
    <xf numFmtId="0" fontId="13" fillId="16" borderId="15" xfId="0" applyFont="1" applyFill="1" applyBorder="1" applyAlignment="1">
      <alignment horizontal="left" vertical="center" wrapText="1"/>
    </xf>
    <xf numFmtId="0" fontId="12" fillId="16" borderId="15" xfId="0" applyFont="1" applyFill="1" applyBorder="1" applyAlignment="1">
      <alignment horizontal="left"/>
    </xf>
    <xf numFmtId="2" fontId="2" fillId="16" borderId="15" xfId="0" applyNumberFormat="1" applyFont="1" applyFill="1" applyBorder="1" applyAlignment="1">
      <alignment horizontal="center" vertical="center"/>
    </xf>
    <xf numFmtId="10" fontId="17" fillId="0" borderId="15" xfId="4" applyNumberFormat="1" applyFont="1" applyFill="1" applyBorder="1" applyAlignment="1">
      <alignment horizontal="center"/>
    </xf>
    <xf numFmtId="10" fontId="0" fillId="0" borderId="0" xfId="0" applyNumberFormat="1"/>
    <xf numFmtId="2" fontId="1" fillId="2" borderId="15" xfId="0" applyNumberFormat="1" applyFont="1" applyFill="1" applyBorder="1"/>
    <xf numFmtId="10" fontId="0" fillId="0" borderId="0" xfId="4" applyNumberFormat="1" applyFont="1"/>
    <xf numFmtId="175" fontId="1" fillId="2" borderId="15" xfId="0" applyNumberFormat="1" applyFont="1" applyFill="1" applyBorder="1" applyAlignment="1">
      <alignment horizontal="center" vertical="center"/>
    </xf>
    <xf numFmtId="0" fontId="0" fillId="0" borderId="0" xfId="0" quotePrefix="1"/>
    <xf numFmtId="10" fontId="2" fillId="17" borderId="0" xfId="0" applyNumberFormat="1" applyFont="1" applyFill="1"/>
    <xf numFmtId="175" fontId="0" fillId="0" borderId="0" xfId="0" applyNumberFormat="1"/>
    <xf numFmtId="10" fontId="2" fillId="0" borderId="0" xfId="0" applyNumberFormat="1" applyFont="1"/>
    <xf numFmtId="170" fontId="0" fillId="0" borderId="0" xfId="0" applyNumberFormat="1"/>
    <xf numFmtId="178" fontId="2" fillId="0" borderId="0" xfId="0" applyNumberFormat="1" applyFont="1"/>
    <xf numFmtId="2" fontId="2" fillId="0" borderId="0" xfId="0" applyNumberFormat="1" applyFont="1"/>
    <xf numFmtId="9" fontId="60" fillId="0" borderId="0" xfId="0" applyNumberFormat="1" applyFont="1"/>
    <xf numFmtId="2" fontId="0" fillId="14" borderId="0" xfId="0" applyNumberFormat="1" applyFill="1"/>
    <xf numFmtId="0" fontId="61" fillId="0" borderId="0" xfId="14"/>
    <xf numFmtId="0" fontId="61" fillId="0" borderId="0" xfId="14" applyAlignment="1">
      <alignment vertical="center"/>
    </xf>
    <xf numFmtId="0" fontId="33" fillId="18" borderId="15" xfId="0" applyFont="1" applyFill="1" applyBorder="1" applyAlignment="1">
      <alignment horizontal="center"/>
    </xf>
    <xf numFmtId="10" fontId="34" fillId="0" borderId="15" xfId="4" applyNumberFormat="1" applyFont="1" applyBorder="1"/>
    <xf numFmtId="0" fontId="36" fillId="19" borderId="15" xfId="0" applyFont="1" applyFill="1" applyBorder="1"/>
    <xf numFmtId="9" fontId="36" fillId="19" borderId="15" xfId="4" applyFont="1" applyFill="1" applyBorder="1"/>
    <xf numFmtId="10" fontId="36" fillId="19" borderId="15" xfId="4" applyNumberFormat="1" applyFont="1" applyFill="1" applyBorder="1"/>
    <xf numFmtId="0" fontId="2" fillId="16" borderId="0" xfId="0" applyFont="1" applyFill="1"/>
    <xf numFmtId="2" fontId="2" fillId="16" borderId="0" xfId="0" applyNumberFormat="1" applyFont="1" applyFill="1"/>
    <xf numFmtId="0" fontId="34" fillId="0" borderId="19" xfId="0" applyFont="1" applyBorder="1" applyAlignment="1">
      <alignment horizontal="left"/>
    </xf>
    <xf numFmtId="179" fontId="34" fillId="0" borderId="20" xfId="4" applyNumberFormat="1" applyFont="1" applyBorder="1"/>
    <xf numFmtId="0" fontId="33" fillId="18" borderId="21" xfId="0" applyFont="1" applyFill="1" applyBorder="1" applyAlignment="1">
      <alignment horizontal="center"/>
    </xf>
    <xf numFmtId="2" fontId="36" fillId="19" borderId="23" xfId="0" applyNumberFormat="1" applyFont="1" applyFill="1" applyBorder="1"/>
    <xf numFmtId="0" fontId="0" fillId="17" borderId="0" xfId="0" applyFill="1"/>
    <xf numFmtId="2" fontId="0" fillId="17" borderId="0" xfId="0" applyNumberFormat="1" applyFill="1"/>
    <xf numFmtId="0" fontId="18" fillId="16" borderId="15" xfId="0" applyFont="1" applyFill="1" applyBorder="1"/>
    <xf numFmtId="0" fontId="0" fillId="4" borderId="15" xfId="0" applyFill="1" applyBorder="1"/>
    <xf numFmtId="0" fontId="62" fillId="0" borderId="39" xfId="0" applyFont="1" applyBorder="1" applyAlignment="1">
      <alignment vertical="center"/>
    </xf>
    <xf numFmtId="0" fontId="62" fillId="0" borderId="40" xfId="0" applyFont="1" applyBorder="1" applyAlignment="1">
      <alignment vertical="center"/>
    </xf>
    <xf numFmtId="0" fontId="62" fillId="0" borderId="41" xfId="0" applyFont="1" applyBorder="1" applyAlignment="1">
      <alignment vertical="center"/>
    </xf>
    <xf numFmtId="10" fontId="2" fillId="0" borderId="15" xfId="0" applyNumberFormat="1" applyFont="1" applyBorder="1" applyAlignment="1">
      <alignment horizontal="center"/>
    </xf>
    <xf numFmtId="9" fontId="0" fillId="0" borderId="0" xfId="4" applyFont="1" applyAlignment="1">
      <alignment horizontal="center"/>
    </xf>
    <xf numFmtId="0" fontId="33" fillId="18" borderId="15" xfId="0" applyFont="1" applyFill="1" applyBorder="1" applyAlignment="1">
      <alignment horizontal="left"/>
    </xf>
    <xf numFmtId="0" fontId="63" fillId="2" borderId="0" xfId="0" applyFont="1" applyFill="1" applyAlignment="1">
      <alignment vertical="center"/>
    </xf>
    <xf numFmtId="2" fontId="63" fillId="2" borderId="0" xfId="0" applyNumberFormat="1" applyFont="1" applyFill="1" applyAlignment="1">
      <alignment horizontal="center" vertical="center"/>
    </xf>
    <xf numFmtId="2" fontId="63" fillId="2" borderId="0" xfId="0" applyNumberFormat="1" applyFont="1" applyFill="1" applyAlignment="1">
      <alignment horizontal="left" vertical="center"/>
    </xf>
    <xf numFmtId="0" fontId="64" fillId="2" borderId="0" xfId="0" applyFont="1" applyFill="1"/>
    <xf numFmtId="0" fontId="63" fillId="2" borderId="0" xfId="0" applyFont="1" applyFill="1" applyAlignment="1">
      <alignment horizontal="left"/>
    </xf>
    <xf numFmtId="0" fontId="65" fillId="2" borderId="0" xfId="0" applyFont="1" applyFill="1" applyAlignment="1">
      <alignment vertical="center"/>
    </xf>
    <xf numFmtId="0" fontId="65" fillId="2" borderId="0" xfId="0" applyFont="1" applyFill="1"/>
    <xf numFmtId="181" fontId="2" fillId="0" borderId="15" xfId="0" applyNumberFormat="1" applyFont="1" applyBorder="1" applyAlignment="1">
      <alignment horizontal="center"/>
    </xf>
    <xf numFmtId="10" fontId="18" fillId="0" borderId="15" xfId="0" applyNumberFormat="1" applyFont="1" applyBorder="1" applyAlignment="1">
      <alignment horizontal="center"/>
    </xf>
    <xf numFmtId="9" fontId="18" fillId="0" borderId="15" xfId="0" applyNumberFormat="1" applyFont="1" applyBorder="1" applyAlignment="1">
      <alignment horizontal="center"/>
    </xf>
    <xf numFmtId="10" fontId="0" fillId="0" borderId="15" xfId="0" applyNumberFormat="1" applyBorder="1" applyAlignment="1">
      <alignment horizontal="center" vertical="center"/>
    </xf>
    <xf numFmtId="165" fontId="0" fillId="0" borderId="15" xfId="1" applyFont="1" applyBorder="1" applyAlignment="1">
      <alignment horizontal="right"/>
    </xf>
    <xf numFmtId="10" fontId="2" fillId="0" borderId="15" xfId="0" applyNumberFormat="1" applyFont="1" applyBorder="1" applyAlignment="1">
      <alignment horizontal="center" vertical="center"/>
    </xf>
    <xf numFmtId="165" fontId="2" fillId="0" borderId="15" xfId="1" applyFont="1" applyBorder="1" applyAlignment="1">
      <alignment horizontal="right"/>
    </xf>
    <xf numFmtId="10" fontId="0" fillId="15" borderId="0" xfId="4" applyNumberFormat="1" applyFont="1" applyFill="1"/>
    <xf numFmtId="10" fontId="0" fillId="0" borderId="15" xfId="0" applyNumberFormat="1" applyBorder="1"/>
    <xf numFmtId="10" fontId="2" fillId="20" borderId="15" xfId="0" applyNumberFormat="1" applyFont="1" applyFill="1" applyBorder="1"/>
    <xf numFmtId="2" fontId="2" fillId="0" borderId="15" xfId="0" applyNumberFormat="1" applyFont="1" applyBorder="1"/>
    <xf numFmtId="0" fontId="3" fillId="3" borderId="0" xfId="0" applyFont="1" applyFill="1"/>
    <xf numFmtId="0" fontId="57" fillId="3" borderId="0" xfId="0" applyFont="1" applyFill="1"/>
    <xf numFmtId="0" fontId="67" fillId="0" borderId="0" xfId="0" applyFont="1" applyAlignment="1">
      <alignment vertical="center"/>
    </xf>
    <xf numFmtId="9" fontId="17" fillId="0" borderId="0" xfId="4" applyFont="1" applyFill="1"/>
    <xf numFmtId="175" fontId="1" fillId="2" borderId="0" xfId="0" applyNumberFormat="1" applyFont="1" applyFill="1" applyAlignment="1">
      <alignment horizontal="center" vertical="center"/>
    </xf>
    <xf numFmtId="2" fontId="2" fillId="4" borderId="0" xfId="0" applyNumberFormat="1" applyFont="1" applyFill="1"/>
    <xf numFmtId="166" fontId="2" fillId="16" borderId="0" xfId="0" applyNumberFormat="1" applyFont="1" applyFill="1"/>
    <xf numFmtId="166" fontId="1" fillId="2" borderId="0" xfId="0" applyNumberFormat="1" applyFont="1" applyFill="1"/>
    <xf numFmtId="10" fontId="0" fillId="0" borderId="0" xfId="4" applyNumberFormat="1" applyFont="1" applyBorder="1"/>
    <xf numFmtId="176" fontId="1" fillId="2" borderId="0" xfId="0" applyNumberFormat="1" applyFont="1" applyFill="1" applyAlignment="1">
      <alignment horizontal="center" vertical="center"/>
    </xf>
    <xf numFmtId="9" fontId="13" fillId="0" borderId="0" xfId="4" applyFont="1"/>
    <xf numFmtId="166" fontId="2" fillId="16" borderId="23" xfId="0" applyNumberFormat="1" applyFont="1" applyFill="1" applyBorder="1"/>
    <xf numFmtId="165" fontId="36" fillId="0" borderId="15" xfId="15" applyFont="1" applyBorder="1" applyAlignment="1">
      <alignment horizontal="center" vertical="center"/>
    </xf>
    <xf numFmtId="0" fontId="36" fillId="0" borderId="15" xfId="16" applyFont="1" applyBorder="1"/>
    <xf numFmtId="182" fontId="36" fillId="0" borderId="15" xfId="16" applyNumberFormat="1" applyFont="1" applyBorder="1" applyAlignment="1">
      <alignment horizontal="center"/>
    </xf>
    <xf numFmtId="10" fontId="37" fillId="0" borderId="15" xfId="16" applyNumberFormat="1" applyFont="1" applyBorder="1" applyAlignment="1">
      <alignment horizontal="center"/>
    </xf>
    <xf numFmtId="9" fontId="37" fillId="0" borderId="15" xfId="16" applyNumberFormat="1" applyFont="1" applyBorder="1" applyAlignment="1">
      <alignment horizontal="center"/>
    </xf>
    <xf numFmtId="0" fontId="36" fillId="10" borderId="15" xfId="16" applyFont="1" applyFill="1" applyBorder="1"/>
    <xf numFmtId="0" fontId="36" fillId="10" borderId="15" xfId="16" applyFont="1" applyFill="1" applyBorder="1" applyAlignment="1">
      <alignment horizontal="center" vertical="center"/>
    </xf>
    <xf numFmtId="0" fontId="33" fillId="2" borderId="15" xfId="16" applyFont="1" applyFill="1" applyBorder="1"/>
    <xf numFmtId="0" fontId="33" fillId="2" borderId="15" xfId="16" applyFont="1" applyFill="1" applyBorder="1" applyAlignment="1">
      <alignment horizontal="center" vertical="center"/>
    </xf>
    <xf numFmtId="10" fontId="33" fillId="2" borderId="15" xfId="17" applyNumberFormat="1" applyFont="1" applyFill="1" applyBorder="1" applyAlignment="1">
      <alignment horizontal="center" vertical="center"/>
    </xf>
    <xf numFmtId="10" fontId="36" fillId="10" borderId="15" xfId="17" applyNumberFormat="1" applyFont="1" applyFill="1" applyBorder="1" applyAlignment="1">
      <alignment horizontal="right" vertical="center"/>
    </xf>
    <xf numFmtId="0" fontId="29" fillId="0" borderId="15" xfId="16" applyFont="1" applyBorder="1"/>
    <xf numFmtId="14" fontId="29" fillId="0" borderId="15" xfId="16" applyNumberFormat="1" applyFont="1" applyBorder="1" applyAlignment="1">
      <alignment horizontal="center" vertical="center"/>
    </xf>
    <xf numFmtId="4" fontId="10" fillId="0" borderId="15" xfId="16" applyNumberFormat="1" applyFont="1" applyBorder="1" applyAlignment="1">
      <alignment horizontal="center"/>
    </xf>
    <xf numFmtId="17" fontId="1" fillId="2" borderId="15" xfId="18" applyNumberFormat="1" applyFont="1" applyFill="1" applyBorder="1" applyAlignment="1">
      <alignment horizontal="center" vertical="center"/>
    </xf>
    <xf numFmtId="2" fontId="2" fillId="21" borderId="15" xfId="0" applyNumberFormat="1" applyFont="1" applyFill="1" applyBorder="1" applyAlignment="1">
      <alignment horizontal="center"/>
    </xf>
    <xf numFmtId="0" fontId="5" fillId="0" borderId="0" xfId="0" applyFont="1"/>
    <xf numFmtId="0" fontId="9" fillId="0" borderId="15" xfId="16" applyBorder="1"/>
    <xf numFmtId="0" fontId="9" fillId="0" borderId="0" xfId="16"/>
    <xf numFmtId="0" fontId="65" fillId="2" borderId="0" xfId="16" applyFont="1" applyFill="1" applyAlignment="1">
      <alignment vertical="center"/>
    </xf>
    <xf numFmtId="2" fontId="65" fillId="2" borderId="0" xfId="16" applyNumberFormat="1" applyFont="1" applyFill="1" applyAlignment="1">
      <alignment horizontal="center" vertical="center"/>
    </xf>
    <xf numFmtId="2" fontId="65" fillId="2" borderId="0" xfId="16" applyNumberFormat="1" applyFont="1" applyFill="1" applyAlignment="1">
      <alignment horizontal="left" vertical="center"/>
    </xf>
    <xf numFmtId="0" fontId="64" fillId="2" borderId="0" xfId="16" applyFont="1" applyFill="1"/>
    <xf numFmtId="0" fontId="51" fillId="0" borderId="0" xfId="16" applyFont="1"/>
    <xf numFmtId="0" fontId="69" fillId="0" borderId="0" xfId="16" applyFont="1" applyAlignment="1">
      <alignment horizontal="center"/>
    </xf>
    <xf numFmtId="165" fontId="0" fillId="0" borderId="0" xfId="1" applyFont="1" applyAlignment="1">
      <alignment horizontal="center" vertical="center"/>
    </xf>
    <xf numFmtId="0" fontId="17" fillId="0" borderId="15" xfId="16" applyFont="1" applyBorder="1"/>
    <xf numFmtId="3" fontId="17" fillId="0" borderId="15" xfId="16" applyNumberFormat="1" applyFont="1" applyBorder="1"/>
    <xf numFmtId="0" fontId="28" fillId="0" borderId="0" xfId="8"/>
    <xf numFmtId="1" fontId="30" fillId="2" borderId="0" xfId="8" applyNumberFormat="1" applyFont="1" applyFill="1" applyAlignment="1">
      <alignment horizontal="center"/>
    </xf>
    <xf numFmtId="0" fontId="28" fillId="0" borderId="0" xfId="8" applyAlignment="1">
      <alignment horizontal="center"/>
    </xf>
    <xf numFmtId="0" fontId="13" fillId="0" borderId="0" xfId="8" applyFont="1"/>
    <xf numFmtId="165" fontId="0" fillId="0" borderId="0" xfId="10" applyFont="1"/>
    <xf numFmtId="0" fontId="28" fillId="0" borderId="0" xfId="8" applyAlignment="1">
      <alignment horizontal="left" indent="1"/>
    </xf>
    <xf numFmtId="43" fontId="28" fillId="0" borderId="0" xfId="8" applyNumberFormat="1"/>
    <xf numFmtId="0" fontId="28" fillId="0" borderId="0" xfId="8" applyAlignment="1">
      <alignment horizontal="left"/>
    </xf>
    <xf numFmtId="0" fontId="18" fillId="0" borderId="0" xfId="0" applyFont="1"/>
    <xf numFmtId="0" fontId="17" fillId="0" borderId="0" xfId="0" applyFont="1"/>
    <xf numFmtId="2" fontId="17" fillId="0" borderId="0" xfId="0" applyNumberFormat="1" applyFont="1"/>
    <xf numFmtId="0" fontId="17" fillId="22" borderId="0" xfId="0" applyFont="1" applyFill="1"/>
    <xf numFmtId="0" fontId="17" fillId="0" borderId="0" xfId="8" applyFont="1"/>
    <xf numFmtId="182" fontId="1" fillId="2" borderId="0" xfId="8" applyNumberFormat="1" applyFont="1" applyFill="1"/>
    <xf numFmtId="0" fontId="17" fillId="23" borderId="0" xfId="8" applyFont="1" applyFill="1"/>
    <xf numFmtId="1" fontId="53" fillId="23" borderId="0" xfId="8" applyNumberFormat="1" applyFont="1" applyFill="1"/>
    <xf numFmtId="0" fontId="71" fillId="0" borderId="0" xfId="8" applyFont="1"/>
    <xf numFmtId="0" fontId="71" fillId="0" borderId="15" xfId="8" applyFont="1" applyBorder="1"/>
    <xf numFmtId="0" fontId="73" fillId="0" borderId="15" xfId="19" applyFont="1" applyBorder="1" applyAlignment="1">
      <alignment horizontal="center"/>
    </xf>
    <xf numFmtId="4" fontId="71" fillId="0" borderId="15" xfId="8" applyNumberFormat="1" applyFont="1" applyBorder="1"/>
    <xf numFmtId="165" fontId="71" fillId="0" borderId="15" xfId="13" applyFont="1" applyBorder="1"/>
    <xf numFmtId="165" fontId="17" fillId="0" borderId="15" xfId="13" applyFont="1" applyBorder="1"/>
    <xf numFmtId="2" fontId="71" fillId="0" borderId="15" xfId="8" applyNumberFormat="1" applyFont="1" applyBorder="1"/>
    <xf numFmtId="172" fontId="71" fillId="0" borderId="15" xfId="13" applyNumberFormat="1" applyFont="1" applyBorder="1"/>
    <xf numFmtId="172" fontId="74" fillId="24" borderId="15" xfId="13" applyNumberFormat="1" applyFont="1" applyFill="1" applyBorder="1"/>
    <xf numFmtId="172" fontId="17" fillId="0" borderId="15" xfId="13" applyNumberFormat="1" applyFont="1" applyBorder="1"/>
    <xf numFmtId="0" fontId="71" fillId="0" borderId="0" xfId="8" applyFont="1" applyAlignment="1">
      <alignment horizontal="center"/>
    </xf>
    <xf numFmtId="2" fontId="71" fillId="0" borderId="0" xfId="8" applyNumberFormat="1" applyFont="1"/>
    <xf numFmtId="165" fontId="71" fillId="0" borderId="0" xfId="13" applyFont="1"/>
    <xf numFmtId="165" fontId="17" fillId="0" borderId="0" xfId="13" applyFont="1"/>
    <xf numFmtId="2" fontId="17" fillId="0" borderId="0" xfId="8" applyNumberFormat="1" applyFont="1"/>
    <xf numFmtId="0" fontId="2" fillId="10" borderId="15" xfId="18" applyFont="1" applyFill="1" applyBorder="1"/>
    <xf numFmtId="0" fontId="71" fillId="0" borderId="0" xfId="18" applyFont="1"/>
    <xf numFmtId="0" fontId="36" fillId="10" borderId="15" xfId="20" applyFont="1" applyFill="1" applyBorder="1"/>
    <xf numFmtId="0" fontId="34" fillId="10" borderId="15" xfId="20" applyFont="1" applyFill="1" applyBorder="1" applyAlignment="1">
      <alignment horizontal="center" vertical="center"/>
    </xf>
    <xf numFmtId="0" fontId="71" fillId="0" borderId="15" xfId="18" applyFont="1" applyBorder="1"/>
    <xf numFmtId="43" fontId="70" fillId="0" borderId="15" xfId="21" applyFont="1" applyBorder="1"/>
    <xf numFmtId="43" fontId="9" fillId="0" borderId="15" xfId="21" applyFont="1" applyBorder="1"/>
    <xf numFmtId="43" fontId="71" fillId="0" borderId="15" xfId="21" applyFont="1" applyBorder="1"/>
    <xf numFmtId="0" fontId="75" fillId="0" borderId="15" xfId="18" applyFont="1" applyBorder="1" applyAlignment="1">
      <alignment horizontal="center"/>
    </xf>
    <xf numFmtId="2" fontId="2" fillId="22" borderId="15" xfId="18" applyNumberFormat="1" applyFont="1" applyFill="1" applyBorder="1"/>
    <xf numFmtId="0" fontId="71" fillId="0" borderId="0" xfId="18" applyFont="1" applyAlignment="1">
      <alignment horizontal="center"/>
    </xf>
    <xf numFmtId="43" fontId="71" fillId="0" borderId="0" xfId="21" applyFont="1"/>
    <xf numFmtId="2" fontId="71" fillId="0" borderId="0" xfId="18" applyNumberFormat="1" applyFont="1"/>
    <xf numFmtId="0" fontId="75" fillId="0" borderId="0" xfId="18" applyFont="1" applyAlignment="1">
      <alignment horizontal="center"/>
    </xf>
    <xf numFmtId="0" fontId="68" fillId="0" borderId="0" xfId="18"/>
    <xf numFmtId="0" fontId="75" fillId="0" borderId="0" xfId="18" applyFont="1"/>
    <xf numFmtId="4" fontId="75" fillId="0" borderId="0" xfId="18" applyNumberFormat="1" applyFont="1"/>
    <xf numFmtId="0" fontId="1" fillId="2" borderId="0" xfId="18" applyFont="1" applyFill="1" applyAlignment="1">
      <alignment vertical="center"/>
    </xf>
    <xf numFmtId="17" fontId="1" fillId="2" borderId="0" xfId="18" applyNumberFormat="1" applyFont="1" applyFill="1" applyAlignment="1">
      <alignment horizontal="center" vertical="center"/>
    </xf>
    <xf numFmtId="0" fontId="34" fillId="0" borderId="0" xfId="20" applyFont="1" applyAlignment="1">
      <alignment horizontal="center" vertical="center"/>
    </xf>
    <xf numFmtId="0" fontId="39" fillId="0" borderId="15" xfId="20" applyFont="1" applyBorder="1"/>
    <xf numFmtId="0" fontId="34" fillId="0" borderId="15" xfId="20" applyFont="1" applyBorder="1" applyAlignment="1">
      <alignment horizontal="center" vertical="center"/>
    </xf>
    <xf numFmtId="0" fontId="37" fillId="10" borderId="15" xfId="20" applyFont="1" applyFill="1" applyBorder="1"/>
    <xf numFmtId="43" fontId="75" fillId="10" borderId="0" xfId="21" applyFont="1" applyFill="1"/>
    <xf numFmtId="4" fontId="71" fillId="0" borderId="0" xfId="18" applyNumberFormat="1" applyFont="1"/>
    <xf numFmtId="0" fontId="34" fillId="0" borderId="15" xfId="20" applyFont="1" applyBorder="1"/>
    <xf numFmtId="43" fontId="75" fillId="10" borderId="0" xfId="18" applyNumberFormat="1" applyFont="1" applyFill="1"/>
    <xf numFmtId="0" fontId="34" fillId="0" borderId="0" xfId="20" applyFont="1"/>
    <xf numFmtId="0" fontId="9" fillId="0" borderId="0" xfId="20"/>
    <xf numFmtId="0" fontId="1" fillId="25" borderId="0" xfId="18" applyFont="1" applyFill="1" applyAlignment="1">
      <alignment vertical="center"/>
    </xf>
    <xf numFmtId="0" fontId="9" fillId="26" borderId="0" xfId="20" applyFill="1"/>
    <xf numFmtId="0" fontId="2" fillId="0" borderId="0" xfId="20" applyFont="1"/>
    <xf numFmtId="15" fontId="18" fillId="26" borderId="15" xfId="20" applyNumberFormat="1" applyFont="1" applyFill="1" applyBorder="1"/>
    <xf numFmtId="15" fontId="1" fillId="2" borderId="15" xfId="20" applyNumberFormat="1" applyFont="1" applyFill="1" applyBorder="1"/>
    <xf numFmtId="0" fontId="9" fillId="27" borderId="0" xfId="20" applyFill="1"/>
    <xf numFmtId="0" fontId="1" fillId="2" borderId="0" xfId="20" applyFont="1" applyFill="1"/>
    <xf numFmtId="2" fontId="2" fillId="26" borderId="0" xfId="20" applyNumberFormat="1" applyFont="1" applyFill="1"/>
    <xf numFmtId="2" fontId="2" fillId="0" borderId="0" xfId="20" applyNumberFormat="1" applyFont="1"/>
    <xf numFmtId="2" fontId="9" fillId="26" borderId="0" xfId="20" applyNumberFormat="1" applyFill="1"/>
    <xf numFmtId="2" fontId="9" fillId="0" borderId="0" xfId="20" applyNumberFormat="1"/>
    <xf numFmtId="2" fontId="9" fillId="26" borderId="17" xfId="20" applyNumberFormat="1" applyFill="1" applyBorder="1"/>
    <xf numFmtId="2" fontId="9" fillId="0" borderId="17" xfId="20" applyNumberFormat="1" applyBorder="1"/>
    <xf numFmtId="2" fontId="2" fillId="26" borderId="1" xfId="15" applyNumberFormat="1" applyFont="1" applyFill="1" applyBorder="1"/>
    <xf numFmtId="2" fontId="2" fillId="10" borderId="1" xfId="15" applyNumberFormat="1" applyFont="1" applyFill="1" applyBorder="1"/>
    <xf numFmtId="10" fontId="0" fillId="26" borderId="0" xfId="17" applyNumberFormat="1" applyFont="1" applyFill="1" applyBorder="1"/>
    <xf numFmtId="10" fontId="0" fillId="0" borderId="0" xfId="17" applyNumberFormat="1" applyFont="1" applyBorder="1"/>
    <xf numFmtId="10" fontId="9" fillId="0" borderId="0" xfId="20" applyNumberFormat="1"/>
    <xf numFmtId="4" fontId="9" fillId="0" borderId="0" xfId="20" applyNumberFormat="1"/>
    <xf numFmtId="10" fontId="0" fillId="0" borderId="0" xfId="17" applyNumberFormat="1" applyFont="1"/>
    <xf numFmtId="10" fontId="0" fillId="26" borderId="17" xfId="17" applyNumberFormat="1" applyFont="1" applyFill="1" applyBorder="1"/>
    <xf numFmtId="10" fontId="0" fillId="0" borderId="17" xfId="17" applyNumberFormat="1" applyFont="1" applyBorder="1"/>
    <xf numFmtId="2" fontId="2" fillId="26" borderId="0" xfId="15" applyNumberFormat="1" applyFont="1" applyFill="1" applyBorder="1"/>
    <xf numFmtId="2" fontId="2" fillId="0" borderId="0" xfId="15" applyNumberFormat="1" applyFont="1" applyFill="1" applyBorder="1"/>
    <xf numFmtId="4" fontId="2" fillId="26" borderId="0" xfId="20" applyNumberFormat="1" applyFont="1" applyFill="1"/>
    <xf numFmtId="4" fontId="9" fillId="26" borderId="0" xfId="20" applyNumberFormat="1" applyFill="1"/>
    <xf numFmtId="10" fontId="0" fillId="0" borderId="0" xfId="17" applyNumberFormat="1" applyFont="1" applyFill="1"/>
    <xf numFmtId="0" fontId="9" fillId="0" borderId="0" xfId="20" applyAlignment="1">
      <alignment wrapText="1"/>
    </xf>
    <xf numFmtId="4" fontId="2" fillId="26" borderId="1" xfId="15" applyNumberFormat="1" applyFont="1" applyFill="1" applyBorder="1"/>
    <xf numFmtId="4" fontId="2" fillId="26" borderId="0" xfId="15" applyNumberFormat="1" applyFont="1" applyFill="1" applyBorder="1"/>
    <xf numFmtId="9" fontId="0" fillId="26" borderId="17" xfId="17" applyFont="1" applyFill="1" applyBorder="1"/>
    <xf numFmtId="9" fontId="0" fillId="0" borderId="17" xfId="17" applyFont="1" applyBorder="1"/>
    <xf numFmtId="0" fontId="76" fillId="0" borderId="0" xfId="20" applyFont="1"/>
    <xf numFmtId="0" fontId="2" fillId="10" borderId="15" xfId="20" applyFont="1" applyFill="1" applyBorder="1"/>
    <xf numFmtId="183" fontId="9" fillId="26" borderId="15" xfId="20" applyNumberFormat="1" applyFill="1" applyBorder="1"/>
    <xf numFmtId="183" fontId="9" fillId="10" borderId="15" xfId="20" applyNumberFormat="1" applyFill="1" applyBorder="1"/>
    <xf numFmtId="49" fontId="37" fillId="10" borderId="15" xfId="22" applyNumberFormat="1" applyFont="1" applyFill="1" applyBorder="1"/>
    <xf numFmtId="185" fontId="37" fillId="10" borderId="15" xfId="22" applyNumberFormat="1" applyFont="1" applyFill="1" applyBorder="1"/>
    <xf numFmtId="14" fontId="2" fillId="10" borderId="15" xfId="0" applyNumberFormat="1" applyFont="1" applyFill="1" applyBorder="1" applyAlignment="1">
      <alignment horizontal="center"/>
    </xf>
    <xf numFmtId="0" fontId="2" fillId="10" borderId="15" xfId="0" applyFont="1" applyFill="1" applyBorder="1" applyAlignment="1">
      <alignment horizontal="center"/>
    </xf>
    <xf numFmtId="14" fontId="2" fillId="10" borderId="22" xfId="0" applyNumberFormat="1" applyFont="1" applyFill="1" applyBorder="1" applyAlignment="1">
      <alignment horizontal="center"/>
    </xf>
    <xf numFmtId="49" fontId="39" fillId="0" borderId="15" xfId="22" applyNumberFormat="1" applyFont="1" applyBorder="1"/>
    <xf numFmtId="0" fontId="39" fillId="0" borderId="15" xfId="22" applyNumberFormat="1" applyFont="1" applyBorder="1"/>
    <xf numFmtId="185" fontId="39" fillId="0" borderId="15" xfId="22" applyNumberFormat="1" applyFont="1" applyBorder="1"/>
    <xf numFmtId="10" fontId="34" fillId="0" borderId="15" xfId="23" applyNumberFormat="1" applyFont="1" applyBorder="1"/>
    <xf numFmtId="0" fontId="34" fillId="10" borderId="15" xfId="0" applyFont="1" applyFill="1" applyBorder="1"/>
    <xf numFmtId="10" fontId="34" fillId="10" borderId="15" xfId="23" applyNumberFormat="1" applyFont="1" applyFill="1" applyBorder="1" applyAlignment="1"/>
    <xf numFmtId="0" fontId="39" fillId="10" borderId="15" xfId="22" applyNumberFormat="1" applyFont="1" applyFill="1" applyBorder="1"/>
    <xf numFmtId="185" fontId="39" fillId="10" borderId="15" xfId="22" applyNumberFormat="1" applyFont="1" applyFill="1" applyBorder="1"/>
    <xf numFmtId="0" fontId="36" fillId="10" borderId="15" xfId="0" applyFont="1" applyFill="1" applyBorder="1"/>
    <xf numFmtId="10" fontId="36" fillId="10" borderId="15" xfId="23" applyNumberFormat="1" applyFont="1" applyFill="1" applyBorder="1" applyAlignment="1"/>
    <xf numFmtId="10" fontId="36" fillId="10" borderId="15" xfId="0" applyNumberFormat="1" applyFont="1" applyFill="1" applyBorder="1"/>
    <xf numFmtId="15" fontId="13" fillId="0" borderId="0" xfId="8" applyNumberFormat="1" applyFont="1"/>
    <xf numFmtId="0" fontId="28" fillId="0" borderId="22" xfId="0" applyFont="1" applyBorder="1"/>
    <xf numFmtId="0" fontId="77" fillId="0" borderId="0" xfId="8" applyFont="1"/>
    <xf numFmtId="0" fontId="77" fillId="0" borderId="22" xfId="0" applyFont="1" applyBorder="1"/>
    <xf numFmtId="0" fontId="78" fillId="0" borderId="0" xfId="8" applyFont="1"/>
    <xf numFmtId="0" fontId="9" fillId="0" borderId="0" xfId="0" applyFont="1"/>
    <xf numFmtId="14" fontId="5" fillId="2" borderId="0" xfId="0" applyNumberFormat="1" applyFont="1" applyFill="1"/>
    <xf numFmtId="2" fontId="0" fillId="0" borderId="21" xfId="0" applyNumberFormat="1" applyBorder="1" applyAlignment="1">
      <alignment horizontal="center"/>
    </xf>
    <xf numFmtId="183" fontId="0" fillId="0" borderId="0" xfId="0" applyNumberFormat="1"/>
    <xf numFmtId="0" fontId="79" fillId="0" borderId="0" xfId="9" applyFont="1"/>
    <xf numFmtId="0" fontId="80" fillId="0" borderId="0" xfId="9" applyFont="1" applyAlignment="1">
      <alignment horizontal="right"/>
    </xf>
    <xf numFmtId="0" fontId="81" fillId="0" borderId="0" xfId="9" applyFont="1"/>
    <xf numFmtId="0" fontId="6" fillId="2" borderId="42" xfId="24" applyFont="1" applyFill="1" applyBorder="1" applyAlignment="1">
      <alignment horizontal="right"/>
    </xf>
    <xf numFmtId="0" fontId="6" fillId="2" borderId="43" xfId="24" applyFont="1" applyFill="1" applyBorder="1" applyAlignment="1">
      <alignment horizontal="right"/>
    </xf>
    <xf numFmtId="0" fontId="6" fillId="2" borderId="44" xfId="24" applyFont="1" applyFill="1" applyBorder="1" applyAlignment="1">
      <alignment horizontal="right"/>
    </xf>
    <xf numFmtId="0" fontId="82" fillId="26" borderId="45" xfId="24" applyFont="1" applyFill="1" applyBorder="1"/>
    <xf numFmtId="172" fontId="82" fillId="26" borderId="46" xfId="24" applyNumberFormat="1" applyFont="1" applyFill="1" applyBorder="1" applyAlignment="1">
      <alignment horizontal="right"/>
    </xf>
    <xf numFmtId="0" fontId="79" fillId="0" borderId="45" xfId="24" applyFont="1" applyBorder="1"/>
    <xf numFmtId="43" fontId="79" fillId="0" borderId="46" xfId="24" applyNumberFormat="1" applyFont="1" applyBorder="1" applyAlignment="1">
      <alignment horizontal="right"/>
    </xf>
    <xf numFmtId="10" fontId="80" fillId="0" borderId="46" xfId="23" applyNumberFormat="1" applyFont="1" applyBorder="1" applyAlignment="1">
      <alignment horizontal="right"/>
    </xf>
    <xf numFmtId="10" fontId="80" fillId="0" borderId="47" xfId="23" applyNumberFormat="1" applyFont="1" applyBorder="1" applyAlignment="1">
      <alignment horizontal="right"/>
    </xf>
    <xf numFmtId="0" fontId="82" fillId="0" borderId="45" xfId="24" applyFont="1" applyBorder="1"/>
    <xf numFmtId="43" fontId="82" fillId="0" borderId="46" xfId="24" applyNumberFormat="1" applyFont="1" applyBorder="1" applyAlignment="1">
      <alignment horizontal="right"/>
    </xf>
    <xf numFmtId="0" fontId="79" fillId="0" borderId="46" xfId="9" applyFont="1" applyBorder="1"/>
    <xf numFmtId="0" fontId="79" fillId="0" borderId="47" xfId="9" applyFont="1" applyBorder="1"/>
    <xf numFmtId="168" fontId="82" fillId="26" borderId="46" xfId="15" applyNumberFormat="1" applyFont="1" applyFill="1" applyBorder="1" applyAlignment="1">
      <alignment horizontal="right"/>
    </xf>
    <xf numFmtId="168" fontId="82" fillId="0" borderId="46" xfId="15" applyNumberFormat="1" applyFont="1" applyBorder="1" applyAlignment="1">
      <alignment horizontal="right"/>
    </xf>
    <xf numFmtId="0" fontId="82" fillId="26" borderId="45" xfId="24" applyFont="1" applyFill="1" applyBorder="1" applyAlignment="1">
      <alignment vertical="center"/>
    </xf>
    <xf numFmtId="168" fontId="82" fillId="26" borderId="46" xfId="15" applyNumberFormat="1" applyFont="1" applyFill="1" applyBorder="1" applyAlignment="1">
      <alignment vertical="center"/>
    </xf>
    <xf numFmtId="168" fontId="82" fillId="26" borderId="47" xfId="15" applyNumberFormat="1" applyFont="1" applyFill="1" applyBorder="1" applyAlignment="1">
      <alignment vertical="center"/>
    </xf>
    <xf numFmtId="0" fontId="80" fillId="0" borderId="45" xfId="24" applyFont="1" applyBorder="1" applyAlignment="1">
      <alignment vertical="center"/>
    </xf>
    <xf numFmtId="10" fontId="80" fillId="0" borderId="46" xfId="23" applyNumberFormat="1" applyFont="1" applyBorder="1" applyAlignment="1">
      <alignment vertical="center"/>
    </xf>
    <xf numFmtId="10" fontId="80" fillId="0" borderId="47" xfId="23" applyNumberFormat="1" applyFont="1" applyBorder="1" applyAlignment="1">
      <alignment vertical="center"/>
    </xf>
    <xf numFmtId="0" fontId="79" fillId="0" borderId="45" xfId="24" applyFont="1" applyBorder="1" applyAlignment="1">
      <alignment vertical="center"/>
    </xf>
    <xf numFmtId="165" fontId="79" fillId="0" borderId="46" xfId="10" applyFont="1" applyBorder="1" applyAlignment="1">
      <alignment vertical="center"/>
    </xf>
    <xf numFmtId="0" fontId="79" fillId="0" borderId="45" xfId="24" applyFont="1" applyBorder="1" applyAlignment="1">
      <alignment vertical="center" wrapText="1"/>
    </xf>
    <xf numFmtId="168" fontId="79" fillId="0" borderId="46" xfId="15" applyNumberFormat="1" applyFont="1" applyBorder="1" applyAlignment="1">
      <alignment vertical="center"/>
    </xf>
    <xf numFmtId="168" fontId="79" fillId="0" borderId="46" xfId="24" applyNumberFormat="1" applyFont="1" applyBorder="1" applyAlignment="1">
      <alignment vertical="center"/>
    </xf>
    <xf numFmtId="168" fontId="83" fillId="0" borderId="46" xfId="24" applyNumberFormat="1" applyFont="1" applyBorder="1" applyAlignment="1">
      <alignment vertical="center"/>
    </xf>
    <xf numFmtId="168" fontId="79" fillId="0" borderId="46" xfId="25" applyNumberFormat="1" applyFont="1" applyFill="1" applyBorder="1" applyAlignment="1">
      <alignment horizontal="right" vertical="center"/>
    </xf>
    <xf numFmtId="168" fontId="82" fillId="26" borderId="46" xfId="24" applyNumberFormat="1" applyFont="1" applyFill="1" applyBorder="1" applyAlignment="1">
      <alignment vertical="center"/>
    </xf>
    <xf numFmtId="165" fontId="79" fillId="0" borderId="46" xfId="13" applyFont="1" applyBorder="1" applyAlignment="1">
      <alignment vertical="center"/>
    </xf>
    <xf numFmtId="165" fontId="79" fillId="0" borderId="47" xfId="13" applyFont="1" applyBorder="1" applyAlignment="1">
      <alignment vertical="center"/>
    </xf>
    <xf numFmtId="10" fontId="79" fillId="0" borderId="46" xfId="24" applyNumberFormat="1" applyFont="1" applyBorder="1" applyAlignment="1">
      <alignment vertical="center"/>
    </xf>
    <xf numFmtId="165" fontId="79" fillId="0" borderId="46" xfId="15" applyFont="1" applyBorder="1" applyAlignment="1">
      <alignment vertical="center"/>
    </xf>
    <xf numFmtId="165" fontId="79" fillId="0" borderId="47" xfId="15" applyFont="1" applyBorder="1" applyAlignment="1">
      <alignment vertical="center"/>
    </xf>
    <xf numFmtId="0" fontId="82" fillId="0" borderId="45" xfId="24" applyFont="1" applyBorder="1" applyAlignment="1">
      <alignment vertical="center"/>
    </xf>
    <xf numFmtId="43" fontId="82" fillId="0" borderId="46" xfId="24" applyNumberFormat="1" applyFont="1" applyBorder="1" applyAlignment="1">
      <alignment vertical="center"/>
    </xf>
    <xf numFmtId="0" fontId="81" fillId="0" borderId="45" xfId="24" applyFont="1" applyBorder="1" applyAlignment="1">
      <alignment vertical="center"/>
    </xf>
    <xf numFmtId="0" fontId="81" fillId="0" borderId="46" xfId="24" applyFont="1" applyBorder="1" applyAlignment="1">
      <alignment vertical="center"/>
    </xf>
    <xf numFmtId="0" fontId="83" fillId="0" borderId="46" xfId="24" applyFont="1" applyBorder="1" applyAlignment="1">
      <alignment vertical="center"/>
    </xf>
    <xf numFmtId="165" fontId="79" fillId="0" borderId="46" xfId="25" applyFont="1" applyFill="1" applyBorder="1" applyAlignment="1">
      <alignment horizontal="center" vertical="center"/>
    </xf>
    <xf numFmtId="165" fontId="82" fillId="26" borderId="46" xfId="25" applyFont="1" applyFill="1" applyBorder="1" applyAlignment="1">
      <alignment horizontal="center" vertical="center"/>
    </xf>
    <xf numFmtId="0" fontId="79" fillId="26" borderId="45" xfId="24" applyFont="1" applyFill="1" applyBorder="1" applyAlignment="1">
      <alignment vertical="center"/>
    </xf>
    <xf numFmtId="165" fontId="79" fillId="26" borderId="46" xfId="25" applyFont="1" applyFill="1" applyBorder="1" applyAlignment="1">
      <alignment horizontal="center" vertical="center"/>
    </xf>
    <xf numFmtId="0" fontId="79" fillId="26" borderId="45" xfId="9" applyFont="1" applyFill="1" applyBorder="1"/>
    <xf numFmtId="0" fontId="82" fillId="26" borderId="45" xfId="9" applyFont="1" applyFill="1" applyBorder="1"/>
    <xf numFmtId="165" fontId="82" fillId="26" borderId="46" xfId="9" applyNumberFormat="1" applyFont="1" applyFill="1" applyBorder="1"/>
    <xf numFmtId="0" fontId="82" fillId="26" borderId="52" xfId="9" applyFont="1" applyFill="1" applyBorder="1"/>
    <xf numFmtId="165" fontId="82" fillId="26" borderId="53" xfId="25" applyFont="1" applyFill="1" applyBorder="1" applyAlignment="1">
      <alignment horizontal="center" vertical="center"/>
    </xf>
    <xf numFmtId="43" fontId="79" fillId="0" borderId="0" xfId="9" applyNumberFormat="1" applyFont="1"/>
    <xf numFmtId="2" fontId="28" fillId="0" borderId="0" xfId="8" applyNumberFormat="1"/>
    <xf numFmtId="168" fontId="79" fillId="0" borderId="47" xfId="24" applyNumberFormat="1" applyFont="1" applyBorder="1" applyAlignment="1">
      <alignment vertical="center"/>
    </xf>
    <xf numFmtId="165" fontId="79" fillId="28" borderId="46" xfId="13" applyFont="1" applyFill="1" applyBorder="1" applyAlignment="1">
      <alignment vertical="center"/>
    </xf>
    <xf numFmtId="165" fontId="82" fillId="28" borderId="46" xfId="13" applyFont="1" applyFill="1" applyBorder="1" applyAlignment="1">
      <alignment vertical="center"/>
    </xf>
    <xf numFmtId="165" fontId="79" fillId="28" borderId="46" xfId="25" applyFont="1" applyFill="1" applyBorder="1" applyAlignment="1">
      <alignment horizontal="center" vertical="center"/>
    </xf>
    <xf numFmtId="10" fontId="62" fillId="12" borderId="0" xfId="4" applyNumberFormat="1" applyFont="1" applyFill="1" applyBorder="1" applyAlignment="1">
      <alignment vertical="center"/>
    </xf>
    <xf numFmtId="0" fontId="62" fillId="12" borderId="0" xfId="0" applyFont="1" applyFill="1" applyAlignment="1">
      <alignment vertical="center"/>
    </xf>
    <xf numFmtId="43" fontId="85" fillId="29" borderId="0" xfId="26" applyNumberFormat="1" applyFont="1" applyFill="1" applyAlignment="1">
      <alignment horizontal="center" vertical="center"/>
    </xf>
    <xf numFmtId="0" fontId="86" fillId="0" borderId="0" xfId="26" applyFont="1" applyAlignment="1">
      <alignment vertical="center"/>
    </xf>
    <xf numFmtId="0" fontId="86" fillId="0" borderId="0" xfId="26" applyFont="1" applyAlignment="1">
      <alignment vertical="center" wrapText="1"/>
    </xf>
    <xf numFmtId="0" fontId="87" fillId="0" borderId="0" xfId="26" applyFont="1" applyAlignment="1">
      <alignment vertical="center"/>
    </xf>
    <xf numFmtId="39" fontId="88" fillId="26" borderId="0" xfId="26" applyNumberFormat="1" applyFont="1" applyFill="1"/>
    <xf numFmtId="10" fontId="10" fillId="0" borderId="0" xfId="0" applyNumberFormat="1" applyFont="1"/>
    <xf numFmtId="43" fontId="85" fillId="30" borderId="0" xfId="26" applyNumberFormat="1" applyFont="1" applyFill="1" applyAlignment="1">
      <alignment horizontal="center" vertical="center"/>
    </xf>
    <xf numFmtId="0" fontId="86" fillId="0" borderId="0" xfId="26" applyFont="1" applyAlignment="1">
      <alignment horizontal="center" vertical="center"/>
    </xf>
    <xf numFmtId="0" fontId="88" fillId="0" borderId="0" xfId="26" applyFont="1" applyAlignment="1">
      <alignment horizontal="center" vertical="center"/>
    </xf>
    <xf numFmtId="43" fontId="85" fillId="29" borderId="0" xfId="7" applyFont="1" applyFill="1" applyAlignment="1">
      <alignment horizontal="center" vertical="center"/>
    </xf>
    <xf numFmtId="43" fontId="86" fillId="0" borderId="0" xfId="7" applyFont="1" applyAlignment="1">
      <alignment horizontal="right" vertical="center"/>
    </xf>
    <xf numFmtId="10" fontId="86" fillId="4" borderId="0" xfId="27" applyNumberFormat="1" applyFont="1" applyFill="1" applyAlignment="1">
      <alignment horizontal="right" vertical="center"/>
    </xf>
    <xf numFmtId="10" fontId="86" fillId="0" borderId="0" xfId="26" applyNumberFormat="1" applyFont="1" applyAlignment="1">
      <alignment horizontal="right" vertical="center"/>
    </xf>
    <xf numFmtId="10" fontId="86" fillId="31" borderId="0" xfId="26" applyNumberFormat="1" applyFont="1" applyFill="1" applyAlignment="1">
      <alignment horizontal="right" vertical="center"/>
    </xf>
    <xf numFmtId="43" fontId="86" fillId="0" borderId="0" xfId="26" applyNumberFormat="1" applyFont="1" applyAlignment="1">
      <alignment horizontal="right" vertical="center"/>
    </xf>
    <xf numFmtId="10" fontId="86" fillId="19" borderId="0" xfId="26" applyNumberFormat="1" applyFont="1" applyFill="1" applyAlignment="1">
      <alignment horizontal="right" vertical="center"/>
    </xf>
    <xf numFmtId="10" fontId="88" fillId="26" borderId="0" xfId="26" applyNumberFormat="1" applyFont="1" applyFill="1"/>
    <xf numFmtId="10" fontId="88" fillId="0" borderId="0" xfId="26" applyNumberFormat="1" applyFont="1" applyAlignment="1">
      <alignment horizontal="right" vertical="center"/>
    </xf>
    <xf numFmtId="10" fontId="86" fillId="32" borderId="0" xfId="26" applyNumberFormat="1" applyFont="1" applyFill="1" applyAlignment="1">
      <alignment horizontal="right" vertical="center"/>
    </xf>
    <xf numFmtId="0" fontId="86" fillId="0" borderId="0" xfId="26" applyFont="1" applyAlignment="1">
      <alignment horizontal="left" vertical="center"/>
    </xf>
    <xf numFmtId="2" fontId="86" fillId="0" borderId="0" xfId="26" applyNumberFormat="1" applyFont="1" applyAlignment="1">
      <alignment horizontal="right" vertical="center"/>
    </xf>
    <xf numFmtId="186" fontId="89" fillId="0" borderId="0" xfId="26" applyNumberFormat="1" applyFont="1" applyAlignment="1">
      <alignment horizontal="left" vertical="center"/>
    </xf>
    <xf numFmtId="10" fontId="89" fillId="0" borderId="0" xfId="26" applyNumberFormat="1" applyFont="1" applyAlignment="1">
      <alignment horizontal="left" vertical="center"/>
    </xf>
    <xf numFmtId="43" fontId="90" fillId="0" borderId="0" xfId="7" applyFont="1" applyAlignment="1">
      <alignment horizontal="right" vertical="center"/>
    </xf>
    <xf numFmtId="9" fontId="90" fillId="0" borderId="0" xfId="27" applyFont="1" applyAlignment="1">
      <alignment horizontal="right" vertical="center"/>
    </xf>
    <xf numFmtId="3" fontId="90" fillId="0" borderId="0" xfId="26" applyNumberFormat="1" applyFont="1" applyAlignment="1">
      <alignment horizontal="right" vertical="center"/>
    </xf>
    <xf numFmtId="9" fontId="89" fillId="0" borderId="0" xfId="27" applyFont="1" applyAlignment="1">
      <alignment horizontal="left" vertical="center"/>
    </xf>
    <xf numFmtId="10" fontId="90" fillId="0" borderId="0" xfId="27" applyNumberFormat="1" applyFont="1" applyAlignment="1">
      <alignment horizontal="right" vertical="center"/>
    </xf>
    <xf numFmtId="0" fontId="86" fillId="0" borderId="0" xfId="28" applyFont="1" applyAlignment="1">
      <alignment horizontal="left" vertical="center"/>
    </xf>
    <xf numFmtId="3" fontId="86" fillId="0" borderId="0" xfId="26" applyNumberFormat="1" applyFont="1" applyAlignment="1">
      <alignment horizontal="right" vertical="center"/>
    </xf>
    <xf numFmtId="4" fontId="86" fillId="0" borderId="0" xfId="26" applyNumberFormat="1" applyFont="1" applyAlignment="1">
      <alignment horizontal="right" vertical="center"/>
    </xf>
    <xf numFmtId="0" fontId="62" fillId="12" borderId="0" xfId="0" applyFont="1" applyFill="1" applyAlignment="1">
      <alignment horizontal="left" vertical="center"/>
    </xf>
    <xf numFmtId="0" fontId="62" fillId="12" borderId="0" xfId="0" applyFont="1" applyFill="1" applyAlignment="1">
      <alignment horizontal="center" vertical="center"/>
    </xf>
    <xf numFmtId="0" fontId="92" fillId="3" borderId="0" xfId="0" applyFont="1" applyFill="1" applyAlignment="1">
      <alignment horizontal="left" vertical="center"/>
    </xf>
    <xf numFmtId="0" fontId="93" fillId="3" borderId="0" xfId="0" applyFont="1" applyFill="1" applyAlignment="1">
      <alignment horizontal="center" vertical="center"/>
    </xf>
    <xf numFmtId="0" fontId="10" fillId="12" borderId="0" xfId="0" applyFont="1" applyFill="1" applyAlignment="1">
      <alignment horizontal="left" vertical="center"/>
    </xf>
    <xf numFmtId="0" fontId="94" fillId="12" borderId="0" xfId="0" applyFont="1" applyFill="1" applyAlignment="1">
      <alignment horizontal="center" vertical="center"/>
    </xf>
    <xf numFmtId="0" fontId="95" fillId="2" borderId="0" xfId="0" applyFont="1" applyFill="1" applyAlignment="1">
      <alignment horizontal="left" vertical="center"/>
    </xf>
    <xf numFmtId="0" fontId="95" fillId="2" borderId="0" xfId="0" applyFont="1" applyFill="1" applyAlignment="1">
      <alignment horizontal="center" vertical="center"/>
    </xf>
    <xf numFmtId="9" fontId="62" fillId="12" borderId="0" xfId="0" applyNumberFormat="1" applyFont="1" applyFill="1" applyAlignment="1">
      <alignment horizontal="left" vertical="center"/>
    </xf>
    <xf numFmtId="187" fontId="10" fillId="12" borderId="0" xfId="0" applyNumberFormat="1" applyFont="1" applyFill="1" applyAlignment="1">
      <alignment horizontal="center" vertical="center"/>
    </xf>
    <xf numFmtId="0" fontId="10" fillId="12" borderId="0" xfId="0" applyFont="1" applyFill="1" applyAlignment="1">
      <alignment horizontal="left" vertical="center" wrapText="1"/>
    </xf>
    <xf numFmtId="0" fontId="29" fillId="33" borderId="1" xfId="0" applyFont="1" applyFill="1" applyBorder="1" applyAlignment="1">
      <alignment horizontal="left" vertical="center" wrapText="1"/>
    </xf>
    <xf numFmtId="185" fontId="29" fillId="33" borderId="1" xfId="0" applyNumberFormat="1" applyFont="1" applyFill="1" applyBorder="1" applyAlignment="1">
      <alignment horizontal="center" vertical="center"/>
    </xf>
    <xf numFmtId="185" fontId="10" fillId="12" borderId="0" xfId="0" applyNumberFormat="1" applyFont="1" applyFill="1" applyAlignment="1">
      <alignment horizontal="center" vertical="center"/>
    </xf>
    <xf numFmtId="185" fontId="29" fillId="12" borderId="0" xfId="0" applyNumberFormat="1" applyFont="1" applyFill="1" applyAlignment="1">
      <alignment horizontal="center" vertical="center"/>
    </xf>
    <xf numFmtId="185" fontId="29" fillId="33" borderId="1" xfId="0" applyNumberFormat="1" applyFont="1" applyFill="1" applyBorder="1" applyAlignment="1">
      <alignment horizontal="left" vertical="center"/>
    </xf>
    <xf numFmtId="0" fontId="96" fillId="12" borderId="0" xfId="0" applyFont="1" applyFill="1" applyAlignment="1">
      <alignment vertical="center"/>
    </xf>
    <xf numFmtId="0" fontId="29" fillId="12" borderId="0" xfId="0" applyFont="1" applyFill="1" applyAlignment="1">
      <alignment horizontal="left" vertical="center"/>
    </xf>
    <xf numFmtId="9" fontId="29" fillId="12" borderId="0" xfId="0" applyNumberFormat="1" applyFont="1" applyFill="1" applyAlignment="1">
      <alignment horizontal="center" vertical="center"/>
    </xf>
    <xf numFmtId="0" fontId="29" fillId="12" borderId="0" xfId="0" applyFont="1" applyFill="1" applyAlignment="1">
      <alignment horizontal="center" vertical="center"/>
    </xf>
    <xf numFmtId="179" fontId="29" fillId="12" borderId="0" xfId="4" applyNumberFormat="1" applyFont="1" applyFill="1" applyBorder="1" applyAlignment="1">
      <alignment horizontal="center" vertical="center"/>
    </xf>
    <xf numFmtId="168" fontId="29" fillId="12" borderId="0" xfId="7" applyNumberFormat="1" applyFont="1" applyFill="1" applyBorder="1" applyAlignment="1">
      <alignment horizontal="center" vertical="center"/>
    </xf>
    <xf numFmtId="9" fontId="29" fillId="12" borderId="0" xfId="4" applyFont="1" applyFill="1" applyBorder="1" applyAlignment="1">
      <alignment horizontal="center" vertical="center"/>
    </xf>
    <xf numFmtId="8" fontId="62" fillId="12" borderId="0" xfId="0" applyNumberFormat="1" applyFont="1" applyFill="1" applyAlignment="1">
      <alignment horizontal="center" vertical="center"/>
    </xf>
    <xf numFmtId="10" fontId="62" fillId="12" borderId="0" xfId="4" applyNumberFormat="1" applyFont="1" applyFill="1" applyAlignment="1">
      <alignment horizontal="center" vertical="center"/>
    </xf>
    <xf numFmtId="9" fontId="62" fillId="12" borderId="0" xfId="0" applyNumberFormat="1" applyFont="1" applyFill="1" applyAlignment="1">
      <alignment horizontal="center" vertical="center"/>
    </xf>
    <xf numFmtId="188" fontId="62" fillId="12" borderId="0" xfId="0" applyNumberFormat="1" applyFont="1" applyFill="1" applyAlignment="1">
      <alignment horizontal="center" vertical="center"/>
    </xf>
    <xf numFmtId="0" fontId="96" fillId="23" borderId="0" xfId="0" applyFont="1" applyFill="1" applyAlignment="1">
      <alignment horizontal="center" vertical="center"/>
    </xf>
    <xf numFmtId="9" fontId="10" fillId="12" borderId="0" xfId="4" applyFont="1" applyFill="1" applyBorder="1" applyAlignment="1">
      <alignment horizontal="center" vertical="center"/>
    </xf>
    <xf numFmtId="10" fontId="62" fillId="12" borderId="0" xfId="0" applyNumberFormat="1" applyFont="1" applyFill="1" applyAlignment="1">
      <alignment horizontal="center" vertical="center"/>
    </xf>
    <xf numFmtId="43" fontId="10" fillId="12" borderId="0" xfId="7" applyFont="1" applyFill="1" applyBorder="1" applyAlignment="1">
      <alignment horizontal="center" vertical="center"/>
    </xf>
    <xf numFmtId="165" fontId="62" fillId="12" borderId="0" xfId="0" applyNumberFormat="1" applyFont="1" applyFill="1" applyAlignment="1">
      <alignment horizontal="center" vertical="center"/>
    </xf>
    <xf numFmtId="166" fontId="10" fillId="12" borderId="0" xfId="0" applyNumberFormat="1" applyFont="1" applyFill="1" applyAlignment="1">
      <alignment horizontal="center" vertical="center"/>
    </xf>
    <xf numFmtId="0" fontId="29" fillId="12" borderId="0" xfId="0" applyFont="1" applyFill="1" applyAlignment="1">
      <alignment vertical="center"/>
    </xf>
    <xf numFmtId="166" fontId="62" fillId="12" borderId="0" xfId="0" applyNumberFormat="1" applyFont="1" applyFill="1" applyAlignment="1">
      <alignment horizontal="center" vertical="center"/>
    </xf>
    <xf numFmtId="0" fontId="95" fillId="2" borderId="0" xfId="0" applyFont="1" applyFill="1"/>
    <xf numFmtId="0" fontId="10" fillId="0" borderId="0" xfId="0" applyFont="1" applyAlignment="1">
      <alignment vertical="center"/>
    </xf>
    <xf numFmtId="2" fontId="10" fillId="0" borderId="0" xfId="0" applyNumberFormat="1" applyFont="1" applyAlignment="1">
      <alignment vertical="center"/>
    </xf>
    <xf numFmtId="43" fontId="62" fillId="0" borderId="0" xfId="7" applyFont="1" applyFill="1" applyBorder="1" applyAlignment="1">
      <alignment horizontal="center"/>
    </xf>
    <xf numFmtId="0" fontId="62" fillId="0" borderId="0" xfId="0" applyFont="1" applyAlignment="1">
      <alignment horizontal="center"/>
    </xf>
    <xf numFmtId="0" fontId="62" fillId="0" borderId="0" xfId="0" applyFont="1" applyAlignment="1">
      <alignment horizontal="left"/>
    </xf>
    <xf numFmtId="0" fontId="96" fillId="0" borderId="1" xfId="0" applyFont="1" applyBorder="1" applyAlignment="1">
      <alignment horizontal="left"/>
    </xf>
    <xf numFmtId="43" fontId="96" fillId="0" borderId="1" xfId="7" applyFont="1" applyFill="1" applyBorder="1" applyAlignment="1">
      <alignment horizontal="center"/>
    </xf>
    <xf numFmtId="43" fontId="96" fillId="0" borderId="1" xfId="7" applyFont="1" applyFill="1" applyBorder="1" applyAlignment="1"/>
    <xf numFmtId="2" fontId="62" fillId="12" borderId="0" xfId="0" applyNumberFormat="1" applyFont="1" applyFill="1" applyAlignment="1">
      <alignment horizontal="center" vertical="center"/>
    </xf>
    <xf numFmtId="2" fontId="62" fillId="12" borderId="0" xfId="7" applyNumberFormat="1" applyFont="1" applyFill="1" applyAlignment="1">
      <alignment horizontal="center" vertical="center"/>
    </xf>
    <xf numFmtId="2" fontId="62" fillId="12" borderId="0" xfId="0" applyNumberFormat="1" applyFont="1" applyFill="1" applyAlignment="1">
      <alignment vertical="center"/>
    </xf>
    <xf numFmtId="43" fontId="62" fillId="12" borderId="0" xfId="7" applyFont="1" applyFill="1" applyAlignment="1">
      <alignment horizontal="left" vertical="center"/>
    </xf>
    <xf numFmtId="43" fontId="62" fillId="12" borderId="0" xfId="7" applyFont="1" applyFill="1" applyAlignment="1">
      <alignment horizontal="center" vertical="center"/>
    </xf>
    <xf numFmtId="2" fontId="62" fillId="12" borderId="0" xfId="0" applyNumberFormat="1" applyFont="1" applyFill="1" applyAlignment="1">
      <alignment horizontal="left" vertical="center"/>
    </xf>
    <xf numFmtId="168" fontId="79" fillId="0" borderId="0" xfId="9" applyNumberFormat="1" applyFont="1"/>
    <xf numFmtId="165" fontId="79" fillId="0" borderId="0" xfId="9" applyNumberFormat="1" applyFont="1"/>
    <xf numFmtId="165" fontId="82" fillId="26" borderId="46" xfId="24" applyNumberFormat="1" applyFont="1" applyFill="1" applyBorder="1" applyAlignment="1">
      <alignment vertical="center"/>
    </xf>
    <xf numFmtId="165" fontId="82" fillId="26" borderId="47" xfId="24" applyNumberFormat="1" applyFont="1" applyFill="1" applyBorder="1" applyAlignment="1">
      <alignment vertical="center"/>
    </xf>
    <xf numFmtId="165" fontId="82" fillId="28" borderId="47" xfId="13" applyFont="1" applyFill="1" applyBorder="1" applyAlignment="1">
      <alignment vertical="center"/>
    </xf>
    <xf numFmtId="165" fontId="0" fillId="0" borderId="0" xfId="10" applyFont="1" applyFill="1"/>
    <xf numFmtId="165" fontId="82" fillId="28" borderId="46" xfId="24" applyNumberFormat="1" applyFont="1" applyFill="1" applyBorder="1" applyAlignment="1">
      <alignment vertical="center"/>
    </xf>
    <xf numFmtId="165" fontId="82" fillId="28" borderId="47" xfId="24" applyNumberFormat="1" applyFont="1" applyFill="1" applyBorder="1" applyAlignment="1">
      <alignment vertical="center"/>
    </xf>
    <xf numFmtId="2" fontId="79" fillId="0" borderId="0" xfId="9" applyNumberFormat="1" applyFont="1"/>
    <xf numFmtId="166" fontId="2" fillId="16" borderId="19" xfId="0" applyNumberFormat="1" applyFont="1" applyFill="1" applyBorder="1"/>
    <xf numFmtId="0" fontId="0" fillId="0" borderId="19" xfId="0" applyBorder="1"/>
    <xf numFmtId="0" fontId="69" fillId="0" borderId="0" xfId="0" applyFont="1"/>
    <xf numFmtId="0" fontId="97" fillId="0" borderId="0" xfId="9" applyFont="1"/>
    <xf numFmtId="0" fontId="98" fillId="0" borderId="0" xfId="9" applyFont="1"/>
    <xf numFmtId="0" fontId="99" fillId="2" borderId="15" xfId="18" applyFont="1" applyFill="1" applyBorder="1" applyAlignment="1">
      <alignment vertical="center"/>
    </xf>
    <xf numFmtId="17" fontId="99" fillId="2" borderId="15" xfId="18" applyNumberFormat="1" applyFont="1" applyFill="1" applyBorder="1" applyAlignment="1">
      <alignment horizontal="center" vertical="center"/>
    </xf>
    <xf numFmtId="0" fontId="69" fillId="4" borderId="15" xfId="18" applyFont="1" applyFill="1" applyBorder="1" applyAlignment="1">
      <alignment vertical="center"/>
    </xf>
    <xf numFmtId="2" fontId="97" fillId="0" borderId="15" xfId="9" applyNumberFormat="1" applyFont="1" applyBorder="1" applyAlignment="1">
      <alignment vertical="center"/>
    </xf>
    <xf numFmtId="0" fontId="51" fillId="0" borderId="15" xfId="16" applyFont="1" applyBorder="1"/>
    <xf numFmtId="0" fontId="97" fillId="0" borderId="15" xfId="24" applyFont="1" applyBorder="1" applyAlignment="1">
      <alignment vertical="center"/>
    </xf>
    <xf numFmtId="0" fontId="97" fillId="0" borderId="15" xfId="24" applyFont="1" applyBorder="1" applyAlignment="1">
      <alignment vertical="center" wrapText="1"/>
    </xf>
    <xf numFmtId="43" fontId="97" fillId="0" borderId="15" xfId="9" applyNumberFormat="1" applyFont="1" applyBorder="1" applyAlignment="1">
      <alignment vertical="center"/>
    </xf>
    <xf numFmtId="2" fontId="97" fillId="0" borderId="15" xfId="9" applyNumberFormat="1" applyFont="1" applyBorder="1"/>
    <xf numFmtId="0" fontId="100" fillId="21" borderId="15" xfId="24" applyFont="1" applyFill="1" applyBorder="1" applyAlignment="1">
      <alignment vertical="center"/>
    </xf>
    <xf numFmtId="43" fontId="100" fillId="21" borderId="15" xfId="9" applyNumberFormat="1" applyFont="1" applyFill="1" applyBorder="1"/>
    <xf numFmtId="10" fontId="97" fillId="0" borderId="15" xfId="9" applyNumberFormat="1" applyFont="1" applyBorder="1"/>
    <xf numFmtId="165" fontId="97" fillId="0" borderId="15" xfId="15" applyFont="1" applyBorder="1" applyAlignment="1">
      <alignment vertical="center"/>
    </xf>
    <xf numFmtId="43" fontId="97" fillId="0" borderId="15" xfId="9" applyNumberFormat="1" applyFont="1" applyBorder="1"/>
    <xf numFmtId="2" fontId="100" fillId="21" borderId="15" xfId="9" applyNumberFormat="1" applyFont="1" applyFill="1" applyBorder="1"/>
    <xf numFmtId="10" fontId="97" fillId="0" borderId="15" xfId="24" applyNumberFormat="1" applyFont="1" applyBorder="1" applyAlignment="1">
      <alignment vertical="center"/>
    </xf>
    <xf numFmtId="0" fontId="97" fillId="0" borderId="15" xfId="9" applyFont="1" applyBorder="1"/>
    <xf numFmtId="0" fontId="69" fillId="0" borderId="15" xfId="0" applyFont="1" applyBorder="1"/>
    <xf numFmtId="2" fontId="97" fillId="0" borderId="0" xfId="9" applyNumberFormat="1" applyFont="1"/>
    <xf numFmtId="0" fontId="100" fillId="34" borderId="15" xfId="9" applyFont="1" applyFill="1" applyBorder="1"/>
    <xf numFmtId="2" fontId="100" fillId="34" borderId="15" xfId="9" applyNumberFormat="1" applyFont="1" applyFill="1" applyBorder="1"/>
    <xf numFmtId="0" fontId="100" fillId="34" borderId="15" xfId="24" applyFont="1" applyFill="1" applyBorder="1" applyAlignment="1">
      <alignment vertical="center"/>
    </xf>
    <xf numFmtId="168" fontId="79" fillId="0" borderId="55" xfId="24" applyNumberFormat="1" applyFont="1" applyBorder="1" applyAlignment="1">
      <alignment vertical="center"/>
    </xf>
    <xf numFmtId="2" fontId="100" fillId="0" borderId="15" xfId="9" applyNumberFormat="1" applyFont="1" applyBorder="1"/>
    <xf numFmtId="0" fontId="29" fillId="0" borderId="0" xfId="16" applyFont="1"/>
    <xf numFmtId="10" fontId="29" fillId="22" borderId="0" xfId="23" applyNumberFormat="1" applyFont="1" applyFill="1" applyAlignment="1">
      <alignment horizontal="center"/>
    </xf>
    <xf numFmtId="14" fontId="10" fillId="0" borderId="0" xfId="16" applyNumberFormat="1" applyFont="1" applyAlignment="1">
      <alignment horizontal="center" vertical="center"/>
    </xf>
    <xf numFmtId="10" fontId="2" fillId="16" borderId="0" xfId="0" applyNumberFormat="1" applyFont="1" applyFill="1"/>
    <xf numFmtId="0" fontId="102" fillId="0" borderId="40" xfId="0" applyFont="1" applyBorder="1" applyAlignment="1">
      <alignment vertical="center" wrapText="1"/>
    </xf>
    <xf numFmtId="10" fontId="102" fillId="0" borderId="29" xfId="0" applyNumberFormat="1" applyFont="1" applyBorder="1" applyAlignment="1">
      <alignment horizontal="center" vertical="center"/>
    </xf>
    <xf numFmtId="0" fontId="102" fillId="0" borderId="40" xfId="0" applyFont="1" applyBorder="1" applyAlignment="1">
      <alignment vertical="center"/>
    </xf>
    <xf numFmtId="0" fontId="103" fillId="35" borderId="40" xfId="0" applyFont="1" applyFill="1" applyBorder="1" applyAlignment="1">
      <alignment vertical="center"/>
    </xf>
    <xf numFmtId="10" fontId="103" fillId="35" borderId="29" xfId="0" applyNumberFormat="1" applyFont="1" applyFill="1" applyBorder="1" applyAlignment="1">
      <alignment horizontal="center" vertical="center"/>
    </xf>
    <xf numFmtId="0" fontId="99" fillId="2" borderId="15" xfId="20" applyFont="1" applyFill="1" applyBorder="1" applyAlignment="1">
      <alignment horizontal="center" vertical="center" wrapText="1"/>
    </xf>
    <xf numFmtId="0" fontId="49" fillId="0" borderId="15" xfId="20" applyFont="1" applyBorder="1"/>
    <xf numFmtId="2" fontId="49" fillId="0" borderId="15" xfId="20" applyNumberFormat="1" applyFont="1" applyBorder="1"/>
    <xf numFmtId="0" fontId="69" fillId="0" borderId="15" xfId="20" applyFont="1" applyBorder="1"/>
    <xf numFmtId="10" fontId="49" fillId="0" borderId="15" xfId="20" applyNumberFormat="1" applyFont="1" applyBorder="1" applyAlignment="1">
      <alignment horizontal="center" vertical="center"/>
    </xf>
    <xf numFmtId="10" fontId="69" fillId="0" borderId="15" xfId="20" applyNumberFormat="1" applyFont="1" applyBorder="1" applyAlignment="1">
      <alignment horizontal="center" vertical="center"/>
    </xf>
    <xf numFmtId="2" fontId="69" fillId="0" borderId="15" xfId="20" applyNumberFormat="1" applyFont="1" applyBorder="1"/>
    <xf numFmtId="0" fontId="49" fillId="0" borderId="15" xfId="16" applyFont="1" applyBorder="1"/>
    <xf numFmtId="2" fontId="49" fillId="0" borderId="15" xfId="16" applyNumberFormat="1" applyFont="1" applyBorder="1"/>
    <xf numFmtId="2" fontId="69" fillId="0" borderId="15" xfId="16" applyNumberFormat="1" applyFont="1" applyBorder="1"/>
    <xf numFmtId="10" fontId="104" fillId="16" borderId="0" xfId="4" applyNumberFormat="1" applyFont="1" applyFill="1"/>
    <xf numFmtId="2" fontId="104" fillId="16" borderId="0" xfId="9" applyNumberFormat="1" applyFont="1" applyFill="1"/>
    <xf numFmtId="10" fontId="95" fillId="2" borderId="32" xfId="0" applyNumberFormat="1" applyFont="1" applyFill="1" applyBorder="1" applyAlignment="1">
      <alignment horizontal="center" vertical="center"/>
    </xf>
    <xf numFmtId="166" fontId="95" fillId="2" borderId="0" xfId="0" applyNumberFormat="1" applyFont="1" applyFill="1" applyAlignment="1">
      <alignment horizontal="center" vertical="center"/>
    </xf>
    <xf numFmtId="0" fontId="83" fillId="0" borderId="48" xfId="24" applyFont="1" applyBorder="1" applyAlignment="1">
      <alignment horizontal="center" vertical="center"/>
    </xf>
    <xf numFmtId="0" fontId="83" fillId="0" borderId="49" xfId="24" applyFont="1" applyBorder="1" applyAlignment="1">
      <alignment horizontal="center" vertical="center"/>
    </xf>
    <xf numFmtId="0" fontId="83" fillId="0" borderId="50" xfId="24" applyFont="1" applyBorder="1" applyAlignment="1">
      <alignment horizontal="center" vertical="center"/>
    </xf>
    <xf numFmtId="0" fontId="83" fillId="0" borderId="51" xfId="24" applyFont="1" applyBorder="1" applyAlignment="1">
      <alignment horizontal="center" vertical="center"/>
    </xf>
    <xf numFmtId="0" fontId="83" fillId="0" borderId="0" xfId="24" applyFont="1" applyAlignment="1">
      <alignment horizontal="center" vertical="center"/>
    </xf>
    <xf numFmtId="0" fontId="83" fillId="0" borderId="34" xfId="24" applyFont="1" applyBorder="1" applyAlignment="1">
      <alignment horizontal="center" vertical="center"/>
    </xf>
    <xf numFmtId="0" fontId="83" fillId="0" borderId="54" xfId="24" applyFont="1" applyBorder="1" applyAlignment="1">
      <alignment horizontal="center" vertical="center"/>
    </xf>
    <xf numFmtId="0" fontId="83" fillId="0" borderId="17" xfId="24" applyFont="1" applyBorder="1" applyAlignment="1">
      <alignment horizontal="center" vertical="center"/>
    </xf>
    <xf numFmtId="0" fontId="83" fillId="0" borderId="35" xfId="24" applyFont="1" applyBorder="1" applyAlignment="1">
      <alignment horizontal="center" vertical="center"/>
    </xf>
    <xf numFmtId="0" fontId="33" fillId="18" borderId="30" xfId="0" applyFont="1" applyFill="1" applyBorder="1" applyAlignment="1">
      <alignment horizontal="center"/>
    </xf>
    <xf numFmtId="0" fontId="33" fillId="18" borderId="0" xfId="0" applyFont="1" applyFill="1" applyAlignment="1">
      <alignment horizontal="center"/>
    </xf>
    <xf numFmtId="0" fontId="1" fillId="2" borderId="15" xfId="0" applyFont="1" applyFill="1" applyBorder="1" applyAlignment="1">
      <alignment horizontal="left"/>
    </xf>
    <xf numFmtId="0" fontId="33" fillId="2" borderId="15" xfId="16" applyFont="1" applyFill="1" applyBorder="1" applyAlignment="1">
      <alignment horizontal="center"/>
    </xf>
    <xf numFmtId="0" fontId="101" fillId="2" borderId="56" xfId="0" applyFont="1" applyFill="1" applyBorder="1" applyAlignment="1">
      <alignment horizontal="center" vertical="center"/>
    </xf>
    <xf numFmtId="0" fontId="101" fillId="2" borderId="57" xfId="0" applyFont="1" applyFill="1" applyBorder="1" applyAlignment="1">
      <alignment horizontal="center" vertical="center"/>
    </xf>
    <xf numFmtId="0" fontId="1" fillId="2" borderId="19" xfId="0" applyFont="1" applyFill="1" applyBorder="1" applyAlignment="1">
      <alignment horizontal="center"/>
    </xf>
    <xf numFmtId="0" fontId="1" fillId="2" borderId="1" xfId="0" applyFont="1" applyFill="1" applyBorder="1" applyAlignment="1">
      <alignment horizontal="center"/>
    </xf>
    <xf numFmtId="0" fontId="1" fillId="2" borderId="20" xfId="0" applyFont="1" applyFill="1" applyBorder="1" applyAlignment="1">
      <alignment horizontal="center"/>
    </xf>
    <xf numFmtId="2" fontId="7" fillId="3" borderId="19" xfId="0" applyNumberFormat="1" applyFont="1" applyFill="1" applyBorder="1" applyAlignment="1">
      <alignment horizontal="center"/>
    </xf>
    <xf numFmtId="2" fontId="7" fillId="3" borderId="1" xfId="0" applyNumberFormat="1" applyFont="1" applyFill="1" applyBorder="1" applyAlignment="1">
      <alignment horizontal="center"/>
    </xf>
    <xf numFmtId="2" fontId="7" fillId="3" borderId="20" xfId="0" applyNumberFormat="1" applyFont="1" applyFill="1" applyBorder="1" applyAlignment="1">
      <alignment horizontal="center"/>
    </xf>
    <xf numFmtId="0" fontId="2" fillId="4" borderId="15" xfId="0" applyFont="1" applyFill="1" applyBorder="1" applyAlignment="1">
      <alignment horizontal="center"/>
    </xf>
    <xf numFmtId="180" fontId="1" fillId="2" borderId="15" xfId="0" applyNumberFormat="1" applyFont="1" applyFill="1" applyBorder="1" applyAlignment="1">
      <alignment horizontal="center"/>
    </xf>
    <xf numFmtId="0" fontId="66" fillId="0" borderId="0" xfId="0" applyFont="1" applyAlignment="1">
      <alignment horizontal="center"/>
    </xf>
    <xf numFmtId="0" fontId="1" fillId="2" borderId="21" xfId="0" applyFont="1" applyFill="1" applyBorder="1" applyAlignment="1">
      <alignment horizontal="center" vertical="center"/>
    </xf>
    <xf numFmtId="0" fontId="1" fillId="2" borderId="22" xfId="0" applyFont="1" applyFill="1" applyBorder="1" applyAlignment="1">
      <alignment horizontal="center" vertical="center"/>
    </xf>
    <xf numFmtId="0" fontId="1" fillId="2" borderId="23" xfId="0" applyFont="1" applyFill="1" applyBorder="1" applyAlignment="1">
      <alignment horizontal="center" vertical="center"/>
    </xf>
    <xf numFmtId="10" fontId="1" fillId="2" borderId="19" xfId="0" applyNumberFormat="1" applyFont="1" applyFill="1" applyBorder="1" applyAlignment="1">
      <alignment horizontal="center"/>
    </xf>
    <xf numFmtId="10" fontId="1" fillId="2" borderId="1" xfId="0" applyNumberFormat="1" applyFont="1" applyFill="1" applyBorder="1" applyAlignment="1">
      <alignment horizontal="center"/>
    </xf>
    <xf numFmtId="10" fontId="1" fillId="2" borderId="20" xfId="0" applyNumberFormat="1" applyFont="1" applyFill="1" applyBorder="1" applyAlignment="1">
      <alignment horizontal="center"/>
    </xf>
    <xf numFmtId="0" fontId="1" fillId="16" borderId="19" xfId="0" applyFont="1" applyFill="1" applyBorder="1" applyAlignment="1">
      <alignment horizontal="center" vertical="center"/>
    </xf>
    <xf numFmtId="0" fontId="1" fillId="16" borderId="20" xfId="0" applyFont="1" applyFill="1" applyBorder="1" applyAlignment="1">
      <alignment horizontal="center" vertical="center"/>
    </xf>
    <xf numFmtId="2" fontId="0" fillId="0" borderId="19" xfId="0" applyNumberFormat="1" applyBorder="1" applyAlignment="1">
      <alignment horizontal="center"/>
    </xf>
    <xf numFmtId="2" fontId="0" fillId="0" borderId="20" xfId="0" applyNumberFormat="1" applyBorder="1" applyAlignment="1">
      <alignment horizontal="center"/>
    </xf>
    <xf numFmtId="0" fontId="2" fillId="0" borderId="1" xfId="0" applyFont="1" applyBorder="1" applyAlignment="1">
      <alignment horizontal="left"/>
    </xf>
    <xf numFmtId="0" fontId="1" fillId="16" borderId="19" xfId="0" applyFont="1" applyFill="1" applyBorder="1" applyAlignment="1">
      <alignment horizontal="center"/>
    </xf>
    <xf numFmtId="0" fontId="1" fillId="16" borderId="20" xfId="0" applyFont="1" applyFill="1" applyBorder="1" applyAlignment="1">
      <alignment horizontal="center"/>
    </xf>
    <xf numFmtId="10" fontId="17" fillId="0" borderId="19" xfId="4" applyNumberFormat="1" applyFont="1" applyFill="1" applyBorder="1" applyAlignment="1">
      <alignment horizontal="center"/>
    </xf>
    <xf numFmtId="10" fontId="17" fillId="0" borderId="20" xfId="4" applyNumberFormat="1" applyFont="1" applyFill="1" applyBorder="1" applyAlignment="1">
      <alignment horizontal="center"/>
    </xf>
    <xf numFmtId="0" fontId="18" fillId="0" borderId="17" xfId="6" applyFont="1" applyBorder="1" applyAlignment="1">
      <alignment vertical="top" wrapText="1"/>
    </xf>
    <xf numFmtId="0" fontId="28" fillId="0" borderId="15" xfId="0" applyFont="1" applyBorder="1" applyAlignment="1">
      <alignment horizontal="center"/>
    </xf>
    <xf numFmtId="0" fontId="0" fillId="0" borderId="15" xfId="0" applyBorder="1" applyAlignment="1">
      <alignment horizontal="center"/>
    </xf>
    <xf numFmtId="0" fontId="33" fillId="9" borderId="15" xfId="0" applyFont="1" applyFill="1" applyBorder="1" applyAlignment="1">
      <alignment horizontal="center" vertical="center" wrapText="1"/>
    </xf>
    <xf numFmtId="0" fontId="35" fillId="0" borderId="21" xfId="0" applyFont="1" applyBorder="1" applyAlignment="1">
      <alignment horizontal="right"/>
    </xf>
    <xf numFmtId="0" fontId="34" fillId="0" borderId="19" xfId="0" applyFont="1" applyBorder="1" applyAlignment="1">
      <alignment horizontal="right" vertical="top" wrapText="1"/>
    </xf>
    <xf numFmtId="0" fontId="34" fillId="0" borderId="1" xfId="0" applyFont="1" applyBorder="1" applyAlignment="1">
      <alignment horizontal="right" vertical="top" wrapText="1"/>
    </xf>
    <xf numFmtId="0" fontId="34" fillId="0" borderId="20" xfId="0" applyFont="1" applyBorder="1" applyAlignment="1">
      <alignment horizontal="right" vertical="top" wrapText="1"/>
    </xf>
    <xf numFmtId="0" fontId="41" fillId="10" borderId="19" xfId="0" applyFont="1" applyFill="1" applyBorder="1" applyAlignment="1">
      <alignment horizontal="left"/>
    </xf>
    <xf numFmtId="0" fontId="41" fillId="10" borderId="1" xfId="0" applyFont="1" applyFill="1" applyBorder="1" applyAlignment="1">
      <alignment horizontal="left"/>
    </xf>
    <xf numFmtId="0" fontId="41" fillId="10" borderId="20" xfId="0" applyFont="1" applyFill="1" applyBorder="1" applyAlignment="1">
      <alignment horizontal="left"/>
    </xf>
    <xf numFmtId="0" fontId="42" fillId="0" borderId="31" xfId="0" applyFont="1" applyBorder="1" applyAlignment="1">
      <alignment horizontal="left" vertical="top" wrapText="1"/>
    </xf>
    <xf numFmtId="0" fontId="42" fillId="0" borderId="32" xfId="0" applyFont="1" applyBorder="1" applyAlignment="1">
      <alignment horizontal="left" vertical="top" wrapText="1"/>
    </xf>
    <xf numFmtId="0" fontId="42" fillId="0" borderId="33" xfId="0" applyFont="1" applyBorder="1" applyAlignment="1">
      <alignment horizontal="left" vertical="top" wrapText="1"/>
    </xf>
    <xf numFmtId="0" fontId="42" fillId="0" borderId="30" xfId="0" applyFont="1" applyBorder="1" applyAlignment="1">
      <alignment horizontal="left" vertical="top" wrapText="1"/>
    </xf>
    <xf numFmtId="0" fontId="42" fillId="0" borderId="0" xfId="0" applyFont="1" applyAlignment="1">
      <alignment horizontal="left" vertical="top" wrapText="1"/>
    </xf>
    <xf numFmtId="0" fontId="42" fillId="0" borderId="34" xfId="0" applyFont="1" applyBorder="1" applyAlignment="1">
      <alignment horizontal="left" vertical="top" wrapText="1"/>
    </xf>
    <xf numFmtId="0" fontId="42" fillId="0" borderId="16" xfId="0" applyFont="1" applyBorder="1" applyAlignment="1">
      <alignment horizontal="left" vertical="top" wrapText="1"/>
    </xf>
    <xf numFmtId="0" fontId="42" fillId="0" borderId="17" xfId="0" applyFont="1" applyBorder="1" applyAlignment="1">
      <alignment horizontal="left" vertical="top" wrapText="1"/>
    </xf>
    <xf numFmtId="0" fontId="42" fillId="0" borderId="35" xfId="0" applyFont="1" applyBorder="1" applyAlignment="1">
      <alignment horizontal="left" vertical="top" wrapText="1"/>
    </xf>
    <xf numFmtId="0" fontId="39" fillId="0" borderId="15" xfId="0" applyFont="1" applyBorder="1" applyAlignment="1">
      <alignment horizontal="left" vertical="top" wrapText="1"/>
    </xf>
    <xf numFmtId="0" fontId="33" fillId="2" borderId="0" xfId="0" applyFont="1" applyFill="1" applyAlignment="1">
      <alignment horizontal="center"/>
    </xf>
    <xf numFmtId="0" fontId="42" fillId="4" borderId="22" xfId="0" applyFont="1" applyFill="1" applyBorder="1" applyAlignment="1">
      <alignment horizontal="right"/>
    </xf>
    <xf numFmtId="0" fontId="35" fillId="0" borderId="15" xfId="0" applyFont="1" applyBorder="1" applyAlignment="1">
      <alignment horizontal="right"/>
    </xf>
    <xf numFmtId="0" fontId="37" fillId="10" borderId="36" xfId="0" applyFont="1" applyFill="1" applyBorder="1" applyAlignment="1">
      <alignment horizontal="center" vertical="center"/>
    </xf>
    <xf numFmtId="0" fontId="37" fillId="10" borderId="22" xfId="0" applyFont="1" applyFill="1" applyBorder="1" applyAlignment="1">
      <alignment horizontal="center" vertical="center"/>
    </xf>
    <xf numFmtId="0" fontId="48" fillId="10" borderId="15" xfId="0" applyFont="1" applyFill="1" applyBorder="1" applyAlignment="1">
      <alignment horizontal="left"/>
    </xf>
    <xf numFmtId="0" fontId="0" fillId="0" borderId="15" xfId="0" applyBorder="1" applyAlignment="1">
      <alignment horizontal="center" vertical="center" wrapText="1"/>
    </xf>
    <xf numFmtId="0" fontId="42" fillId="4" borderId="30" xfId="0" applyFont="1" applyFill="1" applyBorder="1" applyAlignment="1">
      <alignment horizontal="right"/>
    </xf>
    <xf numFmtId="0" fontId="42" fillId="4" borderId="0" xfId="0" applyFont="1" applyFill="1" applyAlignment="1">
      <alignment horizontal="right"/>
    </xf>
    <xf numFmtId="0" fontId="0" fillId="0" borderId="15" xfId="0" applyBorder="1" applyAlignment="1">
      <alignment horizontal="right"/>
    </xf>
    <xf numFmtId="0" fontId="41" fillId="10" borderId="15" xfId="0" applyFont="1" applyFill="1" applyBorder="1" applyAlignment="1">
      <alignment horizontal="left"/>
    </xf>
    <xf numFmtId="0" fontId="35" fillId="0" borderId="15" xfId="0" applyFont="1" applyBorder="1" applyAlignment="1">
      <alignment horizontal="left" vertical="top" wrapText="1"/>
    </xf>
    <xf numFmtId="0" fontId="33" fillId="9" borderId="0" xfId="0" applyFont="1" applyFill="1" applyAlignment="1">
      <alignment horizontal="center" vertical="center" wrapText="1"/>
    </xf>
    <xf numFmtId="0" fontId="35" fillId="0" borderId="16" xfId="0" applyFont="1" applyBorder="1" applyAlignment="1">
      <alignment horizontal="right"/>
    </xf>
    <xf numFmtId="0" fontId="35" fillId="0" borderId="17" xfId="0" applyFont="1" applyBorder="1" applyAlignment="1">
      <alignment horizontal="right"/>
    </xf>
    <xf numFmtId="0" fontId="34" fillId="0" borderId="19" xfId="0" applyFont="1" applyBorder="1" applyAlignment="1">
      <alignment horizontal="right" vertical="center" wrapText="1"/>
    </xf>
    <xf numFmtId="0" fontId="34" fillId="0" borderId="1" xfId="0" applyFont="1" applyBorder="1" applyAlignment="1">
      <alignment horizontal="right" vertical="center" wrapText="1"/>
    </xf>
    <xf numFmtId="0" fontId="34" fillId="0" borderId="20" xfId="0" applyFont="1" applyBorder="1" applyAlignment="1">
      <alignment horizontal="right" vertical="center" wrapText="1"/>
    </xf>
    <xf numFmtId="0" fontId="35" fillId="0" borderId="19" xfId="0" applyFont="1" applyBorder="1" applyAlignment="1">
      <alignment horizontal="left" vertical="top" wrapText="1"/>
    </xf>
    <xf numFmtId="0" fontId="30" fillId="11" borderId="15" xfId="0" applyFont="1" applyFill="1" applyBorder="1" applyAlignment="1">
      <alignment horizontal="center"/>
    </xf>
    <xf numFmtId="0" fontId="35" fillId="0" borderId="15" xfId="0" applyFont="1" applyBorder="1" applyAlignment="1">
      <alignment horizontal="right" vertical="center" wrapText="1"/>
    </xf>
    <xf numFmtId="0" fontId="34" fillId="0" borderId="15" xfId="0" applyFont="1" applyBorder="1"/>
    <xf numFmtId="0" fontId="49" fillId="0" borderId="15" xfId="0" applyFont="1" applyBorder="1" applyAlignment="1">
      <alignment horizontal="center" vertical="center" wrapText="1"/>
    </xf>
    <xf numFmtId="0" fontId="39" fillId="0" borderId="31" xfId="0" applyFont="1" applyBorder="1" applyAlignment="1">
      <alignment horizontal="left" vertical="top" wrapText="1"/>
    </xf>
    <xf numFmtId="0" fontId="39" fillId="0" borderId="32" xfId="0" applyFont="1" applyBorder="1" applyAlignment="1">
      <alignment horizontal="left" vertical="top" wrapText="1"/>
    </xf>
    <xf numFmtId="0" fontId="39" fillId="0" borderId="33" xfId="0" applyFont="1" applyBorder="1" applyAlignment="1">
      <alignment horizontal="left" vertical="top" wrapText="1"/>
    </xf>
    <xf numFmtId="0" fontId="39" fillId="0" borderId="30" xfId="0" applyFont="1" applyBorder="1" applyAlignment="1">
      <alignment horizontal="left" vertical="top" wrapText="1"/>
    </xf>
    <xf numFmtId="0" fontId="39" fillId="0" borderId="0" xfId="0" applyFont="1" applyAlignment="1">
      <alignment horizontal="left" vertical="top" wrapText="1"/>
    </xf>
    <xf numFmtId="0" fontId="39" fillId="0" borderId="34" xfId="0" applyFont="1" applyBorder="1" applyAlignment="1">
      <alignment horizontal="left" vertical="top" wrapText="1"/>
    </xf>
    <xf numFmtId="0" fontId="39" fillId="0" borderId="16" xfId="0" applyFont="1" applyBorder="1" applyAlignment="1">
      <alignment horizontal="left" vertical="top" wrapText="1"/>
    </xf>
    <xf numFmtId="0" fontId="39" fillId="0" borderId="17" xfId="0" applyFont="1" applyBorder="1" applyAlignment="1">
      <alignment horizontal="left" vertical="top" wrapText="1"/>
    </xf>
    <xf numFmtId="0" fontId="39" fillId="0" borderId="35" xfId="0" applyFont="1" applyBorder="1" applyAlignment="1">
      <alignment horizontal="left" vertical="top" wrapText="1"/>
    </xf>
    <xf numFmtId="0" fontId="33" fillId="9" borderId="19" xfId="0" applyFont="1" applyFill="1" applyBorder="1" applyAlignment="1">
      <alignment horizontal="center" wrapText="1"/>
    </xf>
    <xf numFmtId="0" fontId="33" fillId="9" borderId="1" xfId="0" applyFont="1" applyFill="1" applyBorder="1" applyAlignment="1">
      <alignment horizontal="center" wrapText="1"/>
    </xf>
    <xf numFmtId="0" fontId="35" fillId="0" borderId="19" xfId="0" applyFont="1" applyBorder="1" applyAlignment="1">
      <alignment horizontal="right"/>
    </xf>
    <xf numFmtId="0" fontId="35" fillId="0" borderId="1" xfId="0" applyFont="1" applyBorder="1" applyAlignment="1">
      <alignment horizontal="right"/>
    </xf>
    <xf numFmtId="0" fontId="35" fillId="0" borderId="20" xfId="0" applyFont="1" applyBorder="1" applyAlignment="1">
      <alignment horizontal="right"/>
    </xf>
    <xf numFmtId="0" fontId="35" fillId="0" borderId="17" xfId="0" applyFont="1" applyBorder="1" applyAlignment="1">
      <alignment horizontal="right" vertical="center" wrapText="1"/>
    </xf>
    <xf numFmtId="0" fontId="35" fillId="0" borderId="35" xfId="0" applyFont="1" applyBorder="1" applyAlignment="1">
      <alignment horizontal="right" vertical="center" wrapText="1"/>
    </xf>
    <xf numFmtId="0" fontId="34" fillId="0" borderId="16" xfId="0" applyFont="1" applyBorder="1" applyAlignment="1">
      <alignment horizontal="right" vertical="center" wrapText="1"/>
    </xf>
    <xf numFmtId="0" fontId="34" fillId="0" borderId="17" xfId="0" applyFont="1" applyBorder="1" applyAlignment="1">
      <alignment horizontal="right" vertical="center" wrapText="1"/>
    </xf>
    <xf numFmtId="0" fontId="34" fillId="0" borderId="35" xfId="0" applyFont="1" applyBorder="1" applyAlignment="1">
      <alignment horizontal="right" vertical="center" wrapText="1"/>
    </xf>
    <xf numFmtId="0" fontId="39" fillId="0" borderId="19" xfId="0" applyFont="1" applyBorder="1" applyAlignment="1">
      <alignment horizontal="left" vertical="top" wrapText="1"/>
    </xf>
    <xf numFmtId="0" fontId="39" fillId="0" borderId="1" xfId="0" applyFont="1" applyBorder="1" applyAlignment="1">
      <alignment horizontal="left" vertical="top" wrapText="1"/>
    </xf>
    <xf numFmtId="0" fontId="39" fillId="0" borderId="20" xfId="0" applyFont="1" applyBorder="1" applyAlignment="1">
      <alignment horizontal="left" vertical="top" wrapText="1"/>
    </xf>
    <xf numFmtId="0" fontId="2" fillId="0" borderId="0" xfId="0" applyFont="1" applyAlignment="1">
      <alignment horizontal="center" wrapText="1"/>
    </xf>
    <xf numFmtId="2" fontId="30" fillId="2" borderId="15" xfId="1" applyNumberFormat="1" applyFont="1" applyFill="1" applyBorder="1" applyAlignment="1">
      <alignment horizontal="center" vertical="center"/>
    </xf>
  </cellXfs>
  <cellStyles count="29">
    <cellStyle name="Comma" xfId="1" builtinId="3"/>
    <cellStyle name="Comma 2" xfId="7" xr:uid="{00000000-0005-0000-0000-000001000000}"/>
    <cellStyle name="Comma 2 2" xfId="13" xr:uid="{00000000-0005-0000-0000-000002000000}"/>
    <cellStyle name="Comma 2 2 12" xfId="15" xr:uid="{00000000-0005-0000-0000-000003000000}"/>
    <cellStyle name="Comma 2 3" xfId="11" xr:uid="{00000000-0005-0000-0000-000004000000}"/>
    <cellStyle name="Comma 2 3 2" xfId="25" xr:uid="{00000000-0005-0000-0000-000005000000}"/>
    <cellStyle name="Comma 3 2" xfId="10" xr:uid="{00000000-0005-0000-0000-000006000000}"/>
    <cellStyle name="Comma 70" xfId="21" xr:uid="{00000000-0005-0000-0000-000007000000}"/>
    <cellStyle name="Currency" xfId="2" builtinId="4"/>
    <cellStyle name="Hyperlink" xfId="14" builtinId="8"/>
    <cellStyle name="Normal" xfId="0" builtinId="0"/>
    <cellStyle name="Normal 10" xfId="26" xr:uid="{00000000-0005-0000-0000-00000B000000}"/>
    <cellStyle name="Normal 12" xfId="8" xr:uid="{00000000-0005-0000-0000-00000C000000}"/>
    <cellStyle name="Normal 14" xfId="24" xr:uid="{00000000-0005-0000-0000-00000D000000}"/>
    <cellStyle name="Normal 2 10" xfId="22" xr:uid="{00000000-0005-0000-0000-00000E000000}"/>
    <cellStyle name="Normal 2 2" xfId="9" xr:uid="{00000000-0005-0000-0000-00000F000000}"/>
    <cellStyle name="Normal 2 2 2 8" xfId="20" xr:uid="{00000000-0005-0000-0000-000010000000}"/>
    <cellStyle name="Normal 2 2 9 9" xfId="28" xr:uid="{00000000-0005-0000-0000-000011000000}"/>
    <cellStyle name="Normal 21" xfId="6" xr:uid="{00000000-0005-0000-0000-000012000000}"/>
    <cellStyle name="Normal 3" xfId="3" xr:uid="{00000000-0005-0000-0000-000013000000}"/>
    <cellStyle name="Normal 3 11" xfId="18" xr:uid="{00000000-0005-0000-0000-000014000000}"/>
    <cellStyle name="Normal 3 7" xfId="19" xr:uid="{00000000-0005-0000-0000-000015000000}"/>
    <cellStyle name="Normal 47 2" xfId="16" xr:uid="{00000000-0005-0000-0000-000016000000}"/>
    <cellStyle name="Normal 5" xfId="12" xr:uid="{00000000-0005-0000-0000-000017000000}"/>
    <cellStyle name="Normal_cwip 20.08.07" xfId="5" xr:uid="{00000000-0005-0000-0000-000018000000}"/>
    <cellStyle name="Percent" xfId="4" builtinId="5"/>
    <cellStyle name="Percent 2 2 3" xfId="23" xr:uid="{00000000-0005-0000-0000-00001A000000}"/>
    <cellStyle name="Percent 4" xfId="27" xr:uid="{00000000-0005-0000-0000-00001B000000}"/>
    <cellStyle name="Percent 60" xfId="17" xr:uid="{00000000-0005-0000-0000-00001C000000}"/>
  </cellStyles>
  <dxfs count="0"/>
  <tableStyles count="0" defaultTableStyle="TableStyleMedium2" defaultPivotStyle="PivotStyleMedium9"/>
  <colors>
    <mruColors>
      <color rgb="FF8EAA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1.xml"/><Relationship Id="rId299" Type="http://schemas.openxmlformats.org/officeDocument/2006/relationships/externalLink" Target="externalLinks/externalLink273.xml"/><Relationship Id="rId303" Type="http://schemas.openxmlformats.org/officeDocument/2006/relationships/externalLink" Target="externalLinks/externalLink277.xml"/><Relationship Id="rId21" Type="http://schemas.openxmlformats.org/officeDocument/2006/relationships/worksheet" Target="worksheets/sheet21.xml"/><Relationship Id="rId42" Type="http://schemas.openxmlformats.org/officeDocument/2006/relationships/externalLink" Target="externalLinks/externalLink16.xml"/><Relationship Id="rId63" Type="http://schemas.openxmlformats.org/officeDocument/2006/relationships/externalLink" Target="externalLinks/externalLink37.xml"/><Relationship Id="rId84" Type="http://schemas.openxmlformats.org/officeDocument/2006/relationships/externalLink" Target="externalLinks/externalLink58.xml"/><Relationship Id="rId138" Type="http://schemas.openxmlformats.org/officeDocument/2006/relationships/externalLink" Target="externalLinks/externalLink112.xml"/><Relationship Id="rId159" Type="http://schemas.openxmlformats.org/officeDocument/2006/relationships/externalLink" Target="externalLinks/externalLink133.xml"/><Relationship Id="rId324" Type="http://schemas.openxmlformats.org/officeDocument/2006/relationships/externalLink" Target="externalLinks/externalLink298.xml"/><Relationship Id="rId345" Type="http://schemas.openxmlformats.org/officeDocument/2006/relationships/externalLink" Target="externalLinks/externalLink319.xml"/><Relationship Id="rId366" Type="http://schemas.openxmlformats.org/officeDocument/2006/relationships/externalLink" Target="externalLinks/externalLink340.xml"/><Relationship Id="rId170" Type="http://schemas.openxmlformats.org/officeDocument/2006/relationships/externalLink" Target="externalLinks/externalLink144.xml"/><Relationship Id="rId191" Type="http://schemas.openxmlformats.org/officeDocument/2006/relationships/externalLink" Target="externalLinks/externalLink165.xml"/><Relationship Id="rId205" Type="http://schemas.openxmlformats.org/officeDocument/2006/relationships/externalLink" Target="externalLinks/externalLink179.xml"/><Relationship Id="rId226" Type="http://schemas.openxmlformats.org/officeDocument/2006/relationships/externalLink" Target="externalLinks/externalLink200.xml"/><Relationship Id="rId247" Type="http://schemas.openxmlformats.org/officeDocument/2006/relationships/externalLink" Target="externalLinks/externalLink221.xml"/><Relationship Id="rId107" Type="http://schemas.openxmlformats.org/officeDocument/2006/relationships/externalLink" Target="externalLinks/externalLink81.xml"/><Relationship Id="rId268" Type="http://schemas.openxmlformats.org/officeDocument/2006/relationships/externalLink" Target="externalLinks/externalLink242.xml"/><Relationship Id="rId289" Type="http://schemas.openxmlformats.org/officeDocument/2006/relationships/externalLink" Target="externalLinks/externalLink263.xml"/><Relationship Id="rId11" Type="http://schemas.openxmlformats.org/officeDocument/2006/relationships/worksheet" Target="worksheets/sheet11.xml"/><Relationship Id="rId32" Type="http://schemas.openxmlformats.org/officeDocument/2006/relationships/externalLink" Target="externalLinks/externalLink6.xml"/><Relationship Id="rId53" Type="http://schemas.openxmlformats.org/officeDocument/2006/relationships/externalLink" Target="externalLinks/externalLink27.xml"/><Relationship Id="rId74" Type="http://schemas.openxmlformats.org/officeDocument/2006/relationships/externalLink" Target="externalLinks/externalLink48.xml"/><Relationship Id="rId128" Type="http://schemas.openxmlformats.org/officeDocument/2006/relationships/externalLink" Target="externalLinks/externalLink102.xml"/><Relationship Id="rId149" Type="http://schemas.openxmlformats.org/officeDocument/2006/relationships/externalLink" Target="externalLinks/externalLink123.xml"/><Relationship Id="rId314" Type="http://schemas.openxmlformats.org/officeDocument/2006/relationships/externalLink" Target="externalLinks/externalLink288.xml"/><Relationship Id="rId335" Type="http://schemas.openxmlformats.org/officeDocument/2006/relationships/externalLink" Target="externalLinks/externalLink309.xml"/><Relationship Id="rId356" Type="http://schemas.openxmlformats.org/officeDocument/2006/relationships/externalLink" Target="externalLinks/externalLink330.xml"/><Relationship Id="rId377" Type="http://schemas.openxmlformats.org/officeDocument/2006/relationships/externalLink" Target="externalLinks/externalLink351.xml"/><Relationship Id="rId5" Type="http://schemas.openxmlformats.org/officeDocument/2006/relationships/worksheet" Target="worksheets/sheet5.xml"/><Relationship Id="rId95" Type="http://schemas.openxmlformats.org/officeDocument/2006/relationships/externalLink" Target="externalLinks/externalLink69.xml"/><Relationship Id="rId160" Type="http://schemas.openxmlformats.org/officeDocument/2006/relationships/externalLink" Target="externalLinks/externalLink134.xml"/><Relationship Id="rId181" Type="http://schemas.openxmlformats.org/officeDocument/2006/relationships/externalLink" Target="externalLinks/externalLink155.xml"/><Relationship Id="rId216" Type="http://schemas.openxmlformats.org/officeDocument/2006/relationships/externalLink" Target="externalLinks/externalLink190.xml"/><Relationship Id="rId237" Type="http://schemas.openxmlformats.org/officeDocument/2006/relationships/externalLink" Target="externalLinks/externalLink211.xml"/><Relationship Id="rId258" Type="http://schemas.openxmlformats.org/officeDocument/2006/relationships/externalLink" Target="externalLinks/externalLink232.xml"/><Relationship Id="rId279" Type="http://schemas.openxmlformats.org/officeDocument/2006/relationships/externalLink" Target="externalLinks/externalLink253.xml"/><Relationship Id="rId22" Type="http://schemas.openxmlformats.org/officeDocument/2006/relationships/worksheet" Target="worksheets/sheet22.xml"/><Relationship Id="rId43" Type="http://schemas.openxmlformats.org/officeDocument/2006/relationships/externalLink" Target="externalLinks/externalLink17.xml"/><Relationship Id="rId64" Type="http://schemas.openxmlformats.org/officeDocument/2006/relationships/externalLink" Target="externalLinks/externalLink38.xml"/><Relationship Id="rId118" Type="http://schemas.openxmlformats.org/officeDocument/2006/relationships/externalLink" Target="externalLinks/externalLink92.xml"/><Relationship Id="rId139" Type="http://schemas.openxmlformats.org/officeDocument/2006/relationships/externalLink" Target="externalLinks/externalLink113.xml"/><Relationship Id="rId290" Type="http://schemas.openxmlformats.org/officeDocument/2006/relationships/externalLink" Target="externalLinks/externalLink264.xml"/><Relationship Id="rId304" Type="http://schemas.openxmlformats.org/officeDocument/2006/relationships/externalLink" Target="externalLinks/externalLink278.xml"/><Relationship Id="rId325" Type="http://schemas.openxmlformats.org/officeDocument/2006/relationships/externalLink" Target="externalLinks/externalLink299.xml"/><Relationship Id="rId346" Type="http://schemas.openxmlformats.org/officeDocument/2006/relationships/externalLink" Target="externalLinks/externalLink320.xml"/><Relationship Id="rId367" Type="http://schemas.openxmlformats.org/officeDocument/2006/relationships/externalLink" Target="externalLinks/externalLink341.xml"/><Relationship Id="rId85" Type="http://schemas.openxmlformats.org/officeDocument/2006/relationships/externalLink" Target="externalLinks/externalLink59.xml"/><Relationship Id="rId150" Type="http://schemas.openxmlformats.org/officeDocument/2006/relationships/externalLink" Target="externalLinks/externalLink124.xml"/><Relationship Id="rId171" Type="http://schemas.openxmlformats.org/officeDocument/2006/relationships/externalLink" Target="externalLinks/externalLink145.xml"/><Relationship Id="rId192" Type="http://schemas.openxmlformats.org/officeDocument/2006/relationships/externalLink" Target="externalLinks/externalLink166.xml"/><Relationship Id="rId206" Type="http://schemas.openxmlformats.org/officeDocument/2006/relationships/externalLink" Target="externalLinks/externalLink180.xml"/><Relationship Id="rId227" Type="http://schemas.openxmlformats.org/officeDocument/2006/relationships/externalLink" Target="externalLinks/externalLink201.xml"/><Relationship Id="rId248" Type="http://schemas.openxmlformats.org/officeDocument/2006/relationships/externalLink" Target="externalLinks/externalLink222.xml"/><Relationship Id="rId269" Type="http://schemas.openxmlformats.org/officeDocument/2006/relationships/externalLink" Target="externalLinks/externalLink243.xml"/><Relationship Id="rId12" Type="http://schemas.openxmlformats.org/officeDocument/2006/relationships/worksheet" Target="worksheets/sheet12.xml"/><Relationship Id="rId33" Type="http://schemas.openxmlformats.org/officeDocument/2006/relationships/externalLink" Target="externalLinks/externalLink7.xml"/><Relationship Id="rId108" Type="http://schemas.openxmlformats.org/officeDocument/2006/relationships/externalLink" Target="externalLinks/externalLink82.xml"/><Relationship Id="rId129" Type="http://schemas.openxmlformats.org/officeDocument/2006/relationships/externalLink" Target="externalLinks/externalLink103.xml"/><Relationship Id="rId280" Type="http://schemas.openxmlformats.org/officeDocument/2006/relationships/externalLink" Target="externalLinks/externalLink254.xml"/><Relationship Id="rId315" Type="http://schemas.openxmlformats.org/officeDocument/2006/relationships/externalLink" Target="externalLinks/externalLink289.xml"/><Relationship Id="rId336" Type="http://schemas.openxmlformats.org/officeDocument/2006/relationships/externalLink" Target="externalLinks/externalLink310.xml"/><Relationship Id="rId357" Type="http://schemas.openxmlformats.org/officeDocument/2006/relationships/externalLink" Target="externalLinks/externalLink331.xml"/><Relationship Id="rId54" Type="http://schemas.openxmlformats.org/officeDocument/2006/relationships/externalLink" Target="externalLinks/externalLink28.xml"/><Relationship Id="rId75" Type="http://schemas.openxmlformats.org/officeDocument/2006/relationships/externalLink" Target="externalLinks/externalLink49.xml"/><Relationship Id="rId96" Type="http://schemas.openxmlformats.org/officeDocument/2006/relationships/externalLink" Target="externalLinks/externalLink70.xml"/><Relationship Id="rId140" Type="http://schemas.openxmlformats.org/officeDocument/2006/relationships/externalLink" Target="externalLinks/externalLink114.xml"/><Relationship Id="rId161" Type="http://schemas.openxmlformats.org/officeDocument/2006/relationships/externalLink" Target="externalLinks/externalLink135.xml"/><Relationship Id="rId182" Type="http://schemas.openxmlformats.org/officeDocument/2006/relationships/externalLink" Target="externalLinks/externalLink156.xml"/><Relationship Id="rId217" Type="http://schemas.openxmlformats.org/officeDocument/2006/relationships/externalLink" Target="externalLinks/externalLink191.xml"/><Relationship Id="rId378" Type="http://schemas.openxmlformats.org/officeDocument/2006/relationships/externalLink" Target="externalLinks/externalLink352.xml"/><Relationship Id="rId6" Type="http://schemas.openxmlformats.org/officeDocument/2006/relationships/worksheet" Target="worksheets/sheet6.xml"/><Relationship Id="rId238" Type="http://schemas.openxmlformats.org/officeDocument/2006/relationships/externalLink" Target="externalLinks/externalLink212.xml"/><Relationship Id="rId259" Type="http://schemas.openxmlformats.org/officeDocument/2006/relationships/externalLink" Target="externalLinks/externalLink233.xml"/><Relationship Id="rId23" Type="http://schemas.openxmlformats.org/officeDocument/2006/relationships/worksheet" Target="worksheets/sheet23.xml"/><Relationship Id="rId119" Type="http://schemas.openxmlformats.org/officeDocument/2006/relationships/externalLink" Target="externalLinks/externalLink93.xml"/><Relationship Id="rId270" Type="http://schemas.openxmlformats.org/officeDocument/2006/relationships/externalLink" Target="externalLinks/externalLink244.xml"/><Relationship Id="rId291" Type="http://schemas.openxmlformats.org/officeDocument/2006/relationships/externalLink" Target="externalLinks/externalLink265.xml"/><Relationship Id="rId305" Type="http://schemas.openxmlformats.org/officeDocument/2006/relationships/externalLink" Target="externalLinks/externalLink279.xml"/><Relationship Id="rId326" Type="http://schemas.openxmlformats.org/officeDocument/2006/relationships/externalLink" Target="externalLinks/externalLink300.xml"/><Relationship Id="rId347" Type="http://schemas.openxmlformats.org/officeDocument/2006/relationships/externalLink" Target="externalLinks/externalLink321.xml"/><Relationship Id="rId44" Type="http://schemas.openxmlformats.org/officeDocument/2006/relationships/externalLink" Target="externalLinks/externalLink18.xml"/><Relationship Id="rId65" Type="http://schemas.openxmlformats.org/officeDocument/2006/relationships/externalLink" Target="externalLinks/externalLink39.xml"/><Relationship Id="rId86" Type="http://schemas.openxmlformats.org/officeDocument/2006/relationships/externalLink" Target="externalLinks/externalLink60.xml"/><Relationship Id="rId130" Type="http://schemas.openxmlformats.org/officeDocument/2006/relationships/externalLink" Target="externalLinks/externalLink104.xml"/><Relationship Id="rId151" Type="http://schemas.openxmlformats.org/officeDocument/2006/relationships/externalLink" Target="externalLinks/externalLink125.xml"/><Relationship Id="rId368" Type="http://schemas.openxmlformats.org/officeDocument/2006/relationships/externalLink" Target="externalLinks/externalLink342.xml"/><Relationship Id="rId172" Type="http://schemas.openxmlformats.org/officeDocument/2006/relationships/externalLink" Target="externalLinks/externalLink146.xml"/><Relationship Id="rId193" Type="http://schemas.openxmlformats.org/officeDocument/2006/relationships/externalLink" Target="externalLinks/externalLink167.xml"/><Relationship Id="rId207" Type="http://schemas.openxmlformats.org/officeDocument/2006/relationships/externalLink" Target="externalLinks/externalLink181.xml"/><Relationship Id="rId228" Type="http://schemas.openxmlformats.org/officeDocument/2006/relationships/externalLink" Target="externalLinks/externalLink202.xml"/><Relationship Id="rId249" Type="http://schemas.openxmlformats.org/officeDocument/2006/relationships/externalLink" Target="externalLinks/externalLink223.xml"/><Relationship Id="rId13" Type="http://schemas.openxmlformats.org/officeDocument/2006/relationships/worksheet" Target="worksheets/sheet13.xml"/><Relationship Id="rId109" Type="http://schemas.openxmlformats.org/officeDocument/2006/relationships/externalLink" Target="externalLinks/externalLink83.xml"/><Relationship Id="rId260" Type="http://schemas.openxmlformats.org/officeDocument/2006/relationships/externalLink" Target="externalLinks/externalLink234.xml"/><Relationship Id="rId281" Type="http://schemas.openxmlformats.org/officeDocument/2006/relationships/externalLink" Target="externalLinks/externalLink255.xml"/><Relationship Id="rId316" Type="http://schemas.openxmlformats.org/officeDocument/2006/relationships/externalLink" Target="externalLinks/externalLink290.xml"/><Relationship Id="rId337" Type="http://schemas.openxmlformats.org/officeDocument/2006/relationships/externalLink" Target="externalLinks/externalLink311.xml"/><Relationship Id="rId34" Type="http://schemas.openxmlformats.org/officeDocument/2006/relationships/externalLink" Target="externalLinks/externalLink8.xml"/><Relationship Id="rId55" Type="http://schemas.openxmlformats.org/officeDocument/2006/relationships/externalLink" Target="externalLinks/externalLink29.xml"/><Relationship Id="rId76" Type="http://schemas.openxmlformats.org/officeDocument/2006/relationships/externalLink" Target="externalLinks/externalLink50.xml"/><Relationship Id="rId97" Type="http://schemas.openxmlformats.org/officeDocument/2006/relationships/externalLink" Target="externalLinks/externalLink71.xml"/><Relationship Id="rId120" Type="http://schemas.openxmlformats.org/officeDocument/2006/relationships/externalLink" Target="externalLinks/externalLink94.xml"/><Relationship Id="rId141" Type="http://schemas.openxmlformats.org/officeDocument/2006/relationships/externalLink" Target="externalLinks/externalLink115.xml"/><Relationship Id="rId358" Type="http://schemas.openxmlformats.org/officeDocument/2006/relationships/externalLink" Target="externalLinks/externalLink332.xml"/><Relationship Id="rId379" Type="http://schemas.openxmlformats.org/officeDocument/2006/relationships/externalLink" Target="externalLinks/externalLink353.xml"/><Relationship Id="rId7" Type="http://schemas.openxmlformats.org/officeDocument/2006/relationships/worksheet" Target="worksheets/sheet7.xml"/><Relationship Id="rId162" Type="http://schemas.openxmlformats.org/officeDocument/2006/relationships/externalLink" Target="externalLinks/externalLink136.xml"/><Relationship Id="rId183" Type="http://schemas.openxmlformats.org/officeDocument/2006/relationships/externalLink" Target="externalLinks/externalLink157.xml"/><Relationship Id="rId218" Type="http://schemas.openxmlformats.org/officeDocument/2006/relationships/externalLink" Target="externalLinks/externalLink192.xml"/><Relationship Id="rId239" Type="http://schemas.openxmlformats.org/officeDocument/2006/relationships/externalLink" Target="externalLinks/externalLink213.xml"/><Relationship Id="rId250" Type="http://schemas.openxmlformats.org/officeDocument/2006/relationships/externalLink" Target="externalLinks/externalLink224.xml"/><Relationship Id="rId271" Type="http://schemas.openxmlformats.org/officeDocument/2006/relationships/externalLink" Target="externalLinks/externalLink245.xml"/><Relationship Id="rId292" Type="http://schemas.openxmlformats.org/officeDocument/2006/relationships/externalLink" Target="externalLinks/externalLink266.xml"/><Relationship Id="rId306" Type="http://schemas.openxmlformats.org/officeDocument/2006/relationships/externalLink" Target="externalLinks/externalLink280.xml"/><Relationship Id="rId24" Type="http://schemas.openxmlformats.org/officeDocument/2006/relationships/worksheet" Target="worksheets/sheet24.xml"/><Relationship Id="rId45" Type="http://schemas.openxmlformats.org/officeDocument/2006/relationships/externalLink" Target="externalLinks/externalLink19.xml"/><Relationship Id="rId66" Type="http://schemas.openxmlformats.org/officeDocument/2006/relationships/externalLink" Target="externalLinks/externalLink40.xml"/><Relationship Id="rId87" Type="http://schemas.openxmlformats.org/officeDocument/2006/relationships/externalLink" Target="externalLinks/externalLink61.xml"/><Relationship Id="rId110" Type="http://schemas.openxmlformats.org/officeDocument/2006/relationships/externalLink" Target="externalLinks/externalLink84.xml"/><Relationship Id="rId131" Type="http://schemas.openxmlformats.org/officeDocument/2006/relationships/externalLink" Target="externalLinks/externalLink105.xml"/><Relationship Id="rId327" Type="http://schemas.openxmlformats.org/officeDocument/2006/relationships/externalLink" Target="externalLinks/externalLink301.xml"/><Relationship Id="rId348" Type="http://schemas.openxmlformats.org/officeDocument/2006/relationships/externalLink" Target="externalLinks/externalLink322.xml"/><Relationship Id="rId369" Type="http://schemas.openxmlformats.org/officeDocument/2006/relationships/externalLink" Target="externalLinks/externalLink343.xml"/><Relationship Id="rId152" Type="http://schemas.openxmlformats.org/officeDocument/2006/relationships/externalLink" Target="externalLinks/externalLink126.xml"/><Relationship Id="rId173" Type="http://schemas.openxmlformats.org/officeDocument/2006/relationships/externalLink" Target="externalLinks/externalLink147.xml"/><Relationship Id="rId194" Type="http://schemas.openxmlformats.org/officeDocument/2006/relationships/externalLink" Target="externalLinks/externalLink168.xml"/><Relationship Id="rId208" Type="http://schemas.openxmlformats.org/officeDocument/2006/relationships/externalLink" Target="externalLinks/externalLink182.xml"/><Relationship Id="rId229" Type="http://schemas.openxmlformats.org/officeDocument/2006/relationships/externalLink" Target="externalLinks/externalLink203.xml"/><Relationship Id="rId380" Type="http://schemas.openxmlformats.org/officeDocument/2006/relationships/externalLink" Target="externalLinks/externalLink354.xml"/><Relationship Id="rId240" Type="http://schemas.openxmlformats.org/officeDocument/2006/relationships/externalLink" Target="externalLinks/externalLink214.xml"/><Relationship Id="rId261" Type="http://schemas.openxmlformats.org/officeDocument/2006/relationships/externalLink" Target="externalLinks/externalLink235.xml"/><Relationship Id="rId14" Type="http://schemas.openxmlformats.org/officeDocument/2006/relationships/worksheet" Target="worksheets/sheet14.xml"/><Relationship Id="rId35" Type="http://schemas.openxmlformats.org/officeDocument/2006/relationships/externalLink" Target="externalLinks/externalLink9.xml"/><Relationship Id="rId56" Type="http://schemas.openxmlformats.org/officeDocument/2006/relationships/externalLink" Target="externalLinks/externalLink30.xml"/><Relationship Id="rId77" Type="http://schemas.openxmlformats.org/officeDocument/2006/relationships/externalLink" Target="externalLinks/externalLink51.xml"/><Relationship Id="rId100" Type="http://schemas.openxmlformats.org/officeDocument/2006/relationships/externalLink" Target="externalLinks/externalLink74.xml"/><Relationship Id="rId282" Type="http://schemas.openxmlformats.org/officeDocument/2006/relationships/externalLink" Target="externalLinks/externalLink256.xml"/><Relationship Id="rId317" Type="http://schemas.openxmlformats.org/officeDocument/2006/relationships/externalLink" Target="externalLinks/externalLink291.xml"/><Relationship Id="rId338" Type="http://schemas.openxmlformats.org/officeDocument/2006/relationships/externalLink" Target="externalLinks/externalLink312.xml"/><Relationship Id="rId359" Type="http://schemas.openxmlformats.org/officeDocument/2006/relationships/externalLink" Target="externalLinks/externalLink333.xml"/><Relationship Id="rId8" Type="http://schemas.openxmlformats.org/officeDocument/2006/relationships/worksheet" Target="worksheets/sheet8.xml"/><Relationship Id="rId98" Type="http://schemas.openxmlformats.org/officeDocument/2006/relationships/externalLink" Target="externalLinks/externalLink72.xml"/><Relationship Id="rId121" Type="http://schemas.openxmlformats.org/officeDocument/2006/relationships/externalLink" Target="externalLinks/externalLink95.xml"/><Relationship Id="rId142" Type="http://schemas.openxmlformats.org/officeDocument/2006/relationships/externalLink" Target="externalLinks/externalLink116.xml"/><Relationship Id="rId163" Type="http://schemas.openxmlformats.org/officeDocument/2006/relationships/externalLink" Target="externalLinks/externalLink137.xml"/><Relationship Id="rId184" Type="http://schemas.openxmlformats.org/officeDocument/2006/relationships/externalLink" Target="externalLinks/externalLink158.xml"/><Relationship Id="rId219" Type="http://schemas.openxmlformats.org/officeDocument/2006/relationships/externalLink" Target="externalLinks/externalLink193.xml"/><Relationship Id="rId370" Type="http://schemas.openxmlformats.org/officeDocument/2006/relationships/externalLink" Target="externalLinks/externalLink344.xml"/><Relationship Id="rId230" Type="http://schemas.openxmlformats.org/officeDocument/2006/relationships/externalLink" Target="externalLinks/externalLink204.xml"/><Relationship Id="rId251" Type="http://schemas.openxmlformats.org/officeDocument/2006/relationships/externalLink" Target="externalLinks/externalLink225.xml"/><Relationship Id="rId25" Type="http://schemas.openxmlformats.org/officeDocument/2006/relationships/worksheet" Target="worksheets/sheet25.xml"/><Relationship Id="rId46" Type="http://schemas.openxmlformats.org/officeDocument/2006/relationships/externalLink" Target="externalLinks/externalLink20.xml"/><Relationship Id="rId67" Type="http://schemas.openxmlformats.org/officeDocument/2006/relationships/externalLink" Target="externalLinks/externalLink41.xml"/><Relationship Id="rId272" Type="http://schemas.openxmlformats.org/officeDocument/2006/relationships/externalLink" Target="externalLinks/externalLink246.xml"/><Relationship Id="rId293" Type="http://schemas.openxmlformats.org/officeDocument/2006/relationships/externalLink" Target="externalLinks/externalLink267.xml"/><Relationship Id="rId307" Type="http://schemas.openxmlformats.org/officeDocument/2006/relationships/externalLink" Target="externalLinks/externalLink281.xml"/><Relationship Id="rId328" Type="http://schemas.openxmlformats.org/officeDocument/2006/relationships/externalLink" Target="externalLinks/externalLink302.xml"/><Relationship Id="rId349" Type="http://schemas.openxmlformats.org/officeDocument/2006/relationships/externalLink" Target="externalLinks/externalLink323.xml"/><Relationship Id="rId88" Type="http://schemas.openxmlformats.org/officeDocument/2006/relationships/externalLink" Target="externalLinks/externalLink62.xml"/><Relationship Id="rId111" Type="http://schemas.openxmlformats.org/officeDocument/2006/relationships/externalLink" Target="externalLinks/externalLink85.xml"/><Relationship Id="rId132" Type="http://schemas.openxmlformats.org/officeDocument/2006/relationships/externalLink" Target="externalLinks/externalLink106.xml"/><Relationship Id="rId153" Type="http://schemas.openxmlformats.org/officeDocument/2006/relationships/externalLink" Target="externalLinks/externalLink127.xml"/><Relationship Id="rId174" Type="http://schemas.openxmlformats.org/officeDocument/2006/relationships/externalLink" Target="externalLinks/externalLink148.xml"/><Relationship Id="rId195" Type="http://schemas.openxmlformats.org/officeDocument/2006/relationships/externalLink" Target="externalLinks/externalLink169.xml"/><Relationship Id="rId209" Type="http://schemas.openxmlformats.org/officeDocument/2006/relationships/externalLink" Target="externalLinks/externalLink183.xml"/><Relationship Id="rId360" Type="http://schemas.openxmlformats.org/officeDocument/2006/relationships/externalLink" Target="externalLinks/externalLink334.xml"/><Relationship Id="rId381" Type="http://schemas.openxmlformats.org/officeDocument/2006/relationships/theme" Target="theme/theme1.xml"/><Relationship Id="rId220" Type="http://schemas.openxmlformats.org/officeDocument/2006/relationships/externalLink" Target="externalLinks/externalLink194.xml"/><Relationship Id="rId241" Type="http://schemas.openxmlformats.org/officeDocument/2006/relationships/externalLink" Target="externalLinks/externalLink215.xml"/><Relationship Id="rId15" Type="http://schemas.openxmlformats.org/officeDocument/2006/relationships/worksheet" Target="worksheets/sheet15.xml"/><Relationship Id="rId36" Type="http://schemas.openxmlformats.org/officeDocument/2006/relationships/externalLink" Target="externalLinks/externalLink10.xml"/><Relationship Id="rId57" Type="http://schemas.openxmlformats.org/officeDocument/2006/relationships/externalLink" Target="externalLinks/externalLink31.xml"/><Relationship Id="rId262" Type="http://schemas.openxmlformats.org/officeDocument/2006/relationships/externalLink" Target="externalLinks/externalLink236.xml"/><Relationship Id="rId283" Type="http://schemas.openxmlformats.org/officeDocument/2006/relationships/externalLink" Target="externalLinks/externalLink257.xml"/><Relationship Id="rId318" Type="http://schemas.openxmlformats.org/officeDocument/2006/relationships/externalLink" Target="externalLinks/externalLink292.xml"/><Relationship Id="rId339" Type="http://schemas.openxmlformats.org/officeDocument/2006/relationships/externalLink" Target="externalLinks/externalLink313.xml"/><Relationship Id="rId78" Type="http://schemas.openxmlformats.org/officeDocument/2006/relationships/externalLink" Target="externalLinks/externalLink52.xml"/><Relationship Id="rId99" Type="http://schemas.openxmlformats.org/officeDocument/2006/relationships/externalLink" Target="externalLinks/externalLink73.xml"/><Relationship Id="rId101" Type="http://schemas.openxmlformats.org/officeDocument/2006/relationships/externalLink" Target="externalLinks/externalLink75.xml"/><Relationship Id="rId122" Type="http://schemas.openxmlformats.org/officeDocument/2006/relationships/externalLink" Target="externalLinks/externalLink96.xml"/><Relationship Id="rId143" Type="http://schemas.openxmlformats.org/officeDocument/2006/relationships/externalLink" Target="externalLinks/externalLink117.xml"/><Relationship Id="rId164" Type="http://schemas.openxmlformats.org/officeDocument/2006/relationships/externalLink" Target="externalLinks/externalLink138.xml"/><Relationship Id="rId185" Type="http://schemas.openxmlformats.org/officeDocument/2006/relationships/externalLink" Target="externalLinks/externalLink159.xml"/><Relationship Id="rId350" Type="http://schemas.openxmlformats.org/officeDocument/2006/relationships/externalLink" Target="externalLinks/externalLink324.xml"/><Relationship Id="rId371" Type="http://schemas.openxmlformats.org/officeDocument/2006/relationships/externalLink" Target="externalLinks/externalLink345.xml"/><Relationship Id="rId9" Type="http://schemas.openxmlformats.org/officeDocument/2006/relationships/worksheet" Target="worksheets/sheet9.xml"/><Relationship Id="rId210" Type="http://schemas.openxmlformats.org/officeDocument/2006/relationships/externalLink" Target="externalLinks/externalLink184.xml"/><Relationship Id="rId26" Type="http://schemas.openxmlformats.org/officeDocument/2006/relationships/worksheet" Target="worksheets/sheet26.xml"/><Relationship Id="rId231" Type="http://schemas.openxmlformats.org/officeDocument/2006/relationships/externalLink" Target="externalLinks/externalLink205.xml"/><Relationship Id="rId252" Type="http://schemas.openxmlformats.org/officeDocument/2006/relationships/externalLink" Target="externalLinks/externalLink226.xml"/><Relationship Id="rId273" Type="http://schemas.openxmlformats.org/officeDocument/2006/relationships/externalLink" Target="externalLinks/externalLink247.xml"/><Relationship Id="rId294" Type="http://schemas.openxmlformats.org/officeDocument/2006/relationships/externalLink" Target="externalLinks/externalLink268.xml"/><Relationship Id="rId308" Type="http://schemas.openxmlformats.org/officeDocument/2006/relationships/externalLink" Target="externalLinks/externalLink282.xml"/><Relationship Id="rId329" Type="http://schemas.openxmlformats.org/officeDocument/2006/relationships/externalLink" Target="externalLinks/externalLink303.xml"/><Relationship Id="rId47" Type="http://schemas.openxmlformats.org/officeDocument/2006/relationships/externalLink" Target="externalLinks/externalLink21.xml"/><Relationship Id="rId68" Type="http://schemas.openxmlformats.org/officeDocument/2006/relationships/externalLink" Target="externalLinks/externalLink42.xml"/><Relationship Id="rId89" Type="http://schemas.openxmlformats.org/officeDocument/2006/relationships/externalLink" Target="externalLinks/externalLink63.xml"/><Relationship Id="rId112" Type="http://schemas.openxmlformats.org/officeDocument/2006/relationships/externalLink" Target="externalLinks/externalLink86.xml"/><Relationship Id="rId133" Type="http://schemas.openxmlformats.org/officeDocument/2006/relationships/externalLink" Target="externalLinks/externalLink107.xml"/><Relationship Id="rId154" Type="http://schemas.openxmlformats.org/officeDocument/2006/relationships/externalLink" Target="externalLinks/externalLink128.xml"/><Relationship Id="rId175" Type="http://schemas.openxmlformats.org/officeDocument/2006/relationships/externalLink" Target="externalLinks/externalLink149.xml"/><Relationship Id="rId340" Type="http://schemas.openxmlformats.org/officeDocument/2006/relationships/externalLink" Target="externalLinks/externalLink314.xml"/><Relationship Id="rId361" Type="http://schemas.openxmlformats.org/officeDocument/2006/relationships/externalLink" Target="externalLinks/externalLink335.xml"/><Relationship Id="rId196" Type="http://schemas.openxmlformats.org/officeDocument/2006/relationships/externalLink" Target="externalLinks/externalLink170.xml"/><Relationship Id="rId200" Type="http://schemas.openxmlformats.org/officeDocument/2006/relationships/externalLink" Target="externalLinks/externalLink174.xml"/><Relationship Id="rId382" Type="http://schemas.openxmlformats.org/officeDocument/2006/relationships/styles" Target="styles.xml"/><Relationship Id="rId16" Type="http://schemas.openxmlformats.org/officeDocument/2006/relationships/worksheet" Target="worksheets/sheet16.xml"/><Relationship Id="rId221" Type="http://schemas.openxmlformats.org/officeDocument/2006/relationships/externalLink" Target="externalLinks/externalLink195.xml"/><Relationship Id="rId242" Type="http://schemas.openxmlformats.org/officeDocument/2006/relationships/externalLink" Target="externalLinks/externalLink216.xml"/><Relationship Id="rId263" Type="http://schemas.openxmlformats.org/officeDocument/2006/relationships/externalLink" Target="externalLinks/externalLink237.xml"/><Relationship Id="rId284" Type="http://schemas.openxmlformats.org/officeDocument/2006/relationships/externalLink" Target="externalLinks/externalLink258.xml"/><Relationship Id="rId319" Type="http://schemas.openxmlformats.org/officeDocument/2006/relationships/externalLink" Target="externalLinks/externalLink293.xml"/><Relationship Id="rId37" Type="http://schemas.openxmlformats.org/officeDocument/2006/relationships/externalLink" Target="externalLinks/externalLink11.xml"/><Relationship Id="rId58" Type="http://schemas.openxmlformats.org/officeDocument/2006/relationships/externalLink" Target="externalLinks/externalLink32.xml"/><Relationship Id="rId79" Type="http://schemas.openxmlformats.org/officeDocument/2006/relationships/externalLink" Target="externalLinks/externalLink53.xml"/><Relationship Id="rId102" Type="http://schemas.openxmlformats.org/officeDocument/2006/relationships/externalLink" Target="externalLinks/externalLink76.xml"/><Relationship Id="rId123" Type="http://schemas.openxmlformats.org/officeDocument/2006/relationships/externalLink" Target="externalLinks/externalLink97.xml"/><Relationship Id="rId144" Type="http://schemas.openxmlformats.org/officeDocument/2006/relationships/externalLink" Target="externalLinks/externalLink118.xml"/><Relationship Id="rId330" Type="http://schemas.openxmlformats.org/officeDocument/2006/relationships/externalLink" Target="externalLinks/externalLink304.xml"/><Relationship Id="rId90" Type="http://schemas.openxmlformats.org/officeDocument/2006/relationships/externalLink" Target="externalLinks/externalLink64.xml"/><Relationship Id="rId165" Type="http://schemas.openxmlformats.org/officeDocument/2006/relationships/externalLink" Target="externalLinks/externalLink139.xml"/><Relationship Id="rId186" Type="http://schemas.openxmlformats.org/officeDocument/2006/relationships/externalLink" Target="externalLinks/externalLink160.xml"/><Relationship Id="rId351" Type="http://schemas.openxmlformats.org/officeDocument/2006/relationships/externalLink" Target="externalLinks/externalLink325.xml"/><Relationship Id="rId372" Type="http://schemas.openxmlformats.org/officeDocument/2006/relationships/externalLink" Target="externalLinks/externalLink346.xml"/><Relationship Id="rId211" Type="http://schemas.openxmlformats.org/officeDocument/2006/relationships/externalLink" Target="externalLinks/externalLink185.xml"/><Relationship Id="rId232" Type="http://schemas.openxmlformats.org/officeDocument/2006/relationships/externalLink" Target="externalLinks/externalLink206.xml"/><Relationship Id="rId253" Type="http://schemas.openxmlformats.org/officeDocument/2006/relationships/externalLink" Target="externalLinks/externalLink227.xml"/><Relationship Id="rId274" Type="http://schemas.openxmlformats.org/officeDocument/2006/relationships/externalLink" Target="externalLinks/externalLink248.xml"/><Relationship Id="rId295" Type="http://schemas.openxmlformats.org/officeDocument/2006/relationships/externalLink" Target="externalLinks/externalLink269.xml"/><Relationship Id="rId309" Type="http://schemas.openxmlformats.org/officeDocument/2006/relationships/externalLink" Target="externalLinks/externalLink283.xml"/><Relationship Id="rId27" Type="http://schemas.openxmlformats.org/officeDocument/2006/relationships/externalLink" Target="externalLinks/externalLink1.xml"/><Relationship Id="rId48" Type="http://schemas.openxmlformats.org/officeDocument/2006/relationships/externalLink" Target="externalLinks/externalLink22.xml"/><Relationship Id="rId69" Type="http://schemas.openxmlformats.org/officeDocument/2006/relationships/externalLink" Target="externalLinks/externalLink43.xml"/><Relationship Id="rId113" Type="http://schemas.openxmlformats.org/officeDocument/2006/relationships/externalLink" Target="externalLinks/externalLink87.xml"/><Relationship Id="rId134" Type="http://schemas.openxmlformats.org/officeDocument/2006/relationships/externalLink" Target="externalLinks/externalLink108.xml"/><Relationship Id="rId320" Type="http://schemas.openxmlformats.org/officeDocument/2006/relationships/externalLink" Target="externalLinks/externalLink294.xml"/><Relationship Id="rId80" Type="http://schemas.openxmlformats.org/officeDocument/2006/relationships/externalLink" Target="externalLinks/externalLink54.xml"/><Relationship Id="rId155" Type="http://schemas.openxmlformats.org/officeDocument/2006/relationships/externalLink" Target="externalLinks/externalLink129.xml"/><Relationship Id="rId176" Type="http://schemas.openxmlformats.org/officeDocument/2006/relationships/externalLink" Target="externalLinks/externalLink150.xml"/><Relationship Id="rId197" Type="http://schemas.openxmlformats.org/officeDocument/2006/relationships/externalLink" Target="externalLinks/externalLink171.xml"/><Relationship Id="rId341" Type="http://schemas.openxmlformats.org/officeDocument/2006/relationships/externalLink" Target="externalLinks/externalLink315.xml"/><Relationship Id="rId362" Type="http://schemas.openxmlformats.org/officeDocument/2006/relationships/externalLink" Target="externalLinks/externalLink336.xml"/><Relationship Id="rId383" Type="http://schemas.openxmlformats.org/officeDocument/2006/relationships/sharedStrings" Target="sharedStrings.xml"/><Relationship Id="rId201" Type="http://schemas.openxmlformats.org/officeDocument/2006/relationships/externalLink" Target="externalLinks/externalLink175.xml"/><Relationship Id="rId222" Type="http://schemas.openxmlformats.org/officeDocument/2006/relationships/externalLink" Target="externalLinks/externalLink196.xml"/><Relationship Id="rId243" Type="http://schemas.openxmlformats.org/officeDocument/2006/relationships/externalLink" Target="externalLinks/externalLink217.xml"/><Relationship Id="rId264" Type="http://schemas.openxmlformats.org/officeDocument/2006/relationships/externalLink" Target="externalLinks/externalLink238.xml"/><Relationship Id="rId285" Type="http://schemas.openxmlformats.org/officeDocument/2006/relationships/externalLink" Target="externalLinks/externalLink259.xml"/><Relationship Id="rId17" Type="http://schemas.openxmlformats.org/officeDocument/2006/relationships/worksheet" Target="worksheets/sheet17.xml"/><Relationship Id="rId38" Type="http://schemas.openxmlformats.org/officeDocument/2006/relationships/externalLink" Target="externalLinks/externalLink12.xml"/><Relationship Id="rId59" Type="http://schemas.openxmlformats.org/officeDocument/2006/relationships/externalLink" Target="externalLinks/externalLink33.xml"/><Relationship Id="rId103" Type="http://schemas.openxmlformats.org/officeDocument/2006/relationships/externalLink" Target="externalLinks/externalLink77.xml"/><Relationship Id="rId124" Type="http://schemas.openxmlformats.org/officeDocument/2006/relationships/externalLink" Target="externalLinks/externalLink98.xml"/><Relationship Id="rId310" Type="http://schemas.openxmlformats.org/officeDocument/2006/relationships/externalLink" Target="externalLinks/externalLink284.xml"/><Relationship Id="rId70" Type="http://schemas.openxmlformats.org/officeDocument/2006/relationships/externalLink" Target="externalLinks/externalLink44.xml"/><Relationship Id="rId91" Type="http://schemas.openxmlformats.org/officeDocument/2006/relationships/externalLink" Target="externalLinks/externalLink65.xml"/><Relationship Id="rId145" Type="http://schemas.openxmlformats.org/officeDocument/2006/relationships/externalLink" Target="externalLinks/externalLink119.xml"/><Relationship Id="rId166" Type="http://schemas.openxmlformats.org/officeDocument/2006/relationships/externalLink" Target="externalLinks/externalLink140.xml"/><Relationship Id="rId187" Type="http://schemas.openxmlformats.org/officeDocument/2006/relationships/externalLink" Target="externalLinks/externalLink161.xml"/><Relationship Id="rId331" Type="http://schemas.openxmlformats.org/officeDocument/2006/relationships/externalLink" Target="externalLinks/externalLink305.xml"/><Relationship Id="rId352" Type="http://schemas.openxmlformats.org/officeDocument/2006/relationships/externalLink" Target="externalLinks/externalLink326.xml"/><Relationship Id="rId373" Type="http://schemas.openxmlformats.org/officeDocument/2006/relationships/externalLink" Target="externalLinks/externalLink347.xml"/><Relationship Id="rId1" Type="http://schemas.openxmlformats.org/officeDocument/2006/relationships/worksheet" Target="worksheets/sheet1.xml"/><Relationship Id="rId212" Type="http://schemas.openxmlformats.org/officeDocument/2006/relationships/externalLink" Target="externalLinks/externalLink186.xml"/><Relationship Id="rId233" Type="http://schemas.openxmlformats.org/officeDocument/2006/relationships/externalLink" Target="externalLinks/externalLink207.xml"/><Relationship Id="rId254" Type="http://schemas.openxmlformats.org/officeDocument/2006/relationships/externalLink" Target="externalLinks/externalLink228.xml"/><Relationship Id="rId28" Type="http://schemas.openxmlformats.org/officeDocument/2006/relationships/externalLink" Target="externalLinks/externalLink2.xml"/><Relationship Id="rId49" Type="http://schemas.openxmlformats.org/officeDocument/2006/relationships/externalLink" Target="externalLinks/externalLink23.xml"/><Relationship Id="rId114" Type="http://schemas.openxmlformats.org/officeDocument/2006/relationships/externalLink" Target="externalLinks/externalLink88.xml"/><Relationship Id="rId275" Type="http://schemas.openxmlformats.org/officeDocument/2006/relationships/externalLink" Target="externalLinks/externalLink249.xml"/><Relationship Id="rId296" Type="http://schemas.openxmlformats.org/officeDocument/2006/relationships/externalLink" Target="externalLinks/externalLink270.xml"/><Relationship Id="rId300" Type="http://schemas.openxmlformats.org/officeDocument/2006/relationships/externalLink" Target="externalLinks/externalLink274.xml"/><Relationship Id="rId60" Type="http://schemas.openxmlformats.org/officeDocument/2006/relationships/externalLink" Target="externalLinks/externalLink34.xml"/><Relationship Id="rId81" Type="http://schemas.openxmlformats.org/officeDocument/2006/relationships/externalLink" Target="externalLinks/externalLink55.xml"/><Relationship Id="rId135" Type="http://schemas.openxmlformats.org/officeDocument/2006/relationships/externalLink" Target="externalLinks/externalLink109.xml"/><Relationship Id="rId156" Type="http://schemas.openxmlformats.org/officeDocument/2006/relationships/externalLink" Target="externalLinks/externalLink130.xml"/><Relationship Id="rId177" Type="http://schemas.openxmlformats.org/officeDocument/2006/relationships/externalLink" Target="externalLinks/externalLink151.xml"/><Relationship Id="rId198" Type="http://schemas.openxmlformats.org/officeDocument/2006/relationships/externalLink" Target="externalLinks/externalLink172.xml"/><Relationship Id="rId321" Type="http://schemas.openxmlformats.org/officeDocument/2006/relationships/externalLink" Target="externalLinks/externalLink295.xml"/><Relationship Id="rId342" Type="http://schemas.openxmlformats.org/officeDocument/2006/relationships/externalLink" Target="externalLinks/externalLink316.xml"/><Relationship Id="rId363" Type="http://schemas.openxmlformats.org/officeDocument/2006/relationships/externalLink" Target="externalLinks/externalLink337.xml"/><Relationship Id="rId384" Type="http://schemas.openxmlformats.org/officeDocument/2006/relationships/calcChain" Target="calcChain.xml"/><Relationship Id="rId202" Type="http://schemas.openxmlformats.org/officeDocument/2006/relationships/externalLink" Target="externalLinks/externalLink176.xml"/><Relationship Id="rId223" Type="http://schemas.openxmlformats.org/officeDocument/2006/relationships/externalLink" Target="externalLinks/externalLink197.xml"/><Relationship Id="rId244" Type="http://schemas.openxmlformats.org/officeDocument/2006/relationships/externalLink" Target="externalLinks/externalLink218.xml"/><Relationship Id="rId18" Type="http://schemas.openxmlformats.org/officeDocument/2006/relationships/worksheet" Target="worksheets/sheet18.xml"/><Relationship Id="rId39" Type="http://schemas.openxmlformats.org/officeDocument/2006/relationships/externalLink" Target="externalLinks/externalLink13.xml"/><Relationship Id="rId265" Type="http://schemas.openxmlformats.org/officeDocument/2006/relationships/externalLink" Target="externalLinks/externalLink239.xml"/><Relationship Id="rId286" Type="http://schemas.openxmlformats.org/officeDocument/2006/relationships/externalLink" Target="externalLinks/externalLink260.xml"/><Relationship Id="rId50" Type="http://schemas.openxmlformats.org/officeDocument/2006/relationships/externalLink" Target="externalLinks/externalLink24.xml"/><Relationship Id="rId104" Type="http://schemas.openxmlformats.org/officeDocument/2006/relationships/externalLink" Target="externalLinks/externalLink78.xml"/><Relationship Id="rId125" Type="http://schemas.openxmlformats.org/officeDocument/2006/relationships/externalLink" Target="externalLinks/externalLink99.xml"/><Relationship Id="rId146" Type="http://schemas.openxmlformats.org/officeDocument/2006/relationships/externalLink" Target="externalLinks/externalLink120.xml"/><Relationship Id="rId167" Type="http://schemas.openxmlformats.org/officeDocument/2006/relationships/externalLink" Target="externalLinks/externalLink141.xml"/><Relationship Id="rId188" Type="http://schemas.openxmlformats.org/officeDocument/2006/relationships/externalLink" Target="externalLinks/externalLink162.xml"/><Relationship Id="rId311" Type="http://schemas.openxmlformats.org/officeDocument/2006/relationships/externalLink" Target="externalLinks/externalLink285.xml"/><Relationship Id="rId332" Type="http://schemas.openxmlformats.org/officeDocument/2006/relationships/externalLink" Target="externalLinks/externalLink306.xml"/><Relationship Id="rId353" Type="http://schemas.openxmlformats.org/officeDocument/2006/relationships/externalLink" Target="externalLinks/externalLink327.xml"/><Relationship Id="rId374" Type="http://schemas.openxmlformats.org/officeDocument/2006/relationships/externalLink" Target="externalLinks/externalLink348.xml"/><Relationship Id="rId71" Type="http://schemas.openxmlformats.org/officeDocument/2006/relationships/externalLink" Target="externalLinks/externalLink45.xml"/><Relationship Id="rId92" Type="http://schemas.openxmlformats.org/officeDocument/2006/relationships/externalLink" Target="externalLinks/externalLink66.xml"/><Relationship Id="rId213" Type="http://schemas.openxmlformats.org/officeDocument/2006/relationships/externalLink" Target="externalLinks/externalLink187.xml"/><Relationship Id="rId234" Type="http://schemas.openxmlformats.org/officeDocument/2006/relationships/externalLink" Target="externalLinks/externalLink208.xml"/><Relationship Id="rId2" Type="http://schemas.openxmlformats.org/officeDocument/2006/relationships/worksheet" Target="worksheets/sheet2.xml"/><Relationship Id="rId29" Type="http://schemas.openxmlformats.org/officeDocument/2006/relationships/externalLink" Target="externalLinks/externalLink3.xml"/><Relationship Id="rId255" Type="http://schemas.openxmlformats.org/officeDocument/2006/relationships/externalLink" Target="externalLinks/externalLink229.xml"/><Relationship Id="rId276" Type="http://schemas.openxmlformats.org/officeDocument/2006/relationships/externalLink" Target="externalLinks/externalLink250.xml"/><Relationship Id="rId297" Type="http://schemas.openxmlformats.org/officeDocument/2006/relationships/externalLink" Target="externalLinks/externalLink271.xml"/><Relationship Id="rId40" Type="http://schemas.openxmlformats.org/officeDocument/2006/relationships/externalLink" Target="externalLinks/externalLink14.xml"/><Relationship Id="rId115" Type="http://schemas.openxmlformats.org/officeDocument/2006/relationships/externalLink" Target="externalLinks/externalLink89.xml"/><Relationship Id="rId136" Type="http://schemas.openxmlformats.org/officeDocument/2006/relationships/externalLink" Target="externalLinks/externalLink110.xml"/><Relationship Id="rId157" Type="http://schemas.openxmlformats.org/officeDocument/2006/relationships/externalLink" Target="externalLinks/externalLink131.xml"/><Relationship Id="rId178" Type="http://schemas.openxmlformats.org/officeDocument/2006/relationships/externalLink" Target="externalLinks/externalLink152.xml"/><Relationship Id="rId301" Type="http://schemas.openxmlformats.org/officeDocument/2006/relationships/externalLink" Target="externalLinks/externalLink275.xml"/><Relationship Id="rId322" Type="http://schemas.openxmlformats.org/officeDocument/2006/relationships/externalLink" Target="externalLinks/externalLink296.xml"/><Relationship Id="rId343" Type="http://schemas.openxmlformats.org/officeDocument/2006/relationships/externalLink" Target="externalLinks/externalLink317.xml"/><Relationship Id="rId364" Type="http://schemas.openxmlformats.org/officeDocument/2006/relationships/externalLink" Target="externalLinks/externalLink338.xml"/><Relationship Id="rId61" Type="http://schemas.openxmlformats.org/officeDocument/2006/relationships/externalLink" Target="externalLinks/externalLink35.xml"/><Relationship Id="rId82" Type="http://schemas.openxmlformats.org/officeDocument/2006/relationships/externalLink" Target="externalLinks/externalLink56.xml"/><Relationship Id="rId199" Type="http://schemas.openxmlformats.org/officeDocument/2006/relationships/externalLink" Target="externalLinks/externalLink173.xml"/><Relationship Id="rId203" Type="http://schemas.openxmlformats.org/officeDocument/2006/relationships/externalLink" Target="externalLinks/externalLink177.xml"/><Relationship Id="rId19" Type="http://schemas.openxmlformats.org/officeDocument/2006/relationships/worksheet" Target="worksheets/sheet19.xml"/><Relationship Id="rId224" Type="http://schemas.openxmlformats.org/officeDocument/2006/relationships/externalLink" Target="externalLinks/externalLink198.xml"/><Relationship Id="rId245" Type="http://schemas.openxmlformats.org/officeDocument/2006/relationships/externalLink" Target="externalLinks/externalLink219.xml"/><Relationship Id="rId266" Type="http://schemas.openxmlformats.org/officeDocument/2006/relationships/externalLink" Target="externalLinks/externalLink240.xml"/><Relationship Id="rId287" Type="http://schemas.openxmlformats.org/officeDocument/2006/relationships/externalLink" Target="externalLinks/externalLink261.xml"/><Relationship Id="rId30" Type="http://schemas.openxmlformats.org/officeDocument/2006/relationships/externalLink" Target="externalLinks/externalLink4.xml"/><Relationship Id="rId105" Type="http://schemas.openxmlformats.org/officeDocument/2006/relationships/externalLink" Target="externalLinks/externalLink79.xml"/><Relationship Id="rId126" Type="http://schemas.openxmlformats.org/officeDocument/2006/relationships/externalLink" Target="externalLinks/externalLink100.xml"/><Relationship Id="rId147" Type="http://schemas.openxmlformats.org/officeDocument/2006/relationships/externalLink" Target="externalLinks/externalLink121.xml"/><Relationship Id="rId168" Type="http://schemas.openxmlformats.org/officeDocument/2006/relationships/externalLink" Target="externalLinks/externalLink142.xml"/><Relationship Id="rId312" Type="http://schemas.openxmlformats.org/officeDocument/2006/relationships/externalLink" Target="externalLinks/externalLink286.xml"/><Relationship Id="rId333" Type="http://schemas.openxmlformats.org/officeDocument/2006/relationships/externalLink" Target="externalLinks/externalLink307.xml"/><Relationship Id="rId354" Type="http://schemas.openxmlformats.org/officeDocument/2006/relationships/externalLink" Target="externalLinks/externalLink328.xml"/><Relationship Id="rId51" Type="http://schemas.openxmlformats.org/officeDocument/2006/relationships/externalLink" Target="externalLinks/externalLink25.xml"/><Relationship Id="rId72" Type="http://schemas.openxmlformats.org/officeDocument/2006/relationships/externalLink" Target="externalLinks/externalLink46.xml"/><Relationship Id="rId93" Type="http://schemas.openxmlformats.org/officeDocument/2006/relationships/externalLink" Target="externalLinks/externalLink67.xml"/><Relationship Id="rId189" Type="http://schemas.openxmlformats.org/officeDocument/2006/relationships/externalLink" Target="externalLinks/externalLink163.xml"/><Relationship Id="rId375" Type="http://schemas.openxmlformats.org/officeDocument/2006/relationships/externalLink" Target="externalLinks/externalLink349.xml"/><Relationship Id="rId3" Type="http://schemas.openxmlformats.org/officeDocument/2006/relationships/worksheet" Target="worksheets/sheet3.xml"/><Relationship Id="rId214" Type="http://schemas.openxmlformats.org/officeDocument/2006/relationships/externalLink" Target="externalLinks/externalLink188.xml"/><Relationship Id="rId235" Type="http://schemas.openxmlformats.org/officeDocument/2006/relationships/externalLink" Target="externalLinks/externalLink209.xml"/><Relationship Id="rId256" Type="http://schemas.openxmlformats.org/officeDocument/2006/relationships/externalLink" Target="externalLinks/externalLink230.xml"/><Relationship Id="rId277" Type="http://schemas.openxmlformats.org/officeDocument/2006/relationships/externalLink" Target="externalLinks/externalLink251.xml"/><Relationship Id="rId298" Type="http://schemas.openxmlformats.org/officeDocument/2006/relationships/externalLink" Target="externalLinks/externalLink272.xml"/><Relationship Id="rId116" Type="http://schemas.openxmlformats.org/officeDocument/2006/relationships/externalLink" Target="externalLinks/externalLink90.xml"/><Relationship Id="rId137" Type="http://schemas.openxmlformats.org/officeDocument/2006/relationships/externalLink" Target="externalLinks/externalLink111.xml"/><Relationship Id="rId158" Type="http://schemas.openxmlformats.org/officeDocument/2006/relationships/externalLink" Target="externalLinks/externalLink132.xml"/><Relationship Id="rId302" Type="http://schemas.openxmlformats.org/officeDocument/2006/relationships/externalLink" Target="externalLinks/externalLink276.xml"/><Relationship Id="rId323" Type="http://schemas.openxmlformats.org/officeDocument/2006/relationships/externalLink" Target="externalLinks/externalLink297.xml"/><Relationship Id="rId344" Type="http://schemas.openxmlformats.org/officeDocument/2006/relationships/externalLink" Target="externalLinks/externalLink318.xml"/><Relationship Id="rId20" Type="http://schemas.openxmlformats.org/officeDocument/2006/relationships/worksheet" Target="worksheets/sheet20.xml"/><Relationship Id="rId41" Type="http://schemas.openxmlformats.org/officeDocument/2006/relationships/externalLink" Target="externalLinks/externalLink15.xml"/><Relationship Id="rId62" Type="http://schemas.openxmlformats.org/officeDocument/2006/relationships/externalLink" Target="externalLinks/externalLink36.xml"/><Relationship Id="rId83" Type="http://schemas.openxmlformats.org/officeDocument/2006/relationships/externalLink" Target="externalLinks/externalLink57.xml"/><Relationship Id="rId179" Type="http://schemas.openxmlformats.org/officeDocument/2006/relationships/externalLink" Target="externalLinks/externalLink153.xml"/><Relationship Id="rId365" Type="http://schemas.openxmlformats.org/officeDocument/2006/relationships/externalLink" Target="externalLinks/externalLink339.xml"/><Relationship Id="rId190" Type="http://schemas.openxmlformats.org/officeDocument/2006/relationships/externalLink" Target="externalLinks/externalLink164.xml"/><Relationship Id="rId204" Type="http://schemas.openxmlformats.org/officeDocument/2006/relationships/externalLink" Target="externalLinks/externalLink178.xml"/><Relationship Id="rId225" Type="http://schemas.openxmlformats.org/officeDocument/2006/relationships/externalLink" Target="externalLinks/externalLink199.xml"/><Relationship Id="rId246" Type="http://schemas.openxmlformats.org/officeDocument/2006/relationships/externalLink" Target="externalLinks/externalLink220.xml"/><Relationship Id="rId267" Type="http://schemas.openxmlformats.org/officeDocument/2006/relationships/externalLink" Target="externalLinks/externalLink241.xml"/><Relationship Id="rId288" Type="http://schemas.openxmlformats.org/officeDocument/2006/relationships/externalLink" Target="externalLinks/externalLink262.xml"/><Relationship Id="rId106" Type="http://schemas.openxmlformats.org/officeDocument/2006/relationships/externalLink" Target="externalLinks/externalLink80.xml"/><Relationship Id="rId127" Type="http://schemas.openxmlformats.org/officeDocument/2006/relationships/externalLink" Target="externalLinks/externalLink101.xml"/><Relationship Id="rId313" Type="http://schemas.openxmlformats.org/officeDocument/2006/relationships/externalLink" Target="externalLinks/externalLink287.xml"/><Relationship Id="rId10" Type="http://schemas.openxmlformats.org/officeDocument/2006/relationships/worksheet" Target="worksheets/sheet10.xml"/><Relationship Id="rId31" Type="http://schemas.openxmlformats.org/officeDocument/2006/relationships/externalLink" Target="externalLinks/externalLink5.xml"/><Relationship Id="rId52" Type="http://schemas.openxmlformats.org/officeDocument/2006/relationships/externalLink" Target="externalLinks/externalLink26.xml"/><Relationship Id="rId73" Type="http://schemas.openxmlformats.org/officeDocument/2006/relationships/externalLink" Target="externalLinks/externalLink47.xml"/><Relationship Id="rId94" Type="http://schemas.openxmlformats.org/officeDocument/2006/relationships/externalLink" Target="externalLinks/externalLink68.xml"/><Relationship Id="rId148" Type="http://schemas.openxmlformats.org/officeDocument/2006/relationships/externalLink" Target="externalLinks/externalLink122.xml"/><Relationship Id="rId169" Type="http://schemas.openxmlformats.org/officeDocument/2006/relationships/externalLink" Target="externalLinks/externalLink143.xml"/><Relationship Id="rId334" Type="http://schemas.openxmlformats.org/officeDocument/2006/relationships/externalLink" Target="externalLinks/externalLink308.xml"/><Relationship Id="rId355" Type="http://schemas.openxmlformats.org/officeDocument/2006/relationships/externalLink" Target="externalLinks/externalLink329.xml"/><Relationship Id="rId376" Type="http://schemas.openxmlformats.org/officeDocument/2006/relationships/externalLink" Target="externalLinks/externalLink350.xml"/><Relationship Id="rId4" Type="http://schemas.openxmlformats.org/officeDocument/2006/relationships/worksheet" Target="worksheets/sheet4.xml"/><Relationship Id="rId180" Type="http://schemas.openxmlformats.org/officeDocument/2006/relationships/externalLink" Target="externalLinks/externalLink154.xml"/><Relationship Id="rId215" Type="http://schemas.openxmlformats.org/officeDocument/2006/relationships/externalLink" Target="externalLinks/externalLink189.xml"/><Relationship Id="rId236" Type="http://schemas.openxmlformats.org/officeDocument/2006/relationships/externalLink" Target="externalLinks/externalLink210.xml"/><Relationship Id="rId257" Type="http://schemas.openxmlformats.org/officeDocument/2006/relationships/externalLink" Target="externalLinks/externalLink231.xml"/><Relationship Id="rId278" Type="http://schemas.openxmlformats.org/officeDocument/2006/relationships/externalLink" Target="externalLinks/externalLink2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'Historical RK P&amp;L'!$B$31</c:f>
              <c:strCache>
                <c:ptCount val="1"/>
                <c:pt idx="0">
                  <c:v>EBITDA Margin %</c:v>
                </c:pt>
              </c:strCache>
            </c:strRef>
          </c:tx>
          <c:spPr>
            <a:solidFill>
              <a:schemeClr val="accent1"/>
            </a:solidFill>
            <a:ln>
              <a:noFill/>
            </a:ln>
            <a:effectLst/>
          </c:spPr>
          <c:invertIfNegative val="0"/>
          <c:dLbls>
            <c:dLbl>
              <c:idx val="0"/>
              <c:layout>
                <c:manualLayout>
                  <c:x val="1.6666666666666642E-2"/>
                  <c:y val="-4.243778136006664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FB-4F1F-9384-D58950084BDF}"/>
                </c:ext>
              </c:extLst>
            </c:dLbl>
            <c:dLbl>
              <c:idx val="4"/>
              <c:layout>
                <c:manualLayout>
                  <c:x val="-2.7777471871959208E-3"/>
                  <c:y val="-1.885900924670881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FB-4F1F-9384-D58950084B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cat>
            <c:strRef>
              <c:f>'Historical RK P&amp;L'!$C$6:$H$6</c:f>
              <c:strCache>
                <c:ptCount val="6"/>
                <c:pt idx="1">
                  <c:v>FY 2020 A</c:v>
                </c:pt>
                <c:pt idx="2">
                  <c:v>FY 2021 A</c:v>
                </c:pt>
                <c:pt idx="3">
                  <c:v>FY 2022 A</c:v>
                </c:pt>
                <c:pt idx="4">
                  <c:v>FY 2023 A</c:v>
                </c:pt>
                <c:pt idx="5">
                  <c:v>FY 2024 Prov.</c:v>
                </c:pt>
              </c:strCache>
            </c:strRef>
          </c:cat>
          <c:val>
            <c:numRef>
              <c:f>'Historical RK P&amp;L'!$C$31:$H$31</c:f>
              <c:numCache>
                <c:formatCode>0.00%</c:formatCode>
                <c:ptCount val="6"/>
                <c:pt idx="1">
                  <c:v>5.9840101657224545E-2</c:v>
                </c:pt>
                <c:pt idx="2">
                  <c:v>7.1373632634457632E-2</c:v>
                </c:pt>
                <c:pt idx="3">
                  <c:v>8.3009817761807159E-2</c:v>
                </c:pt>
                <c:pt idx="4">
                  <c:v>1.5528581510232843E-2</c:v>
                </c:pt>
                <c:pt idx="5">
                  <c:v>1.8151126277369007E-5</c:v>
                </c:pt>
              </c:numCache>
            </c:numRef>
          </c:val>
          <c:extLst>
            <c:ext xmlns:c16="http://schemas.microsoft.com/office/drawing/2014/chart" uri="{C3380CC4-5D6E-409C-BE32-E72D297353CC}">
              <c16:uniqueId val="{00000003-D8D7-477E-88CE-B6444ED40721}"/>
            </c:ext>
          </c:extLst>
        </c:ser>
        <c:dLbls>
          <c:dLblPos val="outEnd"/>
          <c:showLegendKey val="0"/>
          <c:showVal val="1"/>
          <c:showCatName val="0"/>
          <c:showSerName val="0"/>
          <c:showPercent val="0"/>
          <c:showBubbleSize val="0"/>
        </c:dLbls>
        <c:gapWidth val="219"/>
        <c:axId val="356418080"/>
        <c:axId val="356422000"/>
      </c:barChart>
      <c:catAx>
        <c:axId val="3564180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Financial</a:t>
                </a:r>
                <a:r>
                  <a:rPr lang="en-US" b="1" baseline="0">
                    <a:solidFill>
                      <a:sysClr val="windowText" lastClr="000000"/>
                    </a:solidFill>
                  </a:rPr>
                  <a:t> Years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22000"/>
        <c:crosses val="autoZero"/>
        <c:auto val="1"/>
        <c:lblAlgn val="ctr"/>
        <c:lblOffset val="100"/>
        <c:noMultiLvlLbl val="0"/>
      </c:catAx>
      <c:valAx>
        <c:axId val="356422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18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48547981931442"/>
          <c:y val="5.6412499719586326E-2"/>
        </c:manualLayout>
      </c:layout>
      <c:overlay val="0"/>
      <c:spPr>
        <a:solidFill>
          <a:srgbClr val="002060"/>
        </a:solidFill>
        <a:ln>
          <a:noFill/>
        </a:ln>
        <a:effectLst/>
      </c:spPr>
      <c:txPr>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Sheet2!$B$10</c:f>
              <c:strCache>
                <c:ptCount val="1"/>
                <c:pt idx="0">
                  <c:v>Energy Consumption Gal/MT of Urea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25400" cap="rnd" cmpd="sng">
                <a:solidFill>
                  <a:schemeClr val="accent6">
                    <a:lumMod val="75000"/>
                  </a:schemeClr>
                </a:solidFill>
                <a:prstDash val="solid"/>
              </a:ln>
              <a:effectLst/>
            </c:spPr>
            <c:trendlineType val="linear"/>
            <c:dispRSqr val="0"/>
            <c:dispEq val="0"/>
          </c:trendline>
          <c:cat>
            <c:numRef>
              <c:f>Sheet2!$C$4:$V$4</c:f>
              <c:numCache>
                <c:formatCode>"FY"\ 0</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Sheet2!$C$10:$V$10</c:f>
              <c:numCache>
                <c:formatCode>General</c:formatCode>
                <c:ptCount val="20"/>
                <c:pt idx="0">
                  <c:v>5.8460000000000001</c:v>
                </c:pt>
                <c:pt idx="1">
                  <c:v>5.7560000000000002</c:v>
                </c:pt>
                <c:pt idx="2">
                  <c:v>5.718</c:v>
                </c:pt>
                <c:pt idx="3">
                  <c:v>5.6619999999999999</c:v>
                </c:pt>
                <c:pt idx="4">
                  <c:v>5.6379999999999999</c:v>
                </c:pt>
                <c:pt idx="5">
                  <c:v>5.6070000000000002</c:v>
                </c:pt>
                <c:pt idx="6">
                  <c:v>5.6139999999999999</c:v>
                </c:pt>
                <c:pt idx="7">
                  <c:v>5.5880000000000001</c:v>
                </c:pt>
                <c:pt idx="8">
                  <c:v>5.5990000000000002</c:v>
                </c:pt>
                <c:pt idx="9">
                  <c:v>5.6349999999999998</c:v>
                </c:pt>
                <c:pt idx="10">
                  <c:v>5.6</c:v>
                </c:pt>
                <c:pt idx="11">
                  <c:v>5.734</c:v>
                </c:pt>
                <c:pt idx="12">
                  <c:v>6.0039999999999996</c:v>
                </c:pt>
                <c:pt idx="13">
                  <c:v>5.8019999999999996</c:v>
                </c:pt>
                <c:pt idx="14">
                  <c:v>5.6989999999999998</c:v>
                </c:pt>
                <c:pt idx="15">
                  <c:v>5.6529999999999996</c:v>
                </c:pt>
                <c:pt idx="16">
                  <c:v>5.9820000000000002</c:v>
                </c:pt>
                <c:pt idx="17">
                  <c:v>6.14</c:v>
                </c:pt>
                <c:pt idx="18">
                  <c:v>6.0890000000000004</c:v>
                </c:pt>
                <c:pt idx="19">
                  <c:v>6.2080000000000002</c:v>
                </c:pt>
              </c:numCache>
            </c:numRef>
          </c:val>
          <c:extLst>
            <c:ext xmlns:c16="http://schemas.microsoft.com/office/drawing/2014/chart" uri="{C3380CC4-5D6E-409C-BE32-E72D297353CC}">
              <c16:uniqueId val="{00000001-2B11-4FE2-9123-47637FD7017D}"/>
            </c:ext>
          </c:extLst>
        </c:ser>
        <c:dLbls>
          <c:dLblPos val="outEnd"/>
          <c:showLegendKey val="0"/>
          <c:showVal val="1"/>
          <c:showCatName val="0"/>
          <c:showSerName val="0"/>
          <c:showPercent val="0"/>
          <c:showBubbleSize val="0"/>
        </c:dLbls>
        <c:gapWidth val="219"/>
        <c:overlap val="-27"/>
        <c:axId val="356426312"/>
        <c:axId val="356428272"/>
      </c:barChart>
      <c:catAx>
        <c:axId val="3564263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FINANCIAL</a:t>
                </a:r>
                <a:r>
                  <a:rPr lang="en-US" b="1" baseline="0"/>
                  <a:t> YEARS</a:t>
                </a:r>
                <a:endParaRPr lang="en-US"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28272"/>
        <c:crosses val="autoZero"/>
        <c:auto val="1"/>
        <c:lblAlgn val="ctr"/>
        <c:lblOffset val="100"/>
        <c:noMultiLvlLbl val="0"/>
      </c:catAx>
      <c:valAx>
        <c:axId val="35642827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ENERGY</a:t>
                </a:r>
                <a:r>
                  <a:rPr lang="en-US" b="1" baseline="0"/>
                  <a:t> CONSUMPTION</a:t>
                </a:r>
                <a:endParaRPr lang="en-US"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26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033050895811938"/>
          <c:y val="6.4516129032258063E-2"/>
        </c:manualLayout>
      </c:layout>
      <c:overlay val="0"/>
      <c:spPr>
        <a:solidFill>
          <a:srgbClr val="002060"/>
        </a:solidFill>
        <a:ln>
          <a:noFill/>
        </a:ln>
        <a:effectLst/>
      </c:spPr>
      <c:txPr>
        <a:bodyPr rot="0" spcFirstLastPara="1" vertOverflow="ellipsis" vert="horz" wrap="square" anchor="ctr" anchorCtr="1"/>
        <a:lstStyle/>
        <a:p>
          <a:pPr algn="ctr" rtl="0">
            <a:defRPr lang="en-US" sz="1200" b="1"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Sheet2!$B$11</c:f>
              <c:strCache>
                <c:ptCount val="1"/>
                <c:pt idx="0">
                  <c:v>Water Consumption M^3/MT of Urea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solidFill>
                <a:prstDash val="solid"/>
              </a:ln>
              <a:effectLst/>
            </c:spPr>
            <c:trendlineType val="linear"/>
            <c:dispRSqr val="0"/>
            <c:dispEq val="0"/>
          </c:trendline>
          <c:cat>
            <c:numRef>
              <c:f>Sheet2!$C$4:$V$4</c:f>
              <c:numCache>
                <c:formatCode>"FY"\ 0</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Sheet2!$C$11:$V$11</c:f>
              <c:numCache>
                <c:formatCode>General</c:formatCode>
                <c:ptCount val="20"/>
                <c:pt idx="0">
                  <c:v>6.5780000000000003</c:v>
                </c:pt>
                <c:pt idx="1">
                  <c:v>6.34</c:v>
                </c:pt>
                <c:pt idx="2">
                  <c:v>5.9980000000000002</c:v>
                </c:pt>
                <c:pt idx="3">
                  <c:v>5.5449999999999999</c:v>
                </c:pt>
                <c:pt idx="4">
                  <c:v>5.5289999999999999</c:v>
                </c:pt>
                <c:pt idx="5">
                  <c:v>5.335</c:v>
                </c:pt>
                <c:pt idx="6">
                  <c:v>5.2919999999999998</c:v>
                </c:pt>
                <c:pt idx="7">
                  <c:v>5.173</c:v>
                </c:pt>
                <c:pt idx="8">
                  <c:v>5.0469999999999997</c:v>
                </c:pt>
                <c:pt idx="9">
                  <c:v>5.1959999999999997</c:v>
                </c:pt>
                <c:pt idx="10">
                  <c:v>5.1289999999999996</c:v>
                </c:pt>
                <c:pt idx="11">
                  <c:v>5.3250000000000002</c:v>
                </c:pt>
                <c:pt idx="12">
                  <c:v>5.6589999999999998</c:v>
                </c:pt>
                <c:pt idx="13">
                  <c:v>5.5549999999999997</c:v>
                </c:pt>
                <c:pt idx="14">
                  <c:v>5.4749999999999996</c:v>
                </c:pt>
                <c:pt idx="15">
                  <c:v>5.3959999999999999</c:v>
                </c:pt>
                <c:pt idx="16">
                  <c:v>8.7050000000000001</c:v>
                </c:pt>
                <c:pt idx="17">
                  <c:v>7.5910000000000002</c:v>
                </c:pt>
                <c:pt idx="18">
                  <c:v>6.9710000000000001</c:v>
                </c:pt>
                <c:pt idx="19">
                  <c:v>6.4690000000000003</c:v>
                </c:pt>
              </c:numCache>
            </c:numRef>
          </c:val>
          <c:extLst>
            <c:ext xmlns:c16="http://schemas.microsoft.com/office/drawing/2014/chart" uri="{C3380CC4-5D6E-409C-BE32-E72D297353CC}">
              <c16:uniqueId val="{00000001-1B3D-48E0-BC0D-992B78BD698B}"/>
            </c:ext>
          </c:extLst>
        </c:ser>
        <c:dLbls>
          <c:dLblPos val="outEnd"/>
          <c:showLegendKey val="0"/>
          <c:showVal val="1"/>
          <c:showCatName val="0"/>
          <c:showSerName val="0"/>
          <c:showPercent val="0"/>
          <c:showBubbleSize val="0"/>
        </c:dLbls>
        <c:gapWidth val="219"/>
        <c:overlap val="-16"/>
        <c:axId val="356414944"/>
        <c:axId val="356429056"/>
      </c:barChart>
      <c:catAx>
        <c:axId val="3564149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FINANCIAL</a:t>
                </a:r>
                <a:r>
                  <a:rPr lang="en-US" b="1" baseline="0"/>
                  <a:t> YEARS</a:t>
                </a:r>
                <a:endParaRPr lang="en-US"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29056"/>
        <c:crosses val="autoZero"/>
        <c:auto val="1"/>
        <c:lblAlgn val="ctr"/>
        <c:lblOffset val="100"/>
        <c:noMultiLvlLbl val="0"/>
      </c:catAx>
      <c:valAx>
        <c:axId val="3564290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WATER</a:t>
                </a:r>
                <a:r>
                  <a:rPr lang="en-US" b="1" baseline="0"/>
                  <a:t> CONSUMPTION</a:t>
                </a:r>
                <a:endParaRPr lang="en-US"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14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rgbClr val="002060"/>
        </a:solidFill>
        <a:ln>
          <a:noFill/>
        </a:ln>
        <a:effectLst/>
      </c:spPr>
      <c:txPr>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Sheet2!$C$71</c:f>
              <c:strCache>
                <c:ptCount val="1"/>
                <c:pt idx="0">
                  <c:v>Volumes in Thousand MT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trendline>
            <c:spPr>
              <a:ln w="19050" cap="rnd">
                <a:solidFill>
                  <a:schemeClr val="accent6"/>
                </a:solidFill>
                <a:prstDash val="solid"/>
              </a:ln>
              <a:effectLst/>
            </c:spPr>
            <c:trendlineType val="linear"/>
            <c:dispRSqr val="0"/>
            <c:dispEq val="0"/>
          </c:trendline>
          <c:cat>
            <c:numRef>
              <c:f>Sheet2!$D$69:$J$69</c:f>
              <c:numCache>
                <c:formatCode>"FY"\ 0</c:formatCode>
                <c:ptCount val="7"/>
                <c:pt idx="0">
                  <c:v>2015</c:v>
                </c:pt>
                <c:pt idx="1">
                  <c:v>2016</c:v>
                </c:pt>
                <c:pt idx="2">
                  <c:v>2017</c:v>
                </c:pt>
                <c:pt idx="3">
                  <c:v>2018</c:v>
                </c:pt>
                <c:pt idx="4">
                  <c:v>2019</c:v>
                </c:pt>
                <c:pt idx="5">
                  <c:v>2020</c:v>
                </c:pt>
                <c:pt idx="6">
                  <c:v>2021</c:v>
                </c:pt>
              </c:numCache>
            </c:numRef>
          </c:cat>
          <c:val>
            <c:numRef>
              <c:f>Sheet2!$D$71:$J$71</c:f>
              <c:numCache>
                <c:formatCode>General</c:formatCode>
                <c:ptCount val="7"/>
                <c:pt idx="0">
                  <c:v>186</c:v>
                </c:pt>
                <c:pt idx="1">
                  <c:v>188</c:v>
                </c:pt>
                <c:pt idx="2">
                  <c:v>214</c:v>
                </c:pt>
                <c:pt idx="3">
                  <c:v>213</c:v>
                </c:pt>
                <c:pt idx="4">
                  <c:v>217</c:v>
                </c:pt>
                <c:pt idx="5">
                  <c:v>192</c:v>
                </c:pt>
                <c:pt idx="6">
                  <c:v>255</c:v>
                </c:pt>
              </c:numCache>
            </c:numRef>
          </c:val>
          <c:extLst>
            <c:ext xmlns:c16="http://schemas.microsoft.com/office/drawing/2014/chart" uri="{C3380CC4-5D6E-409C-BE32-E72D297353CC}">
              <c16:uniqueId val="{00000002-5CCE-4A16-8075-8668CF5B9FFD}"/>
            </c:ext>
          </c:extLst>
        </c:ser>
        <c:dLbls>
          <c:dLblPos val="outEnd"/>
          <c:showLegendKey val="0"/>
          <c:showVal val="1"/>
          <c:showCatName val="0"/>
          <c:showSerName val="0"/>
          <c:showPercent val="0"/>
          <c:showBubbleSize val="0"/>
        </c:dLbls>
        <c:gapWidth val="219"/>
        <c:overlap val="-27"/>
        <c:axId val="356426704"/>
        <c:axId val="356427096"/>
      </c:barChart>
      <c:catAx>
        <c:axId val="3564267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FINANCIAL</a:t>
                </a:r>
                <a:r>
                  <a:rPr lang="en-US" b="1" baseline="0"/>
                  <a:t> YEARS</a:t>
                </a:r>
                <a:endParaRPr lang="en-US"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27096"/>
        <c:crosses val="autoZero"/>
        <c:auto val="1"/>
        <c:lblAlgn val="ctr"/>
        <c:lblOffset val="100"/>
        <c:noMultiLvlLbl val="0"/>
      </c:catAx>
      <c:valAx>
        <c:axId val="3564270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VOLUME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26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'Historical RK P&amp;L'!$B$32</c:f>
              <c:strCache>
                <c:ptCount val="1"/>
                <c:pt idx="0">
                  <c:v>EBIT Margin %</c:v>
                </c:pt>
              </c:strCache>
            </c:strRef>
          </c:tx>
          <c:spPr>
            <a:solidFill>
              <a:schemeClr val="accent1"/>
            </a:solidFill>
            <a:ln>
              <a:noFill/>
            </a:ln>
            <a:effectLst/>
          </c:spPr>
          <c:invertIfNegative val="0"/>
          <c:dLbls>
            <c:dLbl>
              <c:idx val="0"/>
              <c:layout>
                <c:manualLayout>
                  <c:x val="1.6666666666666642E-2"/>
                  <c:y val="-4.243778136006664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51-44A5-920B-2A508E2DE59E}"/>
                </c:ext>
              </c:extLst>
            </c:dLbl>
            <c:dLbl>
              <c:idx val="1"/>
              <c:layout>
                <c:manualLayout>
                  <c:x val="2.7777777777777779E-3"/>
                  <c:y val="-6.0184820647419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51-44A5-920B-2A508E2DE59E}"/>
                </c:ext>
              </c:extLst>
            </c:dLbl>
            <c:dLbl>
              <c:idx val="2"/>
              <c:layout>
                <c:manualLayout>
                  <c:x val="0"/>
                  <c:y val="-3.24070428696412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51-44A5-920B-2A508E2DE59E}"/>
                </c:ext>
              </c:extLst>
            </c:dLbl>
            <c:dLbl>
              <c:idx val="4"/>
              <c:layout>
                <c:manualLayout>
                  <c:x val="-2.7777777777778798E-3"/>
                  <c:y val="-9.25853018372711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51-44A5-920B-2A508E2DE5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cat>
            <c:strRef>
              <c:f>'Historical RK P&amp;L'!$C$6:$H$6</c:f>
              <c:strCache>
                <c:ptCount val="6"/>
                <c:pt idx="1">
                  <c:v>FY 2020 A</c:v>
                </c:pt>
                <c:pt idx="2">
                  <c:v>FY 2021 A</c:v>
                </c:pt>
                <c:pt idx="3">
                  <c:v>FY 2022 A</c:v>
                </c:pt>
                <c:pt idx="4">
                  <c:v>FY 2023 A</c:v>
                </c:pt>
                <c:pt idx="5">
                  <c:v>FY 2024 Prov.</c:v>
                </c:pt>
              </c:strCache>
            </c:strRef>
          </c:cat>
          <c:val>
            <c:numRef>
              <c:f>'Historical RK P&amp;L'!$C$32:$H$32</c:f>
              <c:numCache>
                <c:formatCode>0.00%</c:formatCode>
                <c:ptCount val="6"/>
                <c:pt idx="1">
                  <c:v>2.647323555884993E-3</c:v>
                </c:pt>
                <c:pt idx="2">
                  <c:v>-4.1305834092978712E-4</c:v>
                </c:pt>
                <c:pt idx="3">
                  <c:v>4.4548896303901617E-2</c:v>
                </c:pt>
                <c:pt idx="4">
                  <c:v>-3.1502369190442629E-2</c:v>
                </c:pt>
                <c:pt idx="5">
                  <c:v>-4.8998965385802208E-2</c:v>
                </c:pt>
              </c:numCache>
            </c:numRef>
          </c:val>
          <c:extLst>
            <c:ext xmlns:c16="http://schemas.microsoft.com/office/drawing/2014/chart" uri="{C3380CC4-5D6E-409C-BE32-E72D297353CC}">
              <c16:uniqueId val="{00000005-0AD6-4674-8A08-93026127FD8B}"/>
            </c:ext>
          </c:extLst>
        </c:ser>
        <c:dLbls>
          <c:dLblPos val="outEnd"/>
          <c:showLegendKey val="0"/>
          <c:showVal val="1"/>
          <c:showCatName val="0"/>
          <c:showSerName val="0"/>
          <c:showPercent val="0"/>
          <c:showBubbleSize val="0"/>
        </c:dLbls>
        <c:gapWidth val="219"/>
        <c:axId val="356416512"/>
        <c:axId val="356416904"/>
      </c:barChart>
      <c:catAx>
        <c:axId val="3564165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Financial</a:t>
                </a:r>
                <a:r>
                  <a:rPr lang="en-US" b="1" baseline="0">
                    <a:solidFill>
                      <a:sysClr val="windowText" lastClr="000000"/>
                    </a:solidFill>
                  </a:rPr>
                  <a:t> Years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16904"/>
        <c:crosses val="autoZero"/>
        <c:auto val="1"/>
        <c:lblAlgn val="ctr"/>
        <c:lblOffset val="100"/>
        <c:noMultiLvlLbl val="0"/>
      </c:catAx>
      <c:valAx>
        <c:axId val="356416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16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5855481590037837"/>
          <c:y val="0.10127192982456143"/>
          <c:w val="0.77830091822118452"/>
          <c:h val="0.78379368697333884"/>
        </c:manualLayout>
      </c:layout>
      <c:barChart>
        <c:barDir val="col"/>
        <c:grouping val="clustered"/>
        <c:varyColors val="0"/>
        <c:ser>
          <c:idx val="0"/>
          <c:order val="0"/>
          <c:tx>
            <c:strRef>
              <c:f>'Historical RK P&amp;L'!$B$33</c:f>
              <c:strCache>
                <c:ptCount val="1"/>
                <c:pt idx="0">
                  <c:v>Net Profit Margin %</c:v>
                </c:pt>
              </c:strCache>
            </c:strRef>
          </c:tx>
          <c:spPr>
            <a:solidFill>
              <a:schemeClr val="accent1"/>
            </a:solidFill>
            <a:ln>
              <a:noFill/>
            </a:ln>
            <a:effectLst/>
          </c:spPr>
          <c:invertIfNegative val="0"/>
          <c:dLbls>
            <c:dLbl>
              <c:idx val="0"/>
              <c:layout>
                <c:manualLayout>
                  <c:x val="1.6666666666666642E-2"/>
                  <c:y val="-4.243778136006664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51-425B-9A90-09CA2F717B98}"/>
                </c:ext>
              </c:extLst>
            </c:dLbl>
            <c:dLbl>
              <c:idx val="1"/>
              <c:layout>
                <c:manualLayout>
                  <c:x val="2.7777777777777779E-3"/>
                  <c:y val="-6.0184820647419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51-425B-9A90-09CA2F717B98}"/>
                </c:ext>
              </c:extLst>
            </c:dLbl>
            <c:dLbl>
              <c:idx val="2"/>
              <c:layout>
                <c:manualLayout>
                  <c:x val="0"/>
                  <c:y val="-3.24070428696412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51-425B-9A90-09CA2F717B98}"/>
                </c:ext>
              </c:extLst>
            </c:dLbl>
            <c:dLbl>
              <c:idx val="4"/>
              <c:layout>
                <c:manualLayout>
                  <c:x val="-5.5555555555555558E-3"/>
                  <c:y val="-3.7035943423738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51-425B-9A90-09CA2F717B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cat>
            <c:strRef>
              <c:f>'Historical RK P&amp;L'!$C$6:$H$6</c:f>
              <c:strCache>
                <c:ptCount val="6"/>
                <c:pt idx="1">
                  <c:v>FY 2020 A</c:v>
                </c:pt>
                <c:pt idx="2">
                  <c:v>FY 2021 A</c:v>
                </c:pt>
                <c:pt idx="3">
                  <c:v>FY 2022 A</c:v>
                </c:pt>
                <c:pt idx="4">
                  <c:v>FY 2023 A</c:v>
                </c:pt>
                <c:pt idx="5">
                  <c:v>FY 2024 Prov.</c:v>
                </c:pt>
              </c:strCache>
            </c:strRef>
          </c:cat>
          <c:val>
            <c:numRef>
              <c:f>'Historical RK P&amp;L'!$C$33:$H$33</c:f>
              <c:numCache>
                <c:formatCode>0.00%</c:formatCode>
                <c:ptCount val="6"/>
                <c:pt idx="1">
                  <c:v>-3.7369619314872676E-2</c:v>
                </c:pt>
                <c:pt idx="2">
                  <c:v>-4.5023359161349114E-2</c:v>
                </c:pt>
                <c:pt idx="3">
                  <c:v>2.1913501026694229E-2</c:v>
                </c:pt>
                <c:pt idx="4">
                  <c:v>-5.4750680512148438E-2</c:v>
                </c:pt>
                <c:pt idx="5">
                  <c:v>-7.0399143266839728E-2</c:v>
                </c:pt>
              </c:numCache>
            </c:numRef>
          </c:val>
          <c:extLst>
            <c:ext xmlns:c16="http://schemas.microsoft.com/office/drawing/2014/chart" uri="{C3380CC4-5D6E-409C-BE32-E72D297353CC}">
              <c16:uniqueId val="{00000005-D6DE-4DC3-86E8-CD11FA7BD55C}"/>
            </c:ext>
          </c:extLst>
        </c:ser>
        <c:dLbls>
          <c:dLblPos val="outEnd"/>
          <c:showLegendKey val="0"/>
          <c:showVal val="1"/>
          <c:showCatName val="0"/>
          <c:showSerName val="0"/>
          <c:showPercent val="0"/>
          <c:showBubbleSize val="0"/>
        </c:dLbls>
        <c:gapWidth val="219"/>
        <c:axId val="356417296"/>
        <c:axId val="356418864"/>
      </c:barChart>
      <c:catAx>
        <c:axId val="3564172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Financial</a:t>
                </a:r>
                <a:r>
                  <a:rPr lang="en-US" b="1" baseline="0">
                    <a:solidFill>
                      <a:sysClr val="windowText" lastClr="000000"/>
                    </a:solidFill>
                  </a:rPr>
                  <a:t> Years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18864"/>
        <c:crosses val="autoZero"/>
        <c:auto val="1"/>
        <c:lblAlgn val="ctr"/>
        <c:lblOffset val="100"/>
        <c:noMultiLvlLbl val="0"/>
      </c:catAx>
      <c:valAx>
        <c:axId val="356418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17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'Historical RK P&amp;L'!$B$34</c:f>
              <c:strCache>
                <c:ptCount val="1"/>
                <c:pt idx="0">
                  <c:v>Revenue Growth % (Y.O.Y.)</c:v>
                </c:pt>
              </c:strCache>
            </c:strRef>
          </c:tx>
          <c:spPr>
            <a:solidFill>
              <a:schemeClr val="accent1"/>
            </a:solidFill>
            <a:ln>
              <a:noFill/>
            </a:ln>
            <a:effectLst/>
          </c:spPr>
          <c:invertIfNegative val="0"/>
          <c:dLbls>
            <c:dLbl>
              <c:idx val="0"/>
              <c:layout>
                <c:manualLayout>
                  <c:x val="1.6666666666666642E-2"/>
                  <c:y val="-4.243778136006664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D4-4F53-9305-316C76609F66}"/>
                </c:ext>
              </c:extLst>
            </c:dLbl>
            <c:dLbl>
              <c:idx val="1"/>
              <c:layout>
                <c:manualLayout>
                  <c:x val="2.7777777777777779E-3"/>
                  <c:y val="-6.0184820647419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D4-4F53-9305-316C76609F66}"/>
                </c:ext>
              </c:extLst>
            </c:dLbl>
            <c:dLbl>
              <c:idx val="2"/>
              <c:layout>
                <c:manualLayout>
                  <c:x val="2.7778474346758096E-3"/>
                  <c:y val="4.8832711700511121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D4-4F53-9305-316C76609F66}"/>
                </c:ext>
              </c:extLst>
            </c:dLbl>
            <c:dLbl>
              <c:idx val="4"/>
              <c:layout>
                <c:manualLayout>
                  <c:x val="-5.5555555555555558E-3"/>
                  <c:y val="-3.7035943423738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D4-4F53-9305-316C76609F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cat>
            <c:strRef>
              <c:f>'Historical RK P&amp;L'!$C$6:$H$6</c:f>
              <c:strCache>
                <c:ptCount val="6"/>
                <c:pt idx="1">
                  <c:v>FY 2020 A</c:v>
                </c:pt>
                <c:pt idx="2">
                  <c:v>FY 2021 A</c:v>
                </c:pt>
                <c:pt idx="3">
                  <c:v>FY 2022 A</c:v>
                </c:pt>
                <c:pt idx="4">
                  <c:v>FY 2023 A</c:v>
                </c:pt>
                <c:pt idx="5">
                  <c:v>FY 2024 Prov.</c:v>
                </c:pt>
              </c:strCache>
            </c:strRef>
          </c:cat>
          <c:val>
            <c:numRef>
              <c:f>'Historical RK P&amp;L'!$C$34:$H$34</c:f>
              <c:numCache>
                <c:formatCode>0.00%</c:formatCode>
                <c:ptCount val="6"/>
                <c:pt idx="1">
                  <c:v>0</c:v>
                </c:pt>
                <c:pt idx="2">
                  <c:v>-0.25654683115370347</c:v>
                </c:pt>
                <c:pt idx="3">
                  <c:v>0.7757520510483138</c:v>
                </c:pt>
                <c:pt idx="4">
                  <c:v>-0.20439232546201247</c:v>
                </c:pt>
                <c:pt idx="5">
                  <c:v>0.11085794939005944</c:v>
                </c:pt>
              </c:numCache>
            </c:numRef>
          </c:val>
          <c:extLst>
            <c:ext xmlns:c16="http://schemas.microsoft.com/office/drawing/2014/chart" uri="{C3380CC4-5D6E-409C-BE32-E72D297353CC}">
              <c16:uniqueId val="{00000005-566B-459B-B917-C475E86CA2C8}"/>
            </c:ext>
          </c:extLst>
        </c:ser>
        <c:dLbls>
          <c:dLblPos val="outEnd"/>
          <c:showLegendKey val="0"/>
          <c:showVal val="1"/>
          <c:showCatName val="0"/>
          <c:showSerName val="0"/>
          <c:showPercent val="0"/>
          <c:showBubbleSize val="0"/>
        </c:dLbls>
        <c:gapWidth val="219"/>
        <c:axId val="356420432"/>
        <c:axId val="356422784"/>
      </c:barChart>
      <c:catAx>
        <c:axId val="356420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Financial</a:t>
                </a:r>
                <a:r>
                  <a:rPr lang="en-US" b="1" baseline="0">
                    <a:solidFill>
                      <a:sysClr val="windowText" lastClr="000000"/>
                    </a:solidFill>
                  </a:rPr>
                  <a:t> Years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22784"/>
        <c:crosses val="autoZero"/>
        <c:auto val="1"/>
        <c:lblAlgn val="ctr"/>
        <c:lblOffset val="100"/>
        <c:noMultiLvlLbl val="0"/>
      </c:catAx>
      <c:valAx>
        <c:axId val="356422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20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bg1"/>
                </a:solidFill>
              </a:rPr>
              <a:t>EBIT Margin %</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'Projection RK P&amp;L'!$B$6</c:f>
              <c:strCache>
                <c:ptCount val="1"/>
                <c:pt idx="0">
                  <c:v>Particular (In Crores)</c:v>
                </c:pt>
              </c:strCache>
            </c:strRef>
          </c:tx>
          <c:spPr>
            <a:solidFill>
              <a:schemeClr val="accent1"/>
            </a:solidFill>
            <a:ln>
              <a:noFill/>
            </a:ln>
            <a:effectLst/>
          </c:spPr>
          <c:invertIfNegative val="0"/>
          <c:dLbls>
            <c:dLbl>
              <c:idx val="0"/>
              <c:layout>
                <c:manualLayout>
                  <c:x val="1.6666666666666642E-2"/>
                  <c:y val="-4.243778136006664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3E-4E82-B7DF-90F7F8511F6E}"/>
                </c:ext>
              </c:extLst>
            </c:dLbl>
            <c:dLbl>
              <c:idx val="1"/>
              <c:layout>
                <c:manualLayout>
                  <c:x val="2.7777777777777779E-3"/>
                  <c:y val="-6.0184820647419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3E-4E82-B7DF-90F7F8511F6E}"/>
                </c:ext>
              </c:extLst>
            </c:dLbl>
            <c:dLbl>
              <c:idx val="2"/>
              <c:layout>
                <c:manualLayout>
                  <c:x val="0"/>
                  <c:y val="-3.24070428696412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3E-4E82-B7DF-90F7F8511F6E}"/>
                </c:ext>
              </c:extLst>
            </c:dLbl>
            <c:dLbl>
              <c:idx val="4"/>
              <c:layout>
                <c:manualLayout>
                  <c:x val="-5.5555555555555558E-3"/>
                  <c:y val="-3.7035943423738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3E-4E82-B7DF-90F7F8511F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cat>
            <c:numRef>
              <c:f>'Projection RK P&amp;L'!$M$6:$R$6</c:f>
              <c:numCache>
                <c:formatCode>"FY"\ 0\ "E"</c:formatCode>
                <c:ptCount val="6"/>
                <c:pt idx="0">
                  <c:v>2025</c:v>
                </c:pt>
                <c:pt idx="1">
                  <c:v>2026</c:v>
                </c:pt>
                <c:pt idx="2">
                  <c:v>2027</c:v>
                </c:pt>
                <c:pt idx="3">
                  <c:v>2028</c:v>
                </c:pt>
                <c:pt idx="4">
                  <c:v>2029</c:v>
                </c:pt>
                <c:pt idx="5">
                  <c:v>2030</c:v>
                </c:pt>
              </c:numCache>
            </c:numRef>
          </c:cat>
          <c:val>
            <c:numRef>
              <c:f>'Projection RK P&amp;L'!$C$6:$G$6</c:f>
            </c:numRef>
          </c:val>
          <c:extLst>
            <c:ext xmlns:c16="http://schemas.microsoft.com/office/drawing/2014/chart" uri="{C3380CC4-5D6E-409C-BE32-E72D297353CC}">
              <c16:uniqueId val="{00000005-D6DE-4DC3-86E8-CD11FA7BD55C}"/>
            </c:ext>
          </c:extLst>
        </c:ser>
        <c:ser>
          <c:idx val="1"/>
          <c:order val="1"/>
          <c:tx>
            <c:strRef>
              <c:f>'Projection RK P&amp;L'!$B$30</c:f>
              <c:strCache>
                <c:ptCount val="1"/>
                <c:pt idx="0">
                  <c:v>EBIT Margin %</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solidFill>
                <a:prstDash val="sysDot"/>
              </a:ln>
              <a:effectLst/>
            </c:spPr>
            <c:trendlineType val="linear"/>
            <c:dispRSqr val="0"/>
            <c:dispEq val="0"/>
          </c:trendline>
          <c:cat>
            <c:numRef>
              <c:f>'Projection RK P&amp;L'!$M$6:$R$6</c:f>
              <c:numCache>
                <c:formatCode>"FY"\ 0\ "E"</c:formatCode>
                <c:ptCount val="6"/>
                <c:pt idx="0">
                  <c:v>2025</c:v>
                </c:pt>
                <c:pt idx="1">
                  <c:v>2026</c:v>
                </c:pt>
                <c:pt idx="2">
                  <c:v>2027</c:v>
                </c:pt>
                <c:pt idx="3">
                  <c:v>2028</c:v>
                </c:pt>
                <c:pt idx="4">
                  <c:v>2029</c:v>
                </c:pt>
                <c:pt idx="5">
                  <c:v>2030</c:v>
                </c:pt>
              </c:numCache>
            </c:numRef>
          </c:cat>
          <c:val>
            <c:numRef>
              <c:f>'Projection RK P&amp;L'!$M$30:$R$30</c:f>
              <c:numCache>
                <c:formatCode>0.00%</c:formatCode>
                <c:ptCount val="6"/>
                <c:pt idx="0">
                  <c:v>4.1654038905879931E-2</c:v>
                </c:pt>
                <c:pt idx="1">
                  <c:v>3.7707260857171632E-2</c:v>
                </c:pt>
                <c:pt idx="2">
                  <c:v>3.645685554126607E-2</c:v>
                </c:pt>
                <c:pt idx="3">
                  <c:v>3.5286666380464654E-2</c:v>
                </c:pt>
                <c:pt idx="4">
                  <c:v>3.4124720276361903E-2</c:v>
                </c:pt>
                <c:pt idx="5">
                  <c:v>3.2970617979185421E-2</c:v>
                </c:pt>
              </c:numCache>
            </c:numRef>
          </c:val>
          <c:extLst>
            <c:ext xmlns:c16="http://schemas.microsoft.com/office/drawing/2014/chart" uri="{C3380CC4-5D6E-409C-BE32-E72D297353CC}">
              <c16:uniqueId val="{00000006-723E-4E82-B7DF-90F7F8511F6E}"/>
            </c:ext>
          </c:extLst>
        </c:ser>
        <c:dLbls>
          <c:dLblPos val="outEnd"/>
          <c:showLegendKey val="0"/>
          <c:showVal val="1"/>
          <c:showCatName val="0"/>
          <c:showSerName val="0"/>
          <c:showPercent val="0"/>
          <c:showBubbleSize val="0"/>
        </c:dLbls>
        <c:gapWidth val="219"/>
        <c:axId val="356424352"/>
        <c:axId val="356424744"/>
      </c:barChart>
      <c:catAx>
        <c:axId val="3564243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Financial</a:t>
                </a:r>
                <a:r>
                  <a:rPr lang="en-US" b="1" baseline="0">
                    <a:solidFill>
                      <a:sysClr val="windowText" lastClr="000000"/>
                    </a:solidFill>
                  </a:rPr>
                  <a:t> Years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E&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24744"/>
        <c:crosses val="autoZero"/>
        <c:auto val="1"/>
        <c:lblAlgn val="ctr"/>
        <c:lblOffset val="100"/>
        <c:noMultiLvlLbl val="0"/>
      </c:catAx>
      <c:valAx>
        <c:axId val="356424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24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bg1"/>
                </a:solidFill>
              </a:rPr>
              <a:t>Revenue Growth % (Y.O.Y.)</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'Projection RK P&amp;L'!$B$6</c:f>
              <c:strCache>
                <c:ptCount val="1"/>
                <c:pt idx="0">
                  <c:v>Particular (In Crores)</c:v>
                </c:pt>
              </c:strCache>
            </c:strRef>
          </c:tx>
          <c:spPr>
            <a:solidFill>
              <a:schemeClr val="accent1"/>
            </a:solidFill>
            <a:ln>
              <a:noFill/>
            </a:ln>
            <a:effectLst/>
          </c:spPr>
          <c:invertIfNegative val="0"/>
          <c:dLbls>
            <c:dLbl>
              <c:idx val="0"/>
              <c:layout>
                <c:manualLayout>
                  <c:x val="1.6666666666666642E-2"/>
                  <c:y val="-4.243778136006664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96-4DF3-B8BE-9F1DC4B8CC1C}"/>
                </c:ext>
              </c:extLst>
            </c:dLbl>
            <c:dLbl>
              <c:idx val="1"/>
              <c:layout>
                <c:manualLayout>
                  <c:x val="2.7777777777777779E-3"/>
                  <c:y val="-6.0184820647419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96-4DF3-B8BE-9F1DC4B8CC1C}"/>
                </c:ext>
              </c:extLst>
            </c:dLbl>
            <c:dLbl>
              <c:idx val="2"/>
              <c:layout>
                <c:manualLayout>
                  <c:x val="0"/>
                  <c:y val="-3.24070428696412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96-4DF3-B8BE-9F1DC4B8CC1C}"/>
                </c:ext>
              </c:extLst>
            </c:dLbl>
            <c:dLbl>
              <c:idx val="4"/>
              <c:layout>
                <c:manualLayout>
                  <c:x val="-5.5555555555555558E-3"/>
                  <c:y val="-3.7035943423738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96-4DF3-B8BE-9F1DC4B8CC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cat>
            <c:numRef>
              <c:f>'Projection RK P&amp;L'!$M$6:$R$6</c:f>
              <c:numCache>
                <c:formatCode>"FY"\ 0\ "E"</c:formatCode>
                <c:ptCount val="6"/>
                <c:pt idx="0">
                  <c:v>2025</c:v>
                </c:pt>
                <c:pt idx="1">
                  <c:v>2026</c:v>
                </c:pt>
                <c:pt idx="2">
                  <c:v>2027</c:v>
                </c:pt>
                <c:pt idx="3">
                  <c:v>2028</c:v>
                </c:pt>
                <c:pt idx="4">
                  <c:v>2029</c:v>
                </c:pt>
                <c:pt idx="5">
                  <c:v>2030</c:v>
                </c:pt>
              </c:numCache>
            </c:numRef>
          </c:cat>
          <c:val>
            <c:numRef>
              <c:f>'Projection RK P&amp;L'!$C$6:$G$6</c:f>
            </c:numRef>
          </c:val>
          <c:extLst>
            <c:ext xmlns:c16="http://schemas.microsoft.com/office/drawing/2014/chart" uri="{C3380CC4-5D6E-409C-BE32-E72D297353CC}">
              <c16:uniqueId val="{00000005-D6DE-4DC3-86E8-CD11FA7BD55C}"/>
            </c:ext>
          </c:extLst>
        </c:ser>
        <c:ser>
          <c:idx val="2"/>
          <c:order val="1"/>
          <c:tx>
            <c:strRef>
              <c:f>'Projection RK P&amp;L'!$B$32</c:f>
              <c:strCache>
                <c:ptCount val="1"/>
                <c:pt idx="0">
                  <c:v>Revenue Growth % (Y.O.Y.)</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solidFill>
                <a:prstDash val="sysDot"/>
              </a:ln>
              <a:effectLst/>
            </c:spPr>
            <c:trendlineType val="linear"/>
            <c:dispRSqr val="0"/>
            <c:dispEq val="0"/>
          </c:trendline>
          <c:cat>
            <c:numRef>
              <c:f>'Projection RK P&amp;L'!$M$6:$R$6</c:f>
              <c:numCache>
                <c:formatCode>"FY"\ 0\ "E"</c:formatCode>
                <c:ptCount val="6"/>
                <c:pt idx="0">
                  <c:v>2025</c:v>
                </c:pt>
                <c:pt idx="1">
                  <c:v>2026</c:v>
                </c:pt>
                <c:pt idx="2">
                  <c:v>2027</c:v>
                </c:pt>
                <c:pt idx="3">
                  <c:v>2028</c:v>
                </c:pt>
                <c:pt idx="4">
                  <c:v>2029</c:v>
                </c:pt>
                <c:pt idx="5">
                  <c:v>2030</c:v>
                </c:pt>
              </c:numCache>
            </c:numRef>
          </c:cat>
          <c:val>
            <c:numRef>
              <c:f>'Projection RK P&amp;L'!$M$32:$R$32</c:f>
              <c:numCache>
                <c:formatCode>0.00%</c:formatCode>
                <c:ptCount val="6"/>
                <c:pt idx="0">
                  <c:v>5.0899999999999945E-2</c:v>
                </c:pt>
                <c:pt idx="1">
                  <c:v>5.0900000000000167E-2</c:v>
                </c:pt>
                <c:pt idx="2">
                  <c:v>5.0899999999999945E-2</c:v>
                </c:pt>
                <c:pt idx="3">
                  <c:v>5.0899999999999945E-2</c:v>
                </c:pt>
                <c:pt idx="4">
                  <c:v>5.0899999999999723E-2</c:v>
                </c:pt>
                <c:pt idx="5">
                  <c:v>5.0899999999999945E-2</c:v>
                </c:pt>
              </c:numCache>
            </c:numRef>
          </c:val>
          <c:extLst>
            <c:ext xmlns:c16="http://schemas.microsoft.com/office/drawing/2014/chart" uri="{C3380CC4-5D6E-409C-BE32-E72D297353CC}">
              <c16:uniqueId val="{00000006-5C96-4DF3-B8BE-9F1DC4B8CC1C}"/>
            </c:ext>
          </c:extLst>
        </c:ser>
        <c:dLbls>
          <c:dLblPos val="outEnd"/>
          <c:showLegendKey val="0"/>
          <c:showVal val="1"/>
          <c:showCatName val="0"/>
          <c:showSerName val="0"/>
          <c:showPercent val="0"/>
          <c:showBubbleSize val="0"/>
        </c:dLbls>
        <c:gapWidth val="219"/>
        <c:axId val="356418472"/>
        <c:axId val="356416120"/>
      </c:barChart>
      <c:catAx>
        <c:axId val="356418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Financial</a:t>
                </a:r>
                <a:r>
                  <a:rPr lang="en-US" b="1" baseline="0">
                    <a:solidFill>
                      <a:sysClr val="windowText" lastClr="000000"/>
                    </a:solidFill>
                  </a:rPr>
                  <a:t> Years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E&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16120"/>
        <c:crosses val="autoZero"/>
        <c:auto val="1"/>
        <c:lblAlgn val="ctr"/>
        <c:lblOffset val="100"/>
        <c:noMultiLvlLbl val="0"/>
      </c:catAx>
      <c:valAx>
        <c:axId val="356416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18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bg1"/>
                </a:solidFill>
              </a:rPr>
              <a:t>EBITDA Margin %</a:t>
            </a:r>
          </a:p>
        </c:rich>
      </c:tx>
      <c:layout>
        <c:manualLayout>
          <c:xMode val="edge"/>
          <c:yMode val="edge"/>
          <c:x val="0.37983038989211526"/>
          <c:y val="2.4509803921568627E-2"/>
        </c:manualLayout>
      </c:layout>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'Projection RK P&amp;L'!$B$6</c:f>
              <c:strCache>
                <c:ptCount val="1"/>
                <c:pt idx="0">
                  <c:v>Particular (In Crores)</c:v>
                </c:pt>
              </c:strCache>
            </c:strRef>
          </c:tx>
          <c:spPr>
            <a:solidFill>
              <a:schemeClr val="accent1"/>
            </a:solidFill>
            <a:ln>
              <a:noFill/>
            </a:ln>
            <a:effectLst/>
          </c:spPr>
          <c:invertIfNegative val="0"/>
          <c:dLbls>
            <c:dLbl>
              <c:idx val="0"/>
              <c:layout>
                <c:manualLayout>
                  <c:x val="1.6666666666666642E-2"/>
                  <c:y val="-4.243778136006664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2-414E-B5C5-6B845F5FBF52}"/>
                </c:ext>
              </c:extLst>
            </c:dLbl>
            <c:dLbl>
              <c:idx val="1"/>
              <c:layout>
                <c:manualLayout>
                  <c:x val="2.7777777777777779E-3"/>
                  <c:y val="-6.0184820647419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2-414E-B5C5-6B845F5FBF52}"/>
                </c:ext>
              </c:extLst>
            </c:dLbl>
            <c:dLbl>
              <c:idx val="2"/>
              <c:layout>
                <c:manualLayout>
                  <c:x val="0"/>
                  <c:y val="-3.24070428696412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72-414E-B5C5-6B845F5FBF52}"/>
                </c:ext>
              </c:extLst>
            </c:dLbl>
            <c:dLbl>
              <c:idx val="4"/>
              <c:layout>
                <c:manualLayout>
                  <c:x val="-5.5555555555555558E-3"/>
                  <c:y val="-3.7035943423738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72-414E-B5C5-6B845F5FBF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cat>
            <c:numRef>
              <c:f>'Projection RK P&amp;L'!$M$6:$R$6</c:f>
              <c:numCache>
                <c:formatCode>"FY"\ 0\ "E"</c:formatCode>
                <c:ptCount val="6"/>
                <c:pt idx="0">
                  <c:v>2025</c:v>
                </c:pt>
                <c:pt idx="1">
                  <c:v>2026</c:v>
                </c:pt>
                <c:pt idx="2">
                  <c:v>2027</c:v>
                </c:pt>
                <c:pt idx="3">
                  <c:v>2028</c:v>
                </c:pt>
                <c:pt idx="4">
                  <c:v>2029</c:v>
                </c:pt>
                <c:pt idx="5">
                  <c:v>2030</c:v>
                </c:pt>
              </c:numCache>
            </c:numRef>
          </c:cat>
          <c:val>
            <c:numRef>
              <c:f>'Projection RK P&amp;L'!$C$6:$G$6</c:f>
            </c:numRef>
          </c:val>
          <c:extLst>
            <c:ext xmlns:c16="http://schemas.microsoft.com/office/drawing/2014/chart" uri="{C3380CC4-5D6E-409C-BE32-E72D297353CC}">
              <c16:uniqueId val="{00000005-CF72-414E-B5C5-6B845F5FBF52}"/>
            </c:ext>
          </c:extLst>
        </c:ser>
        <c:ser>
          <c:idx val="1"/>
          <c:order val="1"/>
          <c:tx>
            <c:strRef>
              <c:f>'Projection RK P&amp;L'!$B$29</c:f>
              <c:strCache>
                <c:ptCount val="1"/>
                <c:pt idx="0">
                  <c:v>EBITDA Margin %</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solidFill>
                <a:prstDash val="sysDot"/>
              </a:ln>
              <a:effectLst/>
            </c:spPr>
            <c:trendlineType val="linear"/>
            <c:dispRSqr val="0"/>
            <c:dispEq val="0"/>
          </c:trendline>
          <c:cat>
            <c:numRef>
              <c:f>'Projection RK P&amp;L'!$M$6:$R$6</c:f>
              <c:numCache>
                <c:formatCode>"FY"\ 0\ "E"</c:formatCode>
                <c:ptCount val="6"/>
                <c:pt idx="0">
                  <c:v>2025</c:v>
                </c:pt>
                <c:pt idx="1">
                  <c:v>2026</c:v>
                </c:pt>
                <c:pt idx="2">
                  <c:v>2027</c:v>
                </c:pt>
                <c:pt idx="3">
                  <c:v>2028</c:v>
                </c:pt>
                <c:pt idx="4">
                  <c:v>2029</c:v>
                </c:pt>
                <c:pt idx="5">
                  <c:v>2030</c:v>
                </c:pt>
              </c:numCache>
            </c:numRef>
          </c:cat>
          <c:val>
            <c:numRef>
              <c:f>'Projection RK P&amp;L'!$M$29:$R$29</c:f>
              <c:numCache>
                <c:formatCode>0.00%</c:formatCode>
                <c:ptCount val="6"/>
                <c:pt idx="0">
                  <c:v>0.10912623223499943</c:v>
                </c:pt>
                <c:pt idx="1">
                  <c:v>0.10453319477872636</c:v>
                </c:pt>
                <c:pt idx="2">
                  <c:v>0.10011418492405592</c:v>
                </c:pt>
                <c:pt idx="3">
                  <c:v>9.5860773700656723E-2</c:v>
                </c:pt>
                <c:pt idx="4">
                  <c:v>9.1764940392635649E-2</c:v>
                </c:pt>
                <c:pt idx="5">
                  <c:v>8.7819052764867928E-2</c:v>
                </c:pt>
              </c:numCache>
            </c:numRef>
          </c:val>
          <c:extLst>
            <c:ext xmlns:c16="http://schemas.microsoft.com/office/drawing/2014/chart" uri="{C3380CC4-5D6E-409C-BE32-E72D297353CC}">
              <c16:uniqueId val="{00000007-CF72-414E-B5C5-6B845F5FBF52}"/>
            </c:ext>
          </c:extLst>
        </c:ser>
        <c:dLbls>
          <c:dLblPos val="outEnd"/>
          <c:showLegendKey val="0"/>
          <c:showVal val="1"/>
          <c:showCatName val="0"/>
          <c:showSerName val="0"/>
          <c:showPercent val="0"/>
          <c:showBubbleSize val="0"/>
        </c:dLbls>
        <c:gapWidth val="219"/>
        <c:axId val="356424352"/>
        <c:axId val="356424744"/>
      </c:barChart>
      <c:catAx>
        <c:axId val="3564243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Financial</a:t>
                </a:r>
                <a:r>
                  <a:rPr lang="en-US" b="1" baseline="0">
                    <a:solidFill>
                      <a:sysClr val="windowText" lastClr="000000"/>
                    </a:solidFill>
                  </a:rPr>
                  <a:t> Years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E&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24744"/>
        <c:crosses val="autoZero"/>
        <c:auto val="1"/>
        <c:lblAlgn val="ctr"/>
        <c:lblOffset val="100"/>
        <c:noMultiLvlLbl val="0"/>
      </c:catAx>
      <c:valAx>
        <c:axId val="356424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24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bg1"/>
                </a:solidFill>
              </a:rPr>
              <a:t>Net</a:t>
            </a:r>
            <a:r>
              <a:rPr lang="en-US" b="1" baseline="0">
                <a:solidFill>
                  <a:schemeClr val="bg1"/>
                </a:solidFill>
              </a:rPr>
              <a:t> Profit</a:t>
            </a:r>
            <a:r>
              <a:rPr lang="en-US" b="1">
                <a:solidFill>
                  <a:schemeClr val="bg1"/>
                </a:solidFill>
              </a:rPr>
              <a:t> Margin %</a:t>
            </a:r>
          </a:p>
        </c:rich>
      </c:tx>
      <c:layout>
        <c:manualLayout>
          <c:xMode val="edge"/>
          <c:yMode val="edge"/>
          <c:x val="0.37983038989211526"/>
          <c:y val="2.4509803921568627E-2"/>
        </c:manualLayout>
      </c:layout>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'Projection RK P&amp;L'!$B$6</c:f>
              <c:strCache>
                <c:ptCount val="1"/>
                <c:pt idx="0">
                  <c:v>Particular (In Crores)</c:v>
                </c:pt>
              </c:strCache>
            </c:strRef>
          </c:tx>
          <c:spPr>
            <a:solidFill>
              <a:schemeClr val="accent1"/>
            </a:solidFill>
            <a:ln>
              <a:noFill/>
            </a:ln>
            <a:effectLst/>
          </c:spPr>
          <c:invertIfNegative val="0"/>
          <c:dLbls>
            <c:dLbl>
              <c:idx val="0"/>
              <c:layout>
                <c:manualLayout>
                  <c:x val="1.6666666666666642E-2"/>
                  <c:y val="-4.243778136006664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74-485B-80B3-0F8CB2C331EA}"/>
                </c:ext>
              </c:extLst>
            </c:dLbl>
            <c:dLbl>
              <c:idx val="1"/>
              <c:layout>
                <c:manualLayout>
                  <c:x val="2.7777777777777779E-3"/>
                  <c:y val="-6.0184820647419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74-485B-80B3-0F8CB2C331EA}"/>
                </c:ext>
              </c:extLst>
            </c:dLbl>
            <c:dLbl>
              <c:idx val="2"/>
              <c:layout>
                <c:manualLayout>
                  <c:x val="0"/>
                  <c:y val="-3.24070428696412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74-485B-80B3-0F8CB2C331EA}"/>
                </c:ext>
              </c:extLst>
            </c:dLbl>
            <c:dLbl>
              <c:idx val="4"/>
              <c:layout>
                <c:manualLayout>
                  <c:x val="-5.5555555555555558E-3"/>
                  <c:y val="-3.7035943423738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74-485B-80B3-0F8CB2C331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cat>
            <c:numRef>
              <c:f>'Projection RK P&amp;L'!$M$6:$R$6</c:f>
              <c:numCache>
                <c:formatCode>"FY"\ 0\ "E"</c:formatCode>
                <c:ptCount val="6"/>
                <c:pt idx="0">
                  <c:v>2025</c:v>
                </c:pt>
                <c:pt idx="1">
                  <c:v>2026</c:v>
                </c:pt>
                <c:pt idx="2">
                  <c:v>2027</c:v>
                </c:pt>
                <c:pt idx="3">
                  <c:v>2028</c:v>
                </c:pt>
                <c:pt idx="4">
                  <c:v>2029</c:v>
                </c:pt>
                <c:pt idx="5">
                  <c:v>2030</c:v>
                </c:pt>
              </c:numCache>
            </c:numRef>
          </c:cat>
          <c:val>
            <c:numRef>
              <c:f>'Projection RK P&amp;L'!$C$6:$G$6</c:f>
            </c:numRef>
          </c:val>
          <c:extLst>
            <c:ext xmlns:c16="http://schemas.microsoft.com/office/drawing/2014/chart" uri="{C3380CC4-5D6E-409C-BE32-E72D297353CC}">
              <c16:uniqueId val="{00000005-EE74-485B-80B3-0F8CB2C331EA}"/>
            </c:ext>
          </c:extLst>
        </c:ser>
        <c:ser>
          <c:idx val="1"/>
          <c:order val="1"/>
          <c:tx>
            <c:strRef>
              <c:f>'Projection RK P&amp;L'!$B$31</c:f>
              <c:strCache>
                <c:ptCount val="1"/>
                <c:pt idx="0">
                  <c:v>Net Profit Margin %</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solidFill>
                <a:prstDash val="sysDot"/>
              </a:ln>
              <a:effectLst/>
            </c:spPr>
            <c:trendlineType val="linear"/>
            <c:dispRSqr val="0"/>
            <c:dispEq val="0"/>
          </c:trendline>
          <c:cat>
            <c:numRef>
              <c:f>'Projection RK P&amp;L'!$M$6:$R$6</c:f>
              <c:numCache>
                <c:formatCode>"FY"\ 0\ "E"</c:formatCode>
                <c:ptCount val="6"/>
                <c:pt idx="0">
                  <c:v>2025</c:v>
                </c:pt>
                <c:pt idx="1">
                  <c:v>2026</c:v>
                </c:pt>
                <c:pt idx="2">
                  <c:v>2027</c:v>
                </c:pt>
                <c:pt idx="3">
                  <c:v>2028</c:v>
                </c:pt>
                <c:pt idx="4">
                  <c:v>2029</c:v>
                </c:pt>
                <c:pt idx="5">
                  <c:v>2030</c:v>
                </c:pt>
              </c:numCache>
            </c:numRef>
          </c:cat>
          <c:val>
            <c:numRef>
              <c:f>'Projection RK P&amp;L'!$M$31:$R$31</c:f>
              <c:numCache>
                <c:formatCode>0.00%</c:formatCode>
                <c:ptCount val="6"/>
                <c:pt idx="0">
                  <c:v>1.7734454369185915E-2</c:v>
                </c:pt>
                <c:pt idx="1">
                  <c:v>1.730713807194945E-2</c:v>
                </c:pt>
                <c:pt idx="2">
                  <c:v>1.6855553814009449E-2</c:v>
                </c:pt>
                <c:pt idx="3">
                  <c:v>1.6438789809560567E-2</c:v>
                </c:pt>
                <c:pt idx="4">
                  <c:v>1.6009806446506448E-2</c:v>
                </c:pt>
                <c:pt idx="5">
                  <c:v>1.5569202249845175E-2</c:v>
                </c:pt>
              </c:numCache>
            </c:numRef>
          </c:val>
          <c:extLst>
            <c:ext xmlns:c16="http://schemas.microsoft.com/office/drawing/2014/chart" uri="{C3380CC4-5D6E-409C-BE32-E72D297353CC}">
              <c16:uniqueId val="{00000007-EE74-485B-80B3-0F8CB2C331EA}"/>
            </c:ext>
          </c:extLst>
        </c:ser>
        <c:dLbls>
          <c:dLblPos val="outEnd"/>
          <c:showLegendKey val="0"/>
          <c:showVal val="1"/>
          <c:showCatName val="0"/>
          <c:showSerName val="0"/>
          <c:showPercent val="0"/>
          <c:showBubbleSize val="0"/>
        </c:dLbls>
        <c:gapWidth val="219"/>
        <c:axId val="356424352"/>
        <c:axId val="356424744"/>
      </c:barChart>
      <c:catAx>
        <c:axId val="3564243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Financial</a:t>
                </a:r>
                <a:r>
                  <a:rPr lang="en-US" b="1" baseline="0">
                    <a:solidFill>
                      <a:sysClr val="windowText" lastClr="000000"/>
                    </a:solidFill>
                  </a:rPr>
                  <a:t> Years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E&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24744"/>
        <c:crosses val="autoZero"/>
        <c:auto val="1"/>
        <c:lblAlgn val="ctr"/>
        <c:lblOffset val="100"/>
        <c:noMultiLvlLbl val="0"/>
      </c:catAx>
      <c:valAx>
        <c:axId val="356424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24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latin typeface="+mn-lt"/>
              </a:rPr>
              <a:t>ANNUAL</a:t>
            </a:r>
            <a:r>
              <a:rPr lang="en-US" sz="1100" b="1" baseline="0">
                <a:solidFill>
                  <a:schemeClr val="bg1"/>
                </a:solidFill>
                <a:latin typeface="+mn-lt"/>
              </a:rPr>
              <a:t> </a:t>
            </a:r>
            <a:r>
              <a:rPr lang="en-US" sz="1100" b="1">
                <a:solidFill>
                  <a:schemeClr val="bg1"/>
                </a:solidFill>
                <a:latin typeface="+mn-lt"/>
              </a:rPr>
              <a:t>UREA</a:t>
            </a:r>
            <a:r>
              <a:rPr lang="en-US" sz="1100" b="1" baseline="0">
                <a:solidFill>
                  <a:schemeClr val="bg1"/>
                </a:solidFill>
                <a:latin typeface="+mn-lt"/>
              </a:rPr>
              <a:t> PRODUCTION</a:t>
            </a:r>
            <a:endParaRPr lang="en-US" sz="1100" b="1">
              <a:solidFill>
                <a:schemeClr val="bg1"/>
              </a:solidFill>
              <a:latin typeface="+mn-lt"/>
            </a:endParaRPr>
          </a:p>
        </c:rich>
      </c:tx>
      <c:layout>
        <c:manualLayout>
          <c:xMode val="edge"/>
          <c:yMode val="edge"/>
          <c:x val="0.38383340103320418"/>
          <c:y val="3.7986704653371318E-2"/>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20626987336552718"/>
          <c:y val="0.11741057296612852"/>
          <c:w val="0.72713957630296211"/>
          <c:h val="0.55771860426278619"/>
        </c:manualLayout>
      </c:layout>
      <c:barChart>
        <c:barDir val="col"/>
        <c:grouping val="clustered"/>
        <c:varyColors val="0"/>
        <c:ser>
          <c:idx val="1"/>
          <c:order val="1"/>
          <c:tx>
            <c:strRef>
              <c:f>Sheet2!$B$7</c:f>
              <c:strCache>
                <c:ptCount val="1"/>
                <c:pt idx="0">
                  <c:v>Produstion, Million MT</c:v>
                </c:pt>
              </c:strCache>
            </c:strRef>
          </c:tx>
          <c:spPr>
            <a:solidFill>
              <a:srgbClr val="0070C0"/>
            </a:solidFill>
            <a:ln>
              <a:noFill/>
            </a:ln>
            <a:effectLst/>
          </c:spPr>
          <c:invertIfNegative val="0"/>
          <c:cat>
            <c:numRef>
              <c:f>Sheet2!$C$4:$V$4</c:f>
              <c:numCache>
                <c:formatCode>"FY"\ 0</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Sheet2!$C$7:$V$7</c:f>
              <c:numCache>
                <c:formatCode>General</c:formatCode>
                <c:ptCount val="20"/>
                <c:pt idx="0">
                  <c:v>1.1870000000000001</c:v>
                </c:pt>
                <c:pt idx="1">
                  <c:v>1.194</c:v>
                </c:pt>
                <c:pt idx="2">
                  <c:v>1.393</c:v>
                </c:pt>
                <c:pt idx="3">
                  <c:v>1.379</c:v>
                </c:pt>
                <c:pt idx="4">
                  <c:v>1.3240000000000001</c:v>
                </c:pt>
                <c:pt idx="5">
                  <c:v>1.3540000000000001</c:v>
                </c:pt>
                <c:pt idx="6">
                  <c:v>1.3779999999999999</c:v>
                </c:pt>
                <c:pt idx="7">
                  <c:v>1.482</c:v>
                </c:pt>
                <c:pt idx="8">
                  <c:v>1.655</c:v>
                </c:pt>
                <c:pt idx="9">
                  <c:v>1.5629999999999999</c:v>
                </c:pt>
                <c:pt idx="10">
                  <c:v>1.5660000000000001</c:v>
                </c:pt>
                <c:pt idx="11">
                  <c:v>1.4279999999999999</c:v>
                </c:pt>
                <c:pt idx="12">
                  <c:v>0.93200000000000005</c:v>
                </c:pt>
                <c:pt idx="13">
                  <c:v>1.3420000000000001</c:v>
                </c:pt>
                <c:pt idx="14">
                  <c:v>1.498</c:v>
                </c:pt>
                <c:pt idx="15">
                  <c:v>1.59</c:v>
                </c:pt>
                <c:pt idx="16">
                  <c:v>0.58499999999999996</c:v>
                </c:pt>
                <c:pt idx="17">
                  <c:v>0.69299999999999995</c:v>
                </c:pt>
                <c:pt idx="18">
                  <c:v>0.74299999999999999</c:v>
                </c:pt>
                <c:pt idx="19">
                  <c:v>0.91400000000000003</c:v>
                </c:pt>
              </c:numCache>
            </c:numRef>
          </c:val>
          <c:extLst>
            <c:ext xmlns:c16="http://schemas.microsoft.com/office/drawing/2014/chart" uri="{C3380CC4-5D6E-409C-BE32-E72D297353CC}">
              <c16:uniqueId val="{00000000-82B4-490D-83A7-9CB302CCE253}"/>
            </c:ext>
          </c:extLst>
        </c:ser>
        <c:dLbls>
          <c:showLegendKey val="0"/>
          <c:showVal val="0"/>
          <c:showCatName val="0"/>
          <c:showSerName val="0"/>
          <c:showPercent val="0"/>
          <c:showBubbleSize val="0"/>
        </c:dLbls>
        <c:gapWidth val="219"/>
        <c:axId val="356432192"/>
        <c:axId val="356433368"/>
      </c:barChart>
      <c:lineChart>
        <c:grouping val="standard"/>
        <c:varyColors val="0"/>
        <c:ser>
          <c:idx val="0"/>
          <c:order val="0"/>
          <c:tx>
            <c:strRef>
              <c:f>Sheet2!$B$6</c:f>
              <c:strCache>
                <c:ptCount val="1"/>
                <c:pt idx="0">
                  <c:v>Capacity Utilization%</c:v>
                </c:pt>
              </c:strCache>
            </c:strRef>
          </c:tx>
          <c:spPr>
            <a:ln w="22225" cap="rnd">
              <a:solidFill>
                <a:schemeClr val="accent6">
                  <a:lumMod val="75000"/>
                </a:schemeClr>
              </a:solidFill>
              <a:prstDash val="solid"/>
              <a:round/>
            </a:ln>
            <a:effectLst/>
          </c:spPr>
          <c:marker>
            <c:symbol val="none"/>
          </c:marker>
          <c:dPt>
            <c:idx val="16"/>
            <c:marker>
              <c:symbol val="none"/>
            </c:marker>
            <c:bubble3D val="0"/>
            <c:extLst>
              <c:ext xmlns:c16="http://schemas.microsoft.com/office/drawing/2014/chart" uri="{C3380CC4-5D6E-409C-BE32-E72D297353CC}">
                <c16:uniqueId val="{00000001-82B4-490D-83A7-9CB302CCE253}"/>
              </c:ext>
            </c:extLst>
          </c:dPt>
          <c:dPt>
            <c:idx val="19"/>
            <c:marker>
              <c:symbol val="none"/>
            </c:marker>
            <c:bubble3D val="0"/>
            <c:extLst>
              <c:ext xmlns:c16="http://schemas.microsoft.com/office/drawing/2014/chart" uri="{C3380CC4-5D6E-409C-BE32-E72D297353CC}">
                <c16:uniqueId val="{00000002-82B4-490D-83A7-9CB302CCE253}"/>
              </c:ext>
            </c:extLst>
          </c:dPt>
          <c:cat>
            <c:numRef>
              <c:f>Sheet2!$C$4:$V$4</c:f>
              <c:numCache>
                <c:formatCode>"FY"\ 0</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Sheet2!$C$6:$V$6</c:f>
              <c:numCache>
                <c:formatCode>General</c:formatCode>
                <c:ptCount val="20"/>
                <c:pt idx="0">
                  <c:v>99.4</c:v>
                </c:pt>
                <c:pt idx="1">
                  <c:v>99.9</c:v>
                </c:pt>
                <c:pt idx="2">
                  <c:v>116.6</c:v>
                </c:pt>
                <c:pt idx="3">
                  <c:v>115.4</c:v>
                </c:pt>
                <c:pt idx="4">
                  <c:v>110.8</c:v>
                </c:pt>
                <c:pt idx="5">
                  <c:v>113.3</c:v>
                </c:pt>
                <c:pt idx="6">
                  <c:v>115.3</c:v>
                </c:pt>
                <c:pt idx="7">
                  <c:v>124.1</c:v>
                </c:pt>
                <c:pt idx="8">
                  <c:v>138.5</c:v>
                </c:pt>
                <c:pt idx="9">
                  <c:v>130.80000000000001</c:v>
                </c:pt>
                <c:pt idx="10">
                  <c:v>131.1</c:v>
                </c:pt>
                <c:pt idx="11">
                  <c:v>119.5</c:v>
                </c:pt>
                <c:pt idx="12">
                  <c:v>78</c:v>
                </c:pt>
                <c:pt idx="13">
                  <c:v>112.3</c:v>
                </c:pt>
                <c:pt idx="14">
                  <c:v>125.4</c:v>
                </c:pt>
                <c:pt idx="15">
                  <c:v>133.1</c:v>
                </c:pt>
                <c:pt idx="16">
                  <c:v>49</c:v>
                </c:pt>
                <c:pt idx="17">
                  <c:v>58</c:v>
                </c:pt>
                <c:pt idx="18">
                  <c:v>62.2</c:v>
                </c:pt>
                <c:pt idx="19">
                  <c:v>76.5</c:v>
                </c:pt>
              </c:numCache>
            </c:numRef>
          </c:val>
          <c:smooth val="0"/>
          <c:extLst>
            <c:ext xmlns:c16="http://schemas.microsoft.com/office/drawing/2014/chart" uri="{C3380CC4-5D6E-409C-BE32-E72D297353CC}">
              <c16:uniqueId val="{00000003-82B4-490D-83A7-9CB302CCE253}"/>
            </c:ext>
          </c:extLst>
        </c:ser>
        <c:dLbls>
          <c:showLegendKey val="0"/>
          <c:showVal val="0"/>
          <c:showCatName val="0"/>
          <c:showSerName val="0"/>
          <c:showPercent val="0"/>
          <c:showBubbleSize val="0"/>
        </c:dLbls>
        <c:marker val="1"/>
        <c:smooth val="0"/>
        <c:axId val="356432584"/>
        <c:axId val="356432976"/>
      </c:lineChart>
      <c:valAx>
        <c:axId val="356433368"/>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Capacity</a:t>
                </a:r>
                <a:r>
                  <a:rPr lang="en-US" b="1" baseline="0"/>
                  <a:t> Utilization</a:t>
                </a:r>
                <a:endParaRPr lang="en-US" b="1"/>
              </a:p>
            </c:rich>
          </c:tx>
          <c:layout>
            <c:manualLayout>
              <c:xMode val="edge"/>
              <c:yMode val="edge"/>
              <c:x val="0.13503091192150829"/>
              <c:y val="0.3292073889624196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1" i="1" u="none" strike="noStrike" kern="1200" baseline="0">
                <a:solidFill>
                  <a:schemeClr val="tx1">
                    <a:lumMod val="65000"/>
                    <a:lumOff val="35000"/>
                  </a:schemeClr>
                </a:solidFill>
                <a:latin typeface="+mn-lt"/>
                <a:ea typeface="+mn-ea"/>
                <a:cs typeface="+mn-cs"/>
              </a:defRPr>
            </a:pPr>
            <a:endParaRPr lang="en-US"/>
          </a:p>
        </c:txPr>
        <c:crossAx val="356432192"/>
        <c:crosses val="autoZero"/>
        <c:crossBetween val="between"/>
      </c:valAx>
      <c:catAx>
        <c:axId val="356432192"/>
        <c:scaling>
          <c:orientation val="minMax"/>
        </c:scaling>
        <c:delete val="1"/>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Financial</a:t>
                </a:r>
                <a:r>
                  <a:rPr lang="en-US" b="1" baseline="0"/>
                  <a:t> Years</a:t>
                </a:r>
                <a:endParaRPr lang="en-US" b="1"/>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quot;FY&quot;\ 0" sourceLinked="1"/>
        <c:majorTickMark val="out"/>
        <c:minorTickMark val="none"/>
        <c:tickLblPos val="nextTo"/>
        <c:crossAx val="356433368"/>
        <c:crosses val="autoZero"/>
        <c:auto val="1"/>
        <c:lblAlgn val="ctr"/>
        <c:lblOffset val="100"/>
        <c:noMultiLvlLbl val="0"/>
      </c:catAx>
      <c:valAx>
        <c:axId val="356432976"/>
        <c:scaling>
          <c:orientation val="minMax"/>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Production</a:t>
                </a:r>
              </a:p>
            </c:rich>
          </c:tx>
          <c:layout>
            <c:manualLayout>
              <c:xMode val="edge"/>
              <c:yMode val="edge"/>
              <c:x val="0.97066004770237058"/>
              <c:y val="0.3142422724224999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1" i="1" u="none" strike="noStrike" kern="1200" baseline="0">
                <a:solidFill>
                  <a:schemeClr val="tx1">
                    <a:lumMod val="65000"/>
                    <a:lumOff val="35000"/>
                  </a:schemeClr>
                </a:solidFill>
                <a:latin typeface="+mn-lt"/>
                <a:ea typeface="+mn-ea"/>
                <a:cs typeface="+mn-cs"/>
              </a:defRPr>
            </a:pPr>
            <a:endParaRPr lang="en-US"/>
          </a:p>
        </c:txPr>
        <c:crossAx val="356432584"/>
        <c:crosses val="max"/>
        <c:crossBetween val="between"/>
      </c:valAx>
      <c:catAx>
        <c:axId val="356432584"/>
        <c:scaling>
          <c:orientation val="minMax"/>
        </c:scaling>
        <c:delete val="1"/>
        <c:axPos val="b"/>
        <c:numFmt formatCode="&quot;FY&quot;\ 0" sourceLinked="1"/>
        <c:majorTickMark val="out"/>
        <c:minorTickMark val="none"/>
        <c:tickLblPos val="nextTo"/>
        <c:crossAx val="356432976"/>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5</xdr:col>
      <xdr:colOff>190500</xdr:colOff>
      <xdr:row>39</xdr:row>
      <xdr:rowOff>156210</xdr:rowOff>
    </xdr:from>
    <xdr:to>
      <xdr:col>12</xdr:col>
      <xdr:colOff>175260</xdr:colOff>
      <xdr:row>55</xdr:row>
      <xdr:rowOff>129540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449580</xdr:colOff>
      <xdr:row>60</xdr:row>
      <xdr:rowOff>7620</xdr:rowOff>
    </xdr:from>
    <xdr:to>
      <xdr:col>12</xdr:col>
      <xdr:colOff>403860</xdr:colOff>
      <xdr:row>75</xdr:row>
      <xdr:rowOff>144780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228600</xdr:colOff>
      <xdr:row>40</xdr:row>
      <xdr:rowOff>15240</xdr:rowOff>
    </xdr:from>
    <xdr:to>
      <xdr:col>4</xdr:col>
      <xdr:colOff>601980</xdr:colOff>
      <xdr:row>55</xdr:row>
      <xdr:rowOff>167640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510540</xdr:colOff>
      <xdr:row>59</xdr:row>
      <xdr:rowOff>144780</xdr:rowOff>
    </xdr:from>
    <xdr:to>
      <xdr:col>4</xdr:col>
      <xdr:colOff>838200</xdr:colOff>
      <xdr:row>75</xdr:row>
      <xdr:rowOff>114300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19</xdr:col>
      <xdr:colOff>548640</xdr:colOff>
      <xdr:row>2</xdr:row>
      <xdr:rowOff>129540</xdr:rowOff>
    </xdr:from>
    <xdr:to>
      <xdr:col>27</xdr:col>
      <xdr:colOff>502920</xdr:colOff>
      <xdr:row>19</xdr:row>
      <xdr:rowOff>137160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25</xdr:row>
      <xdr:rowOff>0</xdr:rowOff>
    </xdr:from>
    <xdr:to>
      <xdr:col>27</xdr:col>
      <xdr:colOff>563880</xdr:colOff>
      <xdr:row>41</xdr:row>
      <xdr:rowOff>152400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52</xdr:row>
      <xdr:rowOff>0</xdr:rowOff>
    </xdr:from>
    <xdr:to>
      <xdr:col>10</xdr:col>
      <xdr:colOff>411480</xdr:colOff>
      <xdr:row>68</xdr:row>
      <xdr:rowOff>45720</xdr:rowOff>
    </xdr:to>
    <xdr:graphicFrame macro="">
      <xdr:nvGraphicFramePr>
        <xdr:cNvPr id="5" name="Chart 4">
          <a:extLst>
            <a:ext uri="{FF2B5EF4-FFF2-40B4-BE49-F238E27FC236}">
              <a16:creationId xmlns:a16="http://schemas.microsoft.com/office/drawing/2014/main" id="{4FEF26A7-79AB-47F8-9D5A-7EEA87B78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51</xdr:row>
      <xdr:rowOff>0</xdr:rowOff>
    </xdr:from>
    <xdr:to>
      <xdr:col>21</xdr:col>
      <xdr:colOff>15240</xdr:colOff>
      <xdr:row>66</xdr:row>
      <xdr:rowOff>83820</xdr:rowOff>
    </xdr:to>
    <xdr:graphicFrame macro="">
      <xdr:nvGraphicFramePr>
        <xdr:cNvPr id="6" name="Chart 5">
          <a:extLst>
            <a:ext uri="{FF2B5EF4-FFF2-40B4-BE49-F238E27FC236}">
              <a16:creationId xmlns:a16="http://schemas.microsoft.com/office/drawing/2014/main" id="{2D0FDBB4-F8AB-458B-8CE8-746ACF7C5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26</xdr:col>
      <xdr:colOff>213360</xdr:colOff>
      <xdr:row>6</xdr:row>
      <xdr:rowOff>38100</xdr:rowOff>
    </xdr:from>
    <xdr:to>
      <xdr:col>27</xdr:col>
      <xdr:colOff>30480</xdr:colOff>
      <xdr:row>20</xdr:row>
      <xdr:rowOff>7620</xdr:rowOff>
    </xdr:to>
    <xdr:sp macro="" textlink="">
      <xdr:nvSpPr>
        <xdr:cNvPr id="2" name="Arrow: Up-Down 1">
          <a:extLst>
            <a:ext uri="{FF2B5EF4-FFF2-40B4-BE49-F238E27FC236}">
              <a16:creationId xmlns:a16="http://schemas.microsoft.com/office/drawing/2014/main" id="{C6A2B77B-A8DC-C377-856F-A4C1D7469AC6}"/>
            </a:ext>
          </a:extLst>
        </xdr:cNvPr>
        <xdr:cNvSpPr/>
      </xdr:nvSpPr>
      <xdr:spPr>
        <a:xfrm>
          <a:off x="14142720" y="1089660"/>
          <a:ext cx="426720" cy="2529840"/>
        </a:xfrm>
        <a:prstGeom prst="up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76200</xdr:colOff>
      <xdr:row>12</xdr:row>
      <xdr:rowOff>156210</xdr:rowOff>
    </xdr:from>
    <xdr:to>
      <xdr:col>18</xdr:col>
      <xdr:colOff>670560</xdr:colOff>
      <xdr:row>38</xdr:row>
      <xdr:rowOff>15240</xdr:rowOff>
    </xdr:to>
    <xdr:graphicFrame macro="">
      <xdr:nvGraphicFramePr>
        <xdr:cNvPr id="6" name="Chart 5">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2087880</xdr:colOff>
      <xdr:row>40</xdr:row>
      <xdr:rowOff>87630</xdr:rowOff>
    </xdr:from>
    <xdr:to>
      <xdr:col>8</xdr:col>
      <xdr:colOff>480060</xdr:colOff>
      <xdr:row>62</xdr:row>
      <xdr:rowOff>76200</xdr:rowOff>
    </xdr:to>
    <xdr:graphicFrame macro="">
      <xdr:nvGraphicFramePr>
        <xdr:cNvPr id="7" name="Chart 6">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2125980</xdr:colOff>
      <xdr:row>14</xdr:row>
      <xdr:rowOff>41910</xdr:rowOff>
    </xdr:from>
    <xdr:to>
      <xdr:col>8</xdr:col>
      <xdr:colOff>426720</xdr:colOff>
      <xdr:row>36</xdr:row>
      <xdr:rowOff>152400</xdr:rowOff>
    </xdr:to>
    <xdr:graphicFrame macro="">
      <xdr:nvGraphicFramePr>
        <xdr:cNvPr id="8" name="Chart 7">
          <a:extLst>
            <a:ext uri="{FF2B5EF4-FFF2-40B4-BE49-F238E27FC236}">
              <a16:creationId xmlns:a16="http://schemas.microsoft.com/office/drawing/2014/main" id="{00000000-0008-0000-1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1577340</xdr:colOff>
      <xdr:row>75</xdr:row>
      <xdr:rowOff>26670</xdr:rowOff>
    </xdr:from>
    <xdr:to>
      <xdr:col>7</xdr:col>
      <xdr:colOff>1074420</xdr:colOff>
      <xdr:row>95</xdr:row>
      <xdr:rowOff>7620</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ignesh\share_c\My%20Documents\MYDOCU\Hps_chawla\Closing%20December%202003\HO%20Final%20Files%20Dec%202003\CURRAC03-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GENERAL\Joshua%20Lu\China%20Retail\COMP%2020071016.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d.docs.live.net/5%20years%20Business%20Plan%20revision%201/SFSO.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d.docs.live.net/5%20years%20Business%20Plan%20revision%201/working/E-tailing/FBIL%20Financials%202007%20v3%20Fina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d.docs.live.net/5%20years%20Business%20Plan%20revision%201/Documents%20and%20Settings/VinodG/Local%20Settings/Temp/wze347/Anshul/Work/Workspace/Future%20Group/Working/B-Plans/Mini/SFSO/SFSO%20Financ"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Users/seema.agarwal/AppData/Local/Microsoft/Windows/INetCache/Content.Outlook/4B8T612P/Adani%20Solar/Adani%20Solar%20-%20Tamil%20Nadu-%20Documents%20Set/3.%20KREL/2.%20SBI%20Appraisal%20Note%20&amp;%20Financial%20Model/FM%20-%20KREL_72%20MW%20-%20FINAL.xls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d.docs.live.net/Audit/2003/KPR/Tax%20Audit%20AY%202001-02%20Sd.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akcdc04\Groups\DOCUME~1\ADMINI~1\LOCALS~1\Temp\C.Lotus.Notes.Data\~916217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NY-270-05E5\SYS3\M&amp;A\KELLEY\TECHNOGR\MODEL\PROFORMA.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Rating/International/ATL%20Rating/ATL%20Prefinal%20-%20locked%20for%20final%20audit%20report%20SPV%20Equity%20Value%20(KG%20Mar-16).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KCDC04\Groups\Enterprise%20Commercial\Opex\BP_july%203%202002_rev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ESDFS1\ROOT\1999\SEPTM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Users\natarajan.h\AppData\Local\Microsoft\Windows\Temporary%20Internet%20Files\Content.Outlook\UVO1UE0I\MSOFF\EXCEL\MIS0304\FBM2205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CCHO\AMRSTAFF\office97\TEMP\COMMON\AIELLO\DYNASTY\NEW\HAN88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ac_4\c\111SanjayK\ABTRankings\AAbtranking\AAsamtel\Copy%20of%20AAsamte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C_NT15\PROJECTFINAN\WINDOWS\TEMP\RCPL%20-%20biz%20plan%20May%207%20ver%201.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as02itcge\finshare$\Documents%20and%20Settings\venkater\My%20Documents\2002\DEC\YTD%20Billing.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Singapor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A020S20\a011\&#37096;&#38272;&#21029;EXCEL\&#21942;&#26989;&#36039;&#29987;\listbox.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Z:\ProjectControl\Integration\NSS\MOB\MOBPLAN\STR_PLAN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0.50.0.3\Home%20directory\MARCH-2005\Documents%20and%20Settings\MUKESHKT\Local%20Settings\Temporary%20Internet%20Files\OLK111\format-upload-sheet-branch%2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Rohan\MIS\MIS%202008\Quarter%204\MIS%20March.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Qi-756\backup_qi-756\Documents%20and%20Settings\qi_0707\Desktop\Audit%2004-05\consol%2004-05\Consol%20Fin-%20Changed%20-%20Oct%2015,%202004%2003-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Rohan\Capital%20Adequacy\Mar-06\Capital%20Adequecy%20March%20Tentative%20WITHOUT%20gtricl%20as%20NBF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is-ddc\c\Emails\Dipak\CarbonblackMi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SDFS1\ROOT\principl\Sotoloff\JPMC%20NPL%20Portfolio%20-%20Project%20King\Rollup.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ileserver\Audit\Documents%20and%20Settings\auditors\My%20Documents\E&amp;Y\FA%20Register%20as%20at%2031.3.2003%2020aug03%20ver7.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0.0.54.61\Share%20PC%20Data\WINDOWS\TEMP\C.Lotus.Notes.Data\InterimFinancial%20statements3009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y%20Documents\SrghillAtlREonly.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Mserver\btps%20temp%20data\EFFY\Effy-Cost%20DD\Yearly%20dat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ccho\Amrstaff\Apurva\expansion\DOCUME~1\u003119\LOCALS~1\Temp\c.data.u003119.notes_cdi\projects\Projects\titan\comps\Titan_Chemical%20Trading%20comps_03072004v5a.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d.docs.live.net/5%20years%20Business%20Plan%20revision%201/Documents%20and%20Settings/vicanja/Local%20Settings/Temporary%20Internet%20Files/OLK5B/Commercials%20-%20MIT%20version%20draft%20(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AKCDC04\Groups\laptop%20backup\data%20backup\Neha\Neha\enterprise\Wireline\154%20BANs\DOCUME~1\UTTAM~1.JHU\LOCALS~1\Temp\C.Lotus.Notes.Data\BP_july%203%202002_rev1.1.citywise.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wm1.vsnl.net/attach/CORP-FIN-SHARE/Jaideep/Hyatt/ENJAY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server\word\Documents%20and%20Settings\Praveen\Desktop\FINANCIALS%20-%20APR02-MAR03.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NTSERVER\Data\Program%20Files\WinFin\Report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Rajesh\D\DOCUME~1\RAJESH~1\LOCALS~1\Temp\kp\excel\finalac\tbsep21.xl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Startup" Target="Documents%20and%20Settings/valeriey/Desktop/Yip%20-%20RE/Investing/Paliburg/Model/Paliburg%20Model_05072004%20(Final).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Project\InvestentAnalysis.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H:\Madan\Indivision%20Investment\2006-07\invoice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Vipul\vl(vg)\vl\Taxaudit\Ay-9899\Taudit98.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d.docs.live.net/Documents%20and%20Settings/Administrator/Desktop/Schdules%20to%20Fixed%20Asse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Users/surik/AppData/Local/Microsoft/Windows/Temporary%20Internet%20Files/Content.Outlook/ESKJ501G/Glaze/HNGIL/Glaze/110915%20Project%20Glaze-%20HNGIL%20model%20v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pratik.panwala/AppData/Local/Microsoft/Windows/INetCache/Content.Outlook/XUFUF6EU/BSC40115%20Tata%20Power%20Model%2017053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Power%20Research\ADWEA\JP%20Power\Model\07%20Baspa%20&amp;%20KW%20Mode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cho\amrstaff\SHVAL\XIUS\Swap10%25\SWAP10%25.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Bcari33c\6k00\WINDOWS\DESKTOP\AllFibre%20Duct\Citibuilder.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Final%20Drafts\Debt%20schedule-JKI.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50.0.3\Home%20directory\DOCUME~1\BHALCH~1\LOCALS~1\Temp\C.Lotus.Notes.Data\DOCUME~1\SudhirK\LOCALS~1\Temp\C.Notes.Data\IM\247%20MCN%20It%20infra%20master%20ver%201.6%2012060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d.docs.live.net/Office%20data%203/1%20Valuation%20Business/Amit%20Maloo/wrap2earn/report%20w2efinancials%20Projection/Warp2earn%20Financial%20Aug%202019%20RV%20-%20V2.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N:\Documents%20and%20Settings\ndalal\Desktop\Client\TAGIC\Fixed%20Assets\Industry%20Workbook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nas02itcge\finshare$\WINDOWS\TEMP\QuickPlace\Infrastructure%2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N:\Users\dannys\AppData\Roaming\Microsoft\Excel\GRICL\RIDCOR-IFIN-model-06-Jan-1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N:\&#25345;&#20998;&#27861;99.9\SEC\SECEQ&#28023;&#22806;%209909.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Prasanta\epco\WINDOWS\TEMP\PostOrdSta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0.50.0.3\Home%20directory\WIN98\TEMP\Walkair_model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DOCUME~1\PREETA~1\LOCALS~1\Temp\notesE1EF34\Final%20lender%20model_021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Mac_4\c\AAsamtel\Copy%20of%20AAsamtel.xls" TargetMode="External"/></Relationships>
</file>

<file path=xl/externalLinks/_rels/externalLink151.xml.rels><?xml version="1.0" encoding="UTF-8" standalone="yes"?>
<Relationships xmlns="http://schemas.openxmlformats.org/package/2006/relationships"><Relationship Id="rId2" Type="http://schemas.openxmlformats.org/officeDocument/2006/relationships/externalLinkPath" Target="file:///C:\Users\welcome\Desktop\MUM%20-%2030%20-%20Coastal%20Energen%20Private%20Limited\2023\RK%20Financial%20Model\Coastal%20Financial%20Model%202023%20-%20Final_V4.xlsx" TargetMode="External"/><Relationship Id="rId1" Type="http://schemas.openxmlformats.org/officeDocument/2006/relationships/externalLinkPath" Target="/Users/welcome/Desktop/MUM%20-%2030%20-%20Coastal%20Energen%20Private%20Limited/2023/RK%20Financial%20Model/Coastal%20Financial%20Model%202023%20-%20Final_V4.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N:\Mar%202005%20files%20for%20audit\Detailed%20Workings%20for%20subs%20and%20associat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N:\ddrivebkp\Amit\CAPAD\2004-03\Capad%20Esti%2003-2004_10-03-200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10.10.11.249\mca\Users\cpdaudit\Desktop\Sec.%2043B%20workings%20(Sch.10%20to%203CD)%20-%20FINAL.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gea-india\d1\d1\Audit%2007-08%20-%20MCA\BGR\Statutory%20dues\FBT\Audit\Fbt%20SANDEEP.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50.0.3\Home%20directory\Documents%20and%20Settings\anilbhu\My%20Documents\MIS\MIS%202009-10\Aug%2009\Sundry%20Debtors%20Ageing%20as%20on%2031%2008%202009.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Startup" Target="RE/Yip/Investing/Chekiang%20Bank/Models/CFB%20Bldg%20Model%20-%2025%20November%2020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N:\Documents%20and%20Settings\nr80965\Local%20Settings\Temporary%20Internet%20Files\OLK36A\GVK%20-%20Full%20model%20+%20Cashflow%20Tranching%20-%20ver%208%20(Investors)%20(4).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d.docs.live.net/Users/dhirek/Downloads/SPJIMR%20MBA/Cluster%205/Corporate%20Valuation/Group7_TataGlobalBeverages_250612_0335.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d.docs.live.net/Documents%20and%20Settings/garima.gogia/Desktop/Aesthetic%20BS%20Final%20F.Y%202011-12%20Modified/Audit%20Reqd(BANK%20RECO%20AESTHETIC%20%20TILL%2031.03.1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2008-2009/Rishra%20BSPL%202008-2009.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Users/gurupdesh.cheema/Desktop/Master%20Folder/1.%20Adani%20Projects/2.%20Solar%20-%20Karnataka%20-%20350%20MW/1.%20Common%20Documents/1.%20Financial%20Model/March%202017/02032017/02032017_WSMPL%20-%20Final.xlsm"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server\Users\skedia\Documents\MSPGCL%20FY12%20ARR%20Petition%20and%20Model%2031Mar11\ARR%20formats%20SM%2029Mar1940_old.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Users/asaraf2/Desktop/HNGIL%20CMA/Projections_17%2011%202014.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docs.live.net/BACKUP/DEEPAK%20JAIN/FSD/BGFL%20financial%20stat%20Marchr%202008.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d.docs.live.net/FKS%203P%20Business%20Plan.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pvr-value.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d.docs.live.net/Documents%20and%20Settings/sudesh/Desktop/TB%20aa/Financial%20for%20AA.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d.docs.live.net/Documents%20and%20Settings/GAshish/Local%20Settings/Temp/DEVARAJAN/MNLY%20ACS%202002/AUGUST%2020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Users/gurupdesh.cheema/Desktop/Master%20Folder/1.%20Adani%20Projects/2.%20Solar%20-%20Karnataka%20-%20350%20MW/05.01.2016%20-%20FM%20and%20IM/23.12.2016%20-%20Karnataka%20350%20MW_IM.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Ay2002-2003\ROI2002-2003\Branch%20Addres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KAMLESHVIKAMSEY\Data\DATA\EXCEL\ST\ST99\GAUTAM.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d.docs.live.net/Audit/2003/Working/Network/Apr-Netherlands%20(Final).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ILESERVER\Audit\Bangalore%20Labs\March%202000\BS-200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Vipul\vl(vg)\vl\Taxaudit\AY-9900\TA99revised.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GM\VOL1\WINDOWS\TEMP\Changes.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oldCo/International%20Issuance%20ATL/S&amp;P/Copy%20of%20ATL%20Prefinal%20-%20locked%20for%20final%20audit%20report.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Rxl2\bussines%20plan\Documents%20and%20Settings\kamleshm\Desktop\Welspun%20-%20Tax%20Audit%202005\2004-05\DTA\Clause%2012%20(b)-%20DTA.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8.105.159\Amit%20Kataria\DOCUME~1\ADMINI~1\LOCALS~1\Temp\C.Lotus.Notes.Data\LMDS_COMPLETE_04.03.0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Bgfl\data1\user\manish\june2003qtrly\deftax.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Worksheet%20in%20(C)%208304%20Operation%20&amp;%20maintenance"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d.docs.live.net/user/manish/December%2004/Dec03.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Users/1554509/AppData/Local/Temp/7zO497D77F2/BSC40857%20Power%20Distribution%20Trading%20Comps%20170714.xlsx"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d.docs.live.net/Chandra/APPRESIAL%20FY%2012-13/MASTER%20SALARY%20%20FY%2013-14.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Iril-hyperion\d\WINDOWS\Temporary%20Internet%20Files\OLK80A6\RAJNI01.XLS" TargetMode="External"/></Relationships>
</file>

<file path=xl/externalLinks/_rels/externalLink184.xml.rels><?xml version="1.0" encoding="UTF-8" standalone="yes"?>
<Relationships xmlns="http://schemas.openxmlformats.org/package/2006/relationships"><Relationship Id="rId1" Type="http://schemas.microsoft.com/office/2006/relationships/xlExternalLinkPath/xlPathMissing" Target="SBU-DOM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User126\perf\Performance\PERFORMANCE\CE_FILE\Erai_dam\Water%20_balance_Dec04.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Mserver\Users\skedia\Desktop\MSPGCL%20Main%20Folder\Revised%20True-up%20&amp;%20APR\Workings\Annexure%202_revised.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Users/41007687/Documents/MIS/2013-14/Accounts/May13/Documents%20and%20Settings/41007687/My%20Documents/MIS/2012-13/Accounts-12-13/Sept%2012/Documents%20and%20Settings/41007687/My%20Documents/MIS/2011-12/Accounts/Feb%201"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uhas.advant\budgets\user\SRA\budgets\BUDSLDE9\lrp9900\ANALYST\BUDSLDE9\OUTLK199\PRESFMS.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10.50.0.3\Home%20directory\dp\Data%20revenue%20plan%2010th%20Augu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Milie\Quarterly%20Reports\Loan%20Classfication\January%202006\December%202005\November%202005\August%202005\Loan%20classification%20as%20on%20August%2031,%202005.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Users\nvyas\Desktop\2nd%20December-%20FINAL%20FINANCIALS\Sept-09\Management%20Accounts\April%2008\George\Financials%2030.04.08.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Mukesh\SharedFolders\eReturn-Mta\eReturn_Form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0.50.0.3\Home%20directory\DOCUME~1\BHALCH~1\LOCALS~1\Temp\C.Lotus.Notes.Data\Chirag\TEMP\weekly-rpt-latest.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Vipul\vl(vg)\SUBS%20&amp;%20ASSO%20CO\taxprov99.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JOSHI\MY%20DOCUMENTS\WINDOWS\Desktop\Manoj%20Gandhi\WINDOWS\DEPRE.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ESDFS1\ROOT\Documents%20and%20Settings\pconill\Desktop\JPM%20Macro.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CCHO\Amrstaff\SHVAL\avendus\adamya\DHS-adamya.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s://apamail.deloitte.com/exchange/vikhandelwal/Inbox/Fw:%20US%20GAAP-%20Final%20set%20-%20ASAL.EML/Disclosure%20Req%20and%20Formats.xls/C58EA28C-18C0-4a97-9AF2-036E93DDAFB3/New%20Folder/SEPT.00%20BS/CAPITALISATION-BHO.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N:\D%20Team4\PROJECTS\CONTROLLED%20ACCOUNTS\Lalitpur%20Power\3.Sanction\Subsequent%20Sanctions\By%20Board-Committees\Cost%20overrun\S-Format\Final\Post%20ECCB\LPGCL_Financial%20Model_Final%20ARTL.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Ram\C\Pratibha\My%20Documents\Machine4\GODREJ%20Stuff\1Foods\Measurement\Model%201cop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IL%20to%20DHS\IndiaIdeas%20Accounts%20-%20Final%2006-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nts%20and%20Settings/sarpotdarsp/Local%20Settings/Temporary%20Internet%20Files/OLK1/633/Accts/Sajukumar/MIS%20and%20Accounts/WINDOWS/Temporary%20Internet%20Files/Content.IE5/OPQRSTUV/MIS-2001-2002/permay01/PERF/perfbot98-99.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Z:\Vipin%20Dagar\Enterprise%20Valuation\Ratan%20India\RKA%20Model%20and%20Report\RIPL%20Final.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N:\Power%20Research\Sterlite\1.%20May%202014%20Sell%20Side%20Pitch\11.%20Model\48%20SGL%20Operating%20Assets%20Financial%20Model.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Documents%20and%20Settings/AcerAspire/My%20Documents/SKumar/Rev.Mis/WINDOWS/Temporary%20Internet%20Files/Content.IE5/OPQRSTUV/MIS-2001-2002/permay01/PERF/perfbot98-99.xls"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Startup" Target="Sonia/Work/MSR%20Investing/Projects/No.133%20Leighton%20Road/Model/Financing%20Model%202-09-04%20(Promote).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10.8.105.159\Amit%20Kataria\Offers_2002\Reliance%20LMDS\offer%2009.01.03\Offer_09.01.03_4%20configurations_revised%20offer_interface%20cards_5k-25kLinks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N:\&#25345;&#20998;&#27861;0006\SECAFFI&#20869;&#35379;0006.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EENBK0019\aws\Monish\Trillium\TDS-Accounts%20March%202001.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N:\SHVAL\Backwaters%202\JH&amp;GBsMar03(Draft1).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N:\DOCUME~1\C02003~1\LOCALS~1\Temp\&#26989;&#31278;&#21029;&#20998;&#26512;0409.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05.02.03\windows\TEMP\C.Lotus.Notes.Data\MEHTA\basf2001\01basf02-N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server\word\Backup\Balance%20Sheet%202006-07\WINDOWS\Temporary%20Internet%20Files\OLKB086\P_SEG_CF.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FA020S20\a011\USERS\SUZUKI\EXCEL\&#37197;&#36070;EX.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Shibasish-fin\sept03\program%20files\qualcomm\eudora%20mail\attach\program%20files\qualcomm\eudora%20mail\attach\Internal\Clients\Godrej\SBU-Consumer%20Products\Incentives\CPD%20EI.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201-04REL-Final.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nmq68zl99v8mv\Yogesh\Offers_2002\Reliance%20LMDS\oct2002\offer%203\Offer_22.10.0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Shibasish-fin\sept03\program%20files\qualcomm\eudora%20mail\attach\program%20files\qualcomm\eudora%20mail\attach\My%20Document\Ram\Capital%20Budgeting\For%20presentation.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Expenses/8301%20Mum%20Operating%20Expenses%20Leadsheet.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Vkulkarni\c\Shilpa%20Shetye\Jan-01\MIS%20NEW\Financial%20Nov00.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d.docs.live.net/Documents%20and%20Settings/acer1/Desktop/Niranjan/Home%20Solutions/Projections%20for%20CMA%20-%20Feb07_Rev%20NM.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lii-cea-f110\PKG\My%20Documents\Saraswat\2010\Offer\L&amp;T-MUMBAI-HGU%20BATHINDA-%20NIKHIL%2008-04-010\L&amp;T%20Mumbai%20HGU-%20LTC\Insulation%20work%20volume_LTC.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Users/Amol.wakle/AppData/Local/Microsoft/Windows/INetCache/Content.Outlook/GL41N4P8/HNPCL_SBI_LLMS%20-%20UBI.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7.176\RENKETU\&#20250;&#31038;&#21029;\SFAS131\2004.06\&#21942;&#26989;&#21454;&#30410;Hyperion.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Y:\Corp%20Fin\Preliminary%20Data\Working%20Capital\Copy%20of%20JITPL%20525%200309%20with%20CMA.xlsx"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Databank/1-Projects%20In%20Hand/DFID/ARR%202003-04/Arr%20Petition%202003-04/For%20Submission/ARR%20Forms%20For%20Submission.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U:\arun_b\WINDOWS\TEMP\BS98.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10.125.11.28\vsj\Documents%20and%20Settings\ffcs\Desktop\SkoryDove-eReturn_Form1.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Documents%20and%20Settings/sarpotdarsp/Local%20Settings/Temporary%20Internet%20Files/OLK1/633/Accts/SKumar/Rev.Mis/WINDOWS/Temporary%20Internet%20Files/Content.IE5/OPQRSTUV/MIS-2001-2002/permay01/PERF/perfbot98-99.xls" TargetMode="External"/></Relationships>
</file>

<file path=xl/externalLinks/_rels/externalLink225.xml.rels><?xml version="1.0" encoding="UTF-8" standalone="yes"?>
<Relationships xmlns="http://schemas.openxmlformats.org/package/2006/relationships"><Relationship Id="rId1" Type="http://schemas.microsoft.com/office/2006/relationships/xlExternalLinkPath/xlPathMissing" Target="Worksheet%20in%205610%20Property%20Combined%20Leadsheet%202"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N:\@@EQ&#65305;&#65304;&#65297;&#65298;\Affiliates4Q\EQ&#22806;.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Mac_4\c\111SanjayK\ABTRankings\AAbtranking\AAsamtel\Copy%20of%20Modsam4.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1002%20Non%20Convertible%20Debentures%20Combined%20Leadsheet"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N:\Documents%20and%20Settings\Chandorkar\My%20Documents\transparent%20CONSOLIDATED-MAY%202\FREQUENT%20JLU%202\Investment%20Bank%20relationships\SBI%20CAPS-SOFT%20BANK\SBI%20CAPS-SOFT%20BANK\Ghanekar\Sagar%20sugar%20-%20profitability%20-%20valuatio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P\DEPN\01\Other%20FA_030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N:\Documents%20and%20Settings\vishal\Local%20Settings\Temporary%20Internet%20Files\Content.IE5\JZMFU5UX\Bank%20Statement\Metro%20Hyderabad\Mytas%20Metro%20Line_121208.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d.docs.live.net/Documents%20and%20Settings/Administrator/Local%20Settings/Temporary%20Internet%20Files/Content.IE5/WX2JK92Z/DEC%2018%20SALES.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Documents%20and%20Settings/sailesh.rao/My%20Documents/Completed%20Assignments/JNPT%20Assignment/Deliverables/Models/Container%20Terminal%20Final_v17.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indl158af\c$\DOCUME~1\JSRING~1.FIS\LOCALS~1\TEMP\Trade%20Receivables-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IL1\SYS\LOTUS\MIS9900\MIS2003.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N:\Essar%20Ports\Copy%20of%20Essar%20Ports%20Model.xlsm"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Wizard\c$\NSS\MOB\MOBPLAN\PPG_MOB2.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Julius\c\SEED04-05\MB51ALLMVTSEP04.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FA020S20\a011\ORX-FILE\BMN\&#36009;&#31649;&#36027;\&#36035;&#20511;2.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https://d.docs.live.net/Documents%20and%20Settings/GAshish/Local%20Settings/Temp/DEVARAJAN/MNLY%20ACS%202003/CONSO%20SEPTEMBER%20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AcerAspire/My%20Documents/Sajukumar/MIS%20and%20Accounts/WINDOWS/Temporary%20Internet%20Files/Content.IE5/OPQRSTUV/MIS-2001-2002/permay01/PERF/perfbot98-99.xls" TargetMode="External"/></Relationships>
</file>

<file path=xl/externalLinks/_rels/externalLink240.xml.rels><?xml version="1.0" encoding="UTF-8" standalone="yes"?>
<Relationships xmlns="http://schemas.openxmlformats.org/package/2006/relationships"><Relationship Id="rId1" Type="http://schemas.microsoft.com/office/2006/relationships/xlExternalLinkPath/xlPathMissing" Target="mgt9900_GE%20(1).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10.50.0.3\Home%20directory\DOCUME~1\BHALCH~1\LOCALS~1\Temp\C.Lotus.Notes.Data\windows\TEMP\01-Master_Price_List_1-1-0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N:\Users\Ekta.Mehra\AppData\Roaming\Microsoft\Excel\Model%20Versions\Ekta\Assignments\HMEL\HMEL%20ECB%20Sub%20Debt\HMEL_4-6-12_3%20yr%20avg.xlsm"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ESDFS1\ROOT\WINDOWS\Profiles\sotoloff\Desktop\principl\Hochfelder\Raven\Model\Raven%20Model_03.11B.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Act-old\d\Audit\Tax%20Audit%202006\P&amp;%20Q.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10.42.41.192\Yogesh\Yogesh\LMDS\Vendors\Alvarion\Offer_07.04.02_Ril_rev2_RTTB.xls" TargetMode="External"/></Relationships>
</file>

<file path=xl/externalLinks/_rels/externalLink246.xml.rels><?xml version="1.0" encoding="UTF-8" standalone="yes"?>
<Relationships xmlns="http://schemas.openxmlformats.org/package/2006/relationships"><Relationship Id="rId1" Type="http://schemas.microsoft.com/office/2006/relationships/xlExternalLinkPath/xlPathMissing" Target="Worksheet%20in%20(C)%205640.03%20%20%20Property%20(Fixed%20Assets)%20-%20Substantive%20Testing%20%20December%2007"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Users/sksomani.RSR/AppData/Local/Microsoft/Windows/Temporary%20Internet%20Files/Content.IE5/QNJ6WIYU/Details%20of%20assets/Details%20of%20assets/cwip%202009.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0.42.41.192\Yogesh\Yogesh\LMDS\Vendors\Marconi\MDMS_Config_protected_10.5G_16_7_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windows\TEMP\3CD%20annex(Bhosari-SEMIfINA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FA020S20\a011\ORX-FILE\BMN\&#36009;&#31649;&#36027;\EXLSGAA.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N:\Project\Projects\Bergesen\BEAFleet-Steelvalue-May10-03.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N:\Vipul\securitisation\CFIL\Program\Issue%201\final%20pool%20files\Main-pool%20-%20cfil%20on%20tap-%20june%2002.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Acct-cost-jays\jays\KSP\July%20Plan\oct%20plan%2099_rev.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rishi/ddrive/Backup_Rishi_Nov%2008/Desktop/Model%20runs/Price%20forecasting_APR_2012/Outputs_Base%20Case/Master%20Supply_Updating_27th%20April%2012%20(Final%20-%20Base%20gas%20+%20others)_11.30%20AM_Captive_Last_final.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Users/paritoshthakur/Desktop/Paritosh%20data/KPMG%20WORK/TATA%20POWER%20POWER%20MARKET%20STUDY/FINAL%20EXCELS/PLANT%20LIST%20TATA%20POWER/Copy%20of%20List%20of%20Projects_tata%20power_July%206%202015_Revised.xlsx"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Inbangmeyfl01\assurance\Documents%20and%20Settings\QI_0534\Local%20Settings\Temporary%20Internet%20Files\OLKD93\Copy%20of%20Cons-310305%20(2).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https://d.docs.live.net/5%20years%20Business%20Plan%20revision%201/Documents%20and%20Settings/VinodG/Local%20Settings/Temporary%20Internet%20Files/OLK5B/SFSO%20Financial%20model.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99B12312\STOCKSEC145A.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10.50.0.3\Home%20directory\DOCUME~1\ADMINI~1\LOCALS~1\Temp\C.Lotus.Notes.Data\DOCUME~1\RamanB\LOCALS~1\Temp\BUDGE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d.docs.live.net/Documents%20and%20Settings/admin/Local%20Settings/Temporary%20Internet%20Files/Content.Outlook/8V1N8PDF/08-09/Financials/IVFinancials(3).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ESDFS1\ROOT\WINDOWS\Profiles\sotoloff\Desktop\principl\Yanagi\Rock\Model\Rock%20Model%2006-12-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https://d.docs.live.net/Atul%20Data/Personal/Old%20Data/Wireless%20Market%20in%20India,%20Asia,%20Global%20June%202005.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Rajeswari\accounts\Final%20accounts%201998-99\Fixed%20Asset%20Register.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10.50.0.3\Home%20directory\DOCUME~1\BHALCH~1\LOCALS~1\Temp\C.Lotus.Notes.Data\WINDOWS\TEMP\WEEKLY%2021MAY'99.xls"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Startup" Target="projects/Real%20Estate%20PE/Projects/Makers/MSREF%20Model/Project%20Magic%20Model_29-July-05.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N:\jags\Dec02\dec02\BS10-13.XLS"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8140%20Revenue%20ITNL%20-%2031.03.2008"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Fileserver\Audit\Documents%20and%20Settings\auditors\My%20Documents\E&amp;Y\Depn%20day%20basis%20-%20SoCrates%20-%20Co.%20Act.xls"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8320%20Expenses%20Workbook" TargetMode="External"/></Relationships>
</file>

<file path=xl/externalLinks/_rels/externalLink269.xml.rels><?xml version="1.0" encoding="UTF-8" standalone="yes"?>
<Relationships xmlns="http://schemas.openxmlformats.org/package/2006/relationships"><Relationship Id="rId1" Type="http://schemas.microsoft.com/office/2006/relationships/xlExternalLinkPath/xlPathMissing" Target="Worksheet%20in%20(C)%205610%20Fixed%20Assets%20-%20Leadsheet"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uditor\D\BACKUP%20OF%20SANJAY%20SIR%20AS%20ON%2019-7-06\My%20Documents\BS%202005-2006\Lucky\Audits\Par%20Computer%20Sciences%20Ltd%20New\Par%20Computer%20Sciences%20Ltd\Capital%20Gain%20Sheet.xls" TargetMode="External"/></Relationships>
</file>

<file path=xl/externalLinks/_rels/externalLink270.xml.rels><?xml version="1.0" encoding="UTF-8" standalone="yes"?>
<Relationships xmlns="http://schemas.openxmlformats.org/package/2006/relationships"><Relationship Id="rId1" Type="http://schemas.microsoft.com/office/2006/relationships/xlExternalLinkPath/xlPathMissing" Target="Worksheet%20in%205420%20Inventory%20-%20Workbook"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172.16.1.9\Users\Research%20Data\LALITA\Weekly%20REPORTS\MISRMASL%20Trading.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d.docs.live.net/Users/Parnika%20Dayal/AppData/Local/Microsoft/Windows/Temporary%20Internet%20Files/Content.Outlook/ZT8D9CZT/Master%20Valuation-%20Updated-%2017%2007%20(2).xlsx"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CCCHO\AMRSTAFF\SHVAL\infocom\infocom\RCL_dec25.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A:\Documents%20and%20Settings\mhnh\My%20Documents\2001\Asia%20Pacific\Plan\5Y_v2.14.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192.168.1.4\kdocicai$\SHAILENDRA%20Dwivedi\block\Annual%20Report\2006-2007\NUVO\New%20Folder\BS%20March06.xls" TargetMode="External"/></Relationships>
</file>

<file path=xl/externalLinks/_rels/externalLink276.xml.rels><?xml version="1.0" encoding="UTF-8" standalone="yes"?>
<Relationships xmlns="http://schemas.openxmlformats.org/package/2006/relationships"><Relationship Id="rId1" Type="http://schemas.microsoft.com/office/2006/relationships/xlExternalLinkPath/xlStartup" Target="unzipped/Core%20Financing%202003%2012%2004%20v2/Retail_Model.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Users/arpan.28/Desktop/BULLET/Accounts/ATIL%20Financials_June%2015.xlsx"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N:\ddrivebkp\Amit\MIS\2004-03\MIS%20FY%202004.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Wfin-007\c\All\Lalith\DEFF%20TAX(From%20Jig)\UTV%20Balance%20Sheet%20Post%20Consolidation.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Valuation%20-%20Daurala%20Sugar.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N:\navin%20kedia\DOT\Documents%20and%20Settings\DLF\My%20Documents\MY%20FOLDER\DAL\New%20rent%20roll\Updated%20changes%20after%2020%20nov%20final\Amit_Data\DOT\Business%20&amp;%20Properties\Business%20and%20Properties-Ver-7-11.5m-19.09.2007.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N:\SunilTData\ddrivebkp\SUNIL\MIS\FY%202005\2005-03\MIS%20FY%202005%20-%20FINAL.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Julius\c\SEED04-05\allmvtdepotsep04.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Y:\Users\vikas1.sharma\Desktop\Active%20Mandates\Isolux\Isolux%20Equity\Strategic%20Investors\Financial%20Model\Aug%2017\Model%20for%20Phase%201.xlsb"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https://d.docs.live.net/Assignments%20-%20Dhiren/FSSL/FSSL%20model/Balance%20Sheet%2023rd%20March.xlsx"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N:\Users\IERS\AppData\Local\Temp\Rar$DI00.986\Dheeraj-MRG%2027%20Feb\PNL%20for%20DLF%2022%20Dec.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N:\AmitTData\ddrivebkp\SUNIL\MIS\2004-10\Estimates%20October%202004-new.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RC_NT15\PROJECTFINAN\WINDOWS\TEMP\~0003888.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Sameer's%20folder/MSEB/Tariff%20Filing%202003-04/Outputs/Models/Working%20Models/old/Dispatch%202.0.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N:\Imports\LC\LC-CA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ngal\new%20folder\SUMIT\Sumit%20SKACA\AUDIT\MYND%202005-06.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dakcdc04\Groups\AS-21\RCPL%20&amp;%20RGNL\2004-05\Quarter%204\March%202005\RIC%20&amp;%20RCIL%20Consolidated%20-March%202005%20%20%20%20%20%20%20%20%20%20%20%20%20%20%208.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nas02itcge\finshare$\Documents%20and%20Settings\venkater\Local%20Settings\Temporary%20Internet%20Files\OLK19\EPST%20Project%20Billing.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Vipul\vl(vg)\VIPUL\vfbl\ROI9899HP.xls" TargetMode="External"/></Relationships>
</file>

<file path=xl/externalLinks/_rels/externalLink293.xml.rels><?xml version="1.0" encoding="UTF-8" standalone="yes"?>
<Relationships xmlns="http://schemas.openxmlformats.org/package/2006/relationships"><Relationship Id="rId1" Type="http://schemas.microsoft.com/office/2006/relationships/xlExternalLinkPath/xlStartup" Target="RE/Yip/Model%20Templates/Models/Apollo-Model-20011211.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Acct-cost-jays\jays\KSP\July%20Plan\WIL-Rev%20Annexures.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10.125.7.135\vsj\VSJ\EXCEL\I.Tax%20A.Y.2005-06\IT%20Return\REL\80IA%20working%20&amp;%20Computation%20TOR-AY%2005-06-Revised%202.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Devang\suneil\mss\Fortnightly%20progress%20reports\NLDO%20Ph%201A\13_GIS%20INTEGRATION0809.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Anthony\finalisation\00-01\Final%20BS%20for%2000-01_CHANGED.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Anthony\finalisation\My%20Documents\AMG_Workings\Projections_BS_mar03.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Sunil\c\2002\BASIC%20SAL%20CALCUL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K123\VOL1\ACCOUNTS\DBSLEAS\97\BAL96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Vmisra01\c\Msoffice\Excel\ATK\31-03-2001\Intercopybl2133_reval_Dec.xls" TargetMode="External"/></Relationships>
</file>

<file path=xl/externalLinks/_rels/externalLink300.xml.rels><?xml version="1.0" encoding="UTF-8" standalone="yes"?>
<Relationships xmlns="http://schemas.openxmlformats.org/package/2006/relationships"><Relationship Id="rId1" Type="http://schemas.microsoft.com/office/2006/relationships/xlExternalLinkPath/xlPathMissing" Target="Worksheet%20in%205131.1%20Bank%20Reconcilation"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N:\Documents%20and%20Settings\abagve\Desktop\Book2.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N:\Documents%20and%20Settings\Vijay%20Kini\kini\FFC\AUG%202007\6520%20Deferred%20Tax%20Working.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10.50.0.3\Home%20directory\DOCUME~1\ADMINI~1\LOCALS~1\Temp\C.Lotus.Notes.Data\DOCUME~1\ADMINI~1\LOCALS~1\Temp\42mtr_VPT_Budget_CBS%20w%20A.L.%200722.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Z:\ProjectControl\Integration\Planning\INSTRUMENTATION\Instprof0828.xls" TargetMode="External"/></Relationships>
</file>

<file path=xl/externalLinks/_rels/externalLink305.xml.rels><?xml version="1.0" encoding="UTF-8" standalone="yes"?>
<Relationships xmlns="http://schemas.openxmlformats.org/package/2006/relationships"><Relationship Id="rId1" Type="http://schemas.microsoft.com/office/2006/relationships/xlExternalLinkPath/xlPathMissing" Target="Worksheet%20in%20%20%20%20%20%20Substantive%20Analytical%20Review%20-%20Disaggregated%20Pop."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https://d.docs.live.net/Mobility/MIS/MAPA/May%202003/Forecast/Mobility%20Business%20Plan%202003-04%20-%20Ver%204.5%20-%20Final%20-%20KPIs.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NTSERVER\Data\Actpro%2099\clients\Baylabs\Calculations\Annual\EVA%20Annual%20Calculation%20Template%20-%2019%20Oct%2099.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Mac_4\c\111SanjayK\ABTRankings\AAbtranking\AAsamtel\ExcelEVA%20Model-Samtel.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cccho\Amrstaff\Apurva\expansion\DOCUME~1\u003119\LOCALS~1\Temp\c.data.u003119.notes_cdi\Shireesh\Exxon_Qenos\Trading%20Comps\Qenos%20-%20Trading%20comps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arkash\c\My%20Documents\Ms%20Office\Excel\ATK\31.03.2001\Intercopybl2133_reval_Dec.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Z:\DOCUME~1\ADMINI~1\LOCALS~1\Temp\C.Lotus.Notes.Data\~3093716.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N:\vms\transfer\vms\WO_Issued&amp;Paid.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N:\Documents%20and%20Settings\bhmehta\Desktop\NKEL\Documents%20and%20Settings\jchande\Desktop\NKEL%20March%2005\Fixed%20Assets\Fixed%20Assets%20Sold.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A:\WINDOWS\Temporary%20Internet%20Files\Content.IE5\OPQRSTUV\MIS-2001-2002\permay01\PERF\perfbot98-99.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ESDFS1\ROOT\TBailey\Rolling%20Budget\Indy%20Airport%20RB%20-%202000.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Mac_4\c\My%20Documents\Clients\Taj%20Hotels\Bharti\Modsam6.xls" TargetMode="External"/></Relationships>
</file>

<file path=xl/externalLinks/_rels/externalLink316.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317.xml.rels><?xml version="1.0" encoding="UTF-8" standalone="yes"?>
<Relationships xmlns="http://schemas.openxmlformats.org/package/2006/relationships"><Relationship Id="rId1" Type="http://schemas.microsoft.com/office/2006/relationships/xlExternalLinkPath/xlPathMissing" Target="Worksheet%20in%20(C)%205641%20fixed%20asset%20additions" TargetMode="External"/></Relationships>
</file>

<file path=xl/externalLinks/_rels/externalLink318.xml.rels><?xml version="1.0" encoding="UTF-8" standalone="yes"?>
<Relationships xmlns="http://schemas.openxmlformats.org/package/2006/relationships"><Relationship Id="rId1" Type="http://schemas.microsoft.com/office/2006/relationships/xlExternalLinkPath/xlPathMissing" Target="Worksheet%20in%20(C)%206340%20Secured%20&amp;%20Unsecured%20Borrowings%20&amp;%20Interest%20Payable%20-%20AMRP"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N:\Users\nvyas\AppData\Local\Microsoft\Windows\Temporary%20Internet%20Files\Content.Outlook\ZRDZS483\GRICL%20Requirement%20check%20list-March%2020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Documents%20and%20Settings/GAshish/Local%20Settings/Temp/DEVARAJAN/Audit%20March%202003/RMCFinalsets/My%20Documents/RMC%20310301/STOCKSEC145A.xls" TargetMode="External"/></Relationships>
</file>

<file path=xl/externalLinks/_rels/externalLink320.xml.rels><?xml version="1.0" encoding="UTF-8" standalone="yes"?>
<Relationships xmlns="http://schemas.openxmlformats.org/package/2006/relationships"><Relationship Id="rId1" Type="http://schemas.microsoft.com/office/2006/relationships/xlExternalLinkPath/xlPathMissing" Target="Worksheet%20in%205640.1%20FA%20of%20ITNL%20%20-%20New%20Format%20-%2031%201%20.03.06" TargetMode="External"/></Relationships>
</file>

<file path=xl/externalLinks/_rels/externalLink321.xml.rels><?xml version="1.0" encoding="UTF-8" standalone="yes"?>
<Relationships xmlns="http://schemas.openxmlformats.org/package/2006/relationships"><Relationship Id="rId1" Type="http://schemas.microsoft.com/office/2006/relationships/xlExternalLinkPath/xlPathMissing" Target="Worksheet%20in%20%20%208440%20%20Payroll"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Mar%2015/Head%20Office/Debtors%20Netting%20off%20as%20on%2031%2003%202015.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Rakesh\AUDIT%20FY2006\Rakesh\Income%20Tax\Asst.%20Yr.2005-06\Final%203CD%20&amp;%20Annexures\1006%20TAX-AUDIT-SCHEDULES--2004-05.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Users/rmatthew/Desktop/STUFF%20TO%20PRINT/FA.xlsx"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Users/dkalra/Desktop/KEC%20Finalization/KEC%20dec'10/Fixed%20Assets/5601%20FIXED%20ASSETS%20APRIL-Dec-10(BUB)%2031-12-2010(consolidated).xls" TargetMode="External"/></Relationships>
</file>

<file path=xl/externalLinks/_rels/externalLink326.xml.rels><?xml version="1.0" encoding="UTF-8" standalone="yes"?>
<Relationships xmlns="http://schemas.openxmlformats.org/package/2006/relationships"><Relationship Id="rId1" Type="http://schemas.microsoft.com/office/2006/relationships/xlExternalLinkPath/xlPathMissing" Target="Worksheet%20in%205640%20Fixed%20Asset%20(TOP%20SHEET)"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N:\Bhavik\Audit\IETS%20-%20All%20files\IETS%20-%20March%202007\Fixed%20Assets\5611%20Fixed%20Asset%20(TOP%20SHEET)%20as%20on%2031%20March%202007.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Documents%20and%20Settings/23070065/Local%20Settings/Temporary%20Internet%20Files/Content.Outlook/BQUOPY05/3CD%201%20Form%203CD%20F-11.xls" TargetMode="External"/></Relationships>
</file>

<file path=xl/externalLinks/_rels/externalLink329.xml.rels><?xml version="1.0" encoding="UTF-8" standalone="yes"?>
<Relationships xmlns="http://schemas.openxmlformats.org/package/2006/relationships"><Relationship Id="rId1" Type="http://schemas.microsoft.com/office/2006/relationships/xlExternalLinkPath/xlPathMissing" Target="Worksheet%20in%20(C)%205730.1.a%20Fixed%20Asset%20%20%20Depreciation%20Calculation"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WINDOWS\TEMP\BS10-13.XLS" TargetMode="External"/></Relationships>
</file>

<file path=xl/externalLinks/_rels/externalLink330.xml.rels><?xml version="1.0" encoding="UTF-8" standalone="yes"?>
<Relationships xmlns="http://schemas.openxmlformats.org/package/2006/relationships"><Relationship Id="rId1" Type="http://schemas.microsoft.com/office/2006/relationships/xlExternalLinkPath/xlPathMissing" Target="Worksheet%20in%205330.2%20Debtors%20Schedule%20FINAL%2031%2003%202012" TargetMode="External"/></Relationships>
</file>

<file path=xl/externalLinks/_rels/externalLink331.xml.rels><?xml version="1.0" encoding="UTF-8" standalone="yes"?>
<Relationships xmlns="http://schemas.openxmlformats.org/package/2006/relationships"><Relationship Id="rId1" Type="http://schemas.microsoft.com/office/2006/relationships/xlExternalLinkPath/xlPathMissing" Target="Worksheet%20in%205642.1%20Fixed%20Assets%20Top%20Sheet%20-%20March%202008%20-%20VHRP" TargetMode="External"/></Relationships>
</file>

<file path=xl/externalLinks/_rels/externalLink332.xml.rels><?xml version="1.0" encoding="UTF-8" standalone="yes"?>
<Relationships xmlns="http://schemas.openxmlformats.org/package/2006/relationships"><Relationship Id="rId1" Type="http://schemas.microsoft.com/office/2006/relationships/xlExternalLinkPath/xlPathMissing" Target="Worksheet%20in%205641%20Fixed%20Assets%20schedule%20and%20Calculation%20of%20Depreciation%20-%20VHRP" TargetMode="External"/></Relationships>
</file>

<file path=xl/externalLinks/_rels/externalLink333.xml.rels><?xml version="1.0" encoding="UTF-8" standalone="yes"?>
<Relationships xmlns="http://schemas.openxmlformats.org/package/2006/relationships"><Relationship Id="rId1" Type="http://schemas.microsoft.com/office/2006/relationships/xlExternalLinkPath/xlPathMissing" Target="Worksheet%20in%205643%20Fa%20register,%20deprn%20,profit%20and%20loss%20calcn" TargetMode="External"/></Relationships>
</file>

<file path=xl/externalLinks/_rels/externalLink334.xml.rels><?xml version="1.0" encoding="UTF-8" standalone="yes"?>
<Relationships xmlns="http://schemas.openxmlformats.org/package/2006/relationships"><Relationship Id="rId1" Type="http://schemas.microsoft.com/office/2006/relationships/xlExternalLinkPath/xlPathMissing" Target="Worksheet%20in%201.FBT%20FBT%20Working" TargetMode="External"/></Relationships>
</file>

<file path=xl/externalLinks/_rels/externalLink335.xml.rels><?xml version="1.0" encoding="UTF-8" standalone="yes"?>
<Relationships xmlns="http://schemas.openxmlformats.org/package/2006/relationships"><Relationship Id="rId1" Type="http://schemas.microsoft.com/office/2006/relationships/xlExternalLinkPath/xlPathMissing" Target="Worksheet%20in%205610%20Property%20CombinedPY"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N:\Documents%20and%20Settings\bhmehta\Desktop\NKEL\Documents%20and%20Settings\jchande\Desktop\FA_LAST%20YEAR.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Dataserver\word\2002-03%20AUDIT%20SCHE\FINANCIALS%20-%20APR02-MAR03INCL%20&amp;%20EXC.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file:///I:\Performance\PERFORMANCE\ocm\Yearly_perf\OCMJAN2000.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Asawa\c\Ravi%20Neer\Ravi\Mfgcost\Mfg%20Cost%202000\March%202000\Mfg%20Cost%20March%202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Shantaram\Borrowing%20-%20Vipul\Demerger%20Scheme%20Data%20for%20Borrowing\Demerged%20Financials%20in%20Shedule%20IV%20FORMAT.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AKTHAR\PROJECT%20SCOP\NSS\MOB\MOBPLAN\STR_PLAN2.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file:///N:\RENKETU\Secapp\&#31185;&#30446;&#20998;&#26512;&#12539;&#20316;&#25104;&#36039;&#26009;\&#36024;&#20184;&#37329;\&#31192;&#23494;&#12288;&#19968;&#30007;&#12501;&#12457;&#12523;&#12480;\&#36024;&#20184;&#37329;&#65286;&#36024;&#20498;\SEC&#36024;&#20498;\SFAS#114\&#20206;&#12405;&#12435;2003-08\&#12405;&#12435;&#12393;&#12375;0308.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file:///N:\Documents%20and%20Settings\C001008010\My%20Documents\&#21033;&#30410;&#35336;&#30011;G&#20250;&#31038;\&#31532;5&#26399;\&#65406;&#65400;&#65438;&#65426;&#65437;&#65412;\0&#35336;&#30011;&#36899;&#32080;.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file:///\\FA020S20\a011\BUMON\&#35336;&#30011;\43(200603)\0&#35336;&#30011;&#36899;&#32080;.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file:///N:\RENKETU\Secapp\&#31185;&#30446;&#20998;&#26512;&#12539;&#20316;&#25104;&#36039;&#26009;\&#26377;&#20385;&#35388;&#21048;\3%202004-3q\200312&#21253;&#25324;&#21033;&#30410;.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file:///N:\WINDOWS\&#65411;&#65438;&#65405;&#65400;&#65412;&#65391;&#65420;&#65439;\&#38306;&#20418;&#20250;&#31038;&#26126;&#32048;.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file:///N:\RENKETU\Secapp\Package\#Fy2001.3&#26399;&#12288;&#65305;&#26376;\D009%20&#65393;&#65433;&#65420;&#65383;\&#12288;&#30330;&#36865;&#36039;&#26009;&#12288;&#12288;&#65305;&#65305;&#24180;&#65299;&#26376;&#26399;\@&#30330;&#36865;99.3.4Q\&#23713;&#26412;&#20462;&#27491;&#24460;fy99pkg.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file:///N:\Documents%20and%20Settings\C184141010\My%20Documents\SEC&#23455;&#36074;&#36002;&#29486;&#21033;&#30410;\2003&#24180;3&#26376;&#26399;&#31532;&#65300;&#65329;\FIN200204.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file:///N:\&#9733;&#65422;&#65438;&#65431;&#65411;&#65384;&#65432;&#65411;&#65384;\vol.200409.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file:///\\FA020S20\a011\BUMON\&#35336;&#30011;\43(200603)\&#21462;&#24341;&#21029;&#36039;&#26009;\SGA\&#36899;&#32080;&#38598;&#35336;\200703&#35336;&#30011;&#20154;&#21729;SGA&#38598;&#35336;&#30446;&#27161;&#20250;&#35696;&#24460;&#65288;01-23&#6528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14.71.78\c\Documents%20and%20Settings\Praveen\Desktop\FINANCIALS%20-%20APR02-MAR03.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file:///\\FA020S20\a011\&#37096;&#38272;&#21029;\haifuadd.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Users/welcome/Desktop/NSL%20Textile/Document%20shared%20by%20client/NSL%20Model%20-%20Other%20Valuer.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Users/welcome/Downloads/7.%20Valuation%20Workings/NSL%20CMA%20-SBI_22-23%20DCF%20Valuation_Revised.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Users/FA2/Desktop/Rachit%20Personal/Projects/EV/PFS/RK%20Working%202023-24/RK%20Working%20NVEPL%20Final%20Excel%20Sheets%202021-22/Operational%20Companies%20_May%202023/V3/NRPPL%20Final%20RK%20Working.xlsx"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Users/hp/Desktop/Chhavi%20desktop/Nagarjuna/Docs%20shared%20by%20the%20client/Financials%20for%202021-22/NFCL%20-%20Standalone%20Financials%20New%20file%20-%20MARCH%202022%2015%20June%202022.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92.168.7.176\DOCUME~1\PREETA~1\LOCALS~1\Temp\notesE1EF34\Final%20lender%20model_021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d.docs.live.net/Documents%20and%20Settings/sudesh/Desktop/TB%20aa/BS%20of%20ARL(V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0.54.61\Share%20PC%20Data\Q1%202003-04\InterimFinancial%20statements3006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er\E\MILIND\March%202012\March%2012%20-%20VEL%202012_ITR6_PR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01-04REL-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0.125.7.87\vsj\VSJ\EXCEL\I.Tax%20A.Y.2005-06\IT%20Return\REL\80IA%20working%20&amp;%20Computation%20TOR-AY%2005-06-Revised%2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docs.live.net/Documents%20and%20Settings/GAshish/Local%20Settings/Temp/HDFC/March%2006/Windermere/BS%20(Sachi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ocuments%20and%20Settings\gupta-vibhuti\Desktop\Project%20DOT%20Financial%20Model_Bond_v_7%20(%2023.2.09%2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fg%20VALU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nil\share_c\ANIL\CEP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nbangmeyfl01\assurance\VAIBHAV\wks\KOMET\ED148630\WKS\OKS\Bechem%20return%20FY99-20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erver\Navin%20Gupta\BASF%20-%20Mar%2006\Audit%20-%20Trial%20Balance%2005-06%20Cummulativ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server\word\Documents%20and%20Settings\deepakjain\Desktop\FSD\BGFL%20financial%20stat%20Marchr%20200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Gaurav%20personal/NGIPL%20TEV%20BY%20ANEESH%20JI%20REVIEWED/RKA%20WORKING/VIS%20(2023-24)-PL802-698-1088%20Financial%20Model%20-%20NGIPL.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olddata\tram\My%20Documents\taxaudit&amp;return\acyr9899\return\TXRTN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OSHI\MY%20DOCUMENTS\WINDOWS\Desktop\Manoj%20Gandhi\FINDRDEC.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SDFS1\ROOT\principl\Khanna\Righa%20Royal\Minuteman\Model\Boston.09.25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d.docs.live.net/finalisation07/ABNL%2007/BGFL%20financial%20stat%20March%202007-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d.docs.live.net/finalisation07/ABNL%2007/BSHEETMarch%2007%20(Worli).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8.53.133\idcpmg\ProjectControl\Integration\NSS\MOB\MOBPLAN\PPG_MOB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office/AppData/Local/Temp/Rar$DI00.070/AUDIT%20SCHEDULES%202005-06/CHARAN/REVISED%20MIS%20REPORT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kpserv\users-backup\Documents%20and%20Settings\DTA4041\My%20Documents\MIS%20FOR%202006-07\AUG-06\Balance%20Sheet%20(Au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Rohan\Rating%20Agencies\Mar%2006\CARE\10052007\MIS%20March%20Final%20to%20be%20Ciculat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pshroff.HNGGROUP/Desktop/Projections%2012082014/Feb%202015/Consolidated_MIS_Dec'14_final.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inghanand\PUR\Purchase%20Orders\PO%20Details\05-06\PO%20Details%2005-06%20(Master%20File).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5640%20Property%20(Fixed%20Assets)%20-%20Substantive%20Testing"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server\word\Documents%20and%20Settings\administrator\Local%20Settings\Temporary%20Internet%20Files\Content.IE5\7C88GHDK\march2002-tax%20account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so-9001\C\E&amp;Y%20Latest\C\FA_MARCH_2002_Final.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Startup" Target="Documents%20and%20Settings/valeriey/Desktop/Yip%20-%20RE/Vicwood%20Plaza/Vicwood%20Model%20(Completion)%20-%2031%20July%2020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Saravanan.Iyer/AppData/Local/Microsoft/Windows/INetCache/Content.Outlook/MDSAS1I0/CGPL_FM_26Jul%20for%20Pass%20through.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d.docs.live.net/Assignments%20-%20Dhiren/FSSL/DCF%20Detailed/FG.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V:\VBR_New\Under%20Process\HMEL\Financial%20Model\Final%20SBI%20model_20122012\HMEL_20_12_2012_sbi_finalwith%20sensitivities.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86720DD8\MSREF_V_Profitability_Analysis%20(Individual%20Investment)%206.13.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Users\IERS\Desktop\Final%20Models\Bank%20Statement_23th%20Feb%20201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1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Documents%20and%20Settings\iny0025542f\Desktop\Pools%20Selected\CFIL%20Pool%20july%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ch1\EMAIL\Performance\PERFORMANCE\ocm\Yearly_perf\OCMJAN2000.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Worksheet%20in%205340%20Accounts%20Receivable%20Test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ccts-lalit\lalith\Internal\Clients\Godrej\SBU-Chemicals\Incentives\June%201st\29May%20ICP%20meet,%20v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N:\Cvg40J\4&#31038;_&#20840;&#31038;&#36899;&#32080;&#24115;&#31080;&#65288;6&#26376;&#65289;\from&#12356;&#12426;&#12360;\990329\&#12521;&#12480;&#12540;\&#21336;&#65431;&#65408;&#65438;&#65392;&#37329;.xlw"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N:\cvg40j\&#36899;&#32080;\&#20986;&#21147;&#24115;&#31080;\&#36899;&#65431;&#65408;&#65438;&#65392;&#37329;.xlw"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Cvg40J\4&#31038;_&#20840;&#31038;&#36899;&#32080;&#24115;&#31080;&#65288;6&#26376;&#65289;\&#21336;&#20307;&#23550;&#39015;\&#20986;&#21147;&#24115;&#31080;\&#21336;&#65431;&#65408;&#65438;&#65392;&#37329;.xlw"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ddrivebkp\Amit\MIS\September\MIS2003-Aug.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N:\Documents%20and%20Settings\in00038784\Local%20Settings\Temporary%20Internet%20Files\OLK38B\CFIL%20Nov%2003\CFIL%20Pool%20Nov%202003%20with%20cashflows.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Startup" Target="ConsPro%20Financials/FS-Mum-Projections-new.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SHVAL\euro\New\workings-28Apri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nbangmeyfl01\assurance\SS11230\WKS\Novo\Nnas\Corporate%20tax%20return-nn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gfl\DATA1\Audit-F.Y.2003-04\24a%20&amp;%2024b%20-%20Site%20-%2014.08.0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SDFS1\ROOT\DOCUME~1\gkemp\LOCALS~1\Temp\1998\1KEMP\HOMES\20PINNAC\PAYMEN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N:\SHVAL\euro\jisco-Projection-021104-fordelloitt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HSA\PROJECTS\CONTROLLED%20ACCOUNTS\Lalitpur%20Power\2.Appraisal\PFSBU%20Analysis\Financial%20Model\Final%20model%20with%20PFSBU%20sheet.xls"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PathMissing" Target="Worksheet%20in%205440%20Stock%20analysi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30019606/AppData/Local/Microsoft/Windows/INetCache/Content.Outlook/667CYF7V/ATL%20Model%20Final%20Fitch%20review%20RN%20sheet%201-Feb-17%20v9.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docs.live.net/abhi/Business%20Development/Ethnic%20City/Ethnic%20City%20Margin%20Model%20ver2.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Startup" Target="RE/Jan%20Low/Investing/Grand%20Slam/Grand%20Slam%20Model%20(Revised)%20v2%20(case%20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SERVER\Data\Actpro%2099\clients\House%20of%20Coffees\Benchmarking\Peer%20Ratios%20&amp;%20Graph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Documents%20and%20Settings/rakshit/My%20Documents/HNG/IT%20Prov.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d.docs.live.net/MARCH-2004/Documents%20and%20Settings/MUKESHKT/Local%20Settings/Temporary%20Internet%20Files/OLK111/format-upload-sheet-branch%2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RENKETU\&#20250;&#31038;&#21029;\SFAS131\2004.06\&#21942;&#26989;&#21454;&#30410;Hyperio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d.docs.live.net/MARCH-2005/Documents%20and%20Settings/MUKESHKT/Local%20Settings/Temporary%20Internet%20Files/OLK111/format-upload-sheet-branch%2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docs.live.net/MARCH-2005/MARCH-2004/Documents%20and%20Settings/MUKESHKT/Local%20Settings/Temporary%20Internet%20Files/OLK111/format-upload-sheet-branch%2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489A6066\format-upload-sheet-branch%2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RENKETU\Secapp\&#31185;&#30446;&#20998;&#26512;&#12539;&#20316;&#25104;&#36039;&#26009;\&#25345;&#20998;&#27861;\&#25345;&#20998;&#27861;0503&#26399;\&#25345;&#20998;&#27861;0412\SECAFFI&#20869;&#35379;0412-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14.71.78\c\Documents%20and%20Settings\sivaguru\Local%20Settings\Temporary%20Internet%20Files\Content.IE5\OFXNYAJL\PP_Master%20Template.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ppshah/AppData/Local/Microsoft/Windows/Temporary%20Internet%20Files/Content.Outlook/0IEUW41V/Users/nssharma/Documents/HNGIL%20Projection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ppshah/AppData/Local/Microsoft/Windows/Temporary%20Internet%20Files/Content.Outlook/0IEUW41V/Users/ptibrewal/AppData/Local/Microsoft/Windows/Temporary%20Internet%20Files/Content.Outlook/VHQTUSVC/HNGFL%20Projections.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ppshah/AppData/Local/Microsoft/Windows/Temporary%20Internet%20Files/Content.Outlook/0IEUW41V/Documents%20and%20Settings/suda/Local%20Settings/Temporary%20Internet%20Files/OLK6/100722%20Surya%20-%20Financial%20model_USD%20v1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GRID%20Energy/Work/MSPGCL%20True%20Up%20Fy%202010-11/Earlier%20Orders/EXCEL%20MODELS%20FINAL/PwC_MSPGCL_20.12.201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Users/gurupdesh.cheema/Desktop/Adani%20Solar/Adani%20Solar%20-%20Tamil%20Nadu-%20Documents%20Set/3.%20KREL/2.%20SBI%20Appraisal%20Note%20&amp;%20Financial%20Model/FM%20-%20KREL_72%20MW%20-%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H.O"/>
      <sheetName val="R&amp;D BLR"/>
      <sheetName val="BELAPUR"/>
      <sheetName val="DERABASSI"/>
      <sheetName val="HOWRAH"/>
      <sheetName val="BLR PROD"/>
      <sheetName val="AKOLA"/>
      <sheetName val="LOTE"/>
      <sheetName val="IPPCO BHOPAL"/>
      <sheetName val="S BAD PROD"/>
      <sheetName val="LUCKNOW"/>
      <sheetName val="AHMEDABAD"/>
      <sheetName val="RANCHI"/>
      <sheetName val="PUNE"/>
      <sheetName val="DELHI"/>
      <sheetName val="CALCUTTA"/>
      <sheetName val="S BAD"/>
      <sheetName val="BANGLORE "/>
      <sheetName val="VIJAYW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y"/>
      <sheetName val="Tablexxxxx"/>
      <sheetName val="Bosideng global"/>
      <sheetName val="Bosideng New"/>
      <sheetName val="China"/>
      <sheetName val="Footwear"/>
      <sheetName val="Tablexxxx"/>
      <sheetName val="Drugstore"/>
      <sheetName val="Dept"/>
      <sheetName val="Chart"/>
      <sheetName val="China retail"/>
      <sheetName val="Specialty apparel"/>
      <sheetName val="EA"/>
      <sheetName val="Non cov comp"/>
      <sheetName val="Specialty apparel Giord"/>
      <sheetName val="Athletic footwear"/>
      <sheetName val="Top 20"/>
      <sheetName val="ALL"/>
      <sheetName val="Bloomberg"/>
      <sheetName val="Currency"/>
      <sheetName val="AEJ"/>
      <sheetName val="HK China EPS"/>
      <sheetName val="Asia Pacific"/>
      <sheetName val="Japan"/>
      <sheetName val="Europe"/>
      <sheetName val="Europe luxury"/>
      <sheetName val="US"/>
      <sheetName val="Drugstores"/>
      <sheetName val="RESUL"/>
    </sheetNames>
    <sheetDataSet>
      <sheetData sheetId="0"/>
      <sheetData sheetId="1" refreshError="1">
        <row r="6">
          <cell r="C6" t="str">
            <v>Yue Yuen Industrial (Holdings) Ltd.</v>
          </cell>
          <cell r="D6">
            <v>1.7215</v>
          </cell>
          <cell r="E6">
            <v>1.8162499999999999</v>
          </cell>
          <cell r="F6">
            <v>2.0154999999999998</v>
          </cell>
          <cell r="G6">
            <v>2.2257500000000001</v>
          </cell>
          <cell r="H6">
            <v>2.189905</v>
          </cell>
          <cell r="I6">
            <v>2.6073650000000002</v>
          </cell>
        </row>
        <row r="7">
          <cell r="C7" t="str">
            <v>Feng Tay Enterprise Co. Ltd.</v>
          </cell>
          <cell r="D7">
            <v>1.6452040000000001</v>
          </cell>
          <cell r="E7" t="str">
            <v>NA</v>
          </cell>
          <cell r="F7" t="str">
            <v>NA</v>
          </cell>
          <cell r="G7" t="str">
            <v>NA</v>
          </cell>
          <cell r="H7">
            <v>2.5925410000000002</v>
          </cell>
          <cell r="I7">
            <v>5.569369</v>
          </cell>
        </row>
        <row r="8">
          <cell r="C8" t="str">
            <v>Kingmaker Footwear Holdings Ltd.</v>
          </cell>
          <cell r="D8">
            <v>6.1639899999999997E-2</v>
          </cell>
          <cell r="E8">
            <v>7.7499999999999999E-2</v>
          </cell>
          <cell r="F8">
            <v>0.104</v>
          </cell>
          <cell r="G8" t="str">
            <v>NA</v>
          </cell>
          <cell r="H8">
            <v>-0.33168029999999998</v>
          </cell>
          <cell r="I8">
            <v>0.13530449999999999</v>
          </cell>
        </row>
        <row r="9">
          <cell r="C9" t="str">
            <v>Symphony Holdings Ltd.</v>
          </cell>
          <cell r="D9">
            <v>0.12451878</v>
          </cell>
          <cell r="E9">
            <v>9.9000000000000005E-2</v>
          </cell>
          <cell r="F9">
            <v>0.104</v>
          </cell>
          <cell r="G9">
            <v>0.13900000000000001</v>
          </cell>
          <cell r="H9">
            <v>-0.3770675</v>
          </cell>
          <cell r="I9">
            <v>0.1565347</v>
          </cell>
        </row>
        <row r="10">
          <cell r="C10" t="str">
            <v>Pegasus International Holdings Ltd.</v>
          </cell>
          <cell r="D10">
            <v>3.3174389999999998E-2</v>
          </cell>
          <cell r="E10" t="str">
            <v>NA</v>
          </cell>
          <cell r="F10" t="str">
            <v>NA</v>
          </cell>
          <cell r="G10" t="str">
            <v>NA</v>
          </cell>
          <cell r="H10">
            <v>0.19443779999999999</v>
          </cell>
          <cell r="I10">
            <v>0.1434686</v>
          </cell>
        </row>
        <row r="11">
          <cell r="C11" t="str">
            <v>Weiqiao Textile Co. Ltd.</v>
          </cell>
          <cell r="D11">
            <v>1.3777349999999999</v>
          </cell>
          <cell r="E11">
            <v>1.611164</v>
          </cell>
          <cell r="F11">
            <v>2.0780639999999999</v>
          </cell>
          <cell r="G11">
            <v>2.6514060000000002</v>
          </cell>
          <cell r="H11">
            <v>3.3727589999999998</v>
          </cell>
          <cell r="I11">
            <v>3.3252000000000002</v>
          </cell>
        </row>
        <row r="12">
          <cell r="C12" t="str">
            <v>Texwinca Holdings Ltd.</v>
          </cell>
          <cell r="D12">
            <v>0.44403949999999998</v>
          </cell>
          <cell r="E12">
            <v>0.52925</v>
          </cell>
          <cell r="F12">
            <v>0.62475000000000003</v>
          </cell>
          <cell r="G12">
            <v>0.73399999999999999</v>
          </cell>
          <cell r="H12">
            <v>0.59057029999999999</v>
          </cell>
          <cell r="I12">
            <v>0.72593209999999997</v>
          </cell>
        </row>
        <row r="13">
          <cell r="C13" t="str">
            <v>Fountain Set (Holdings) Ltd.</v>
          </cell>
          <cell r="D13">
            <v>0.34066669999999999</v>
          </cell>
          <cell r="E13">
            <v>0.27300000000000002</v>
          </cell>
          <cell r="F13">
            <v>0.33800000000000002</v>
          </cell>
          <cell r="G13" t="str">
            <v>NA</v>
          </cell>
          <cell r="H13">
            <v>2.1534</v>
          </cell>
          <cell r="I13">
            <v>0.85853060000000003</v>
          </cell>
        </row>
        <row r="14">
          <cell r="C14" t="str">
            <v>Victory City International Holdings Ltd.</v>
          </cell>
          <cell r="D14">
            <v>0.443884</v>
          </cell>
          <cell r="E14">
            <v>0.51975000000000005</v>
          </cell>
          <cell r="F14">
            <v>0.58250000000000002</v>
          </cell>
          <cell r="G14">
            <v>0.64449999999999996</v>
          </cell>
          <cell r="H14">
            <v>2.3806080000000001</v>
          </cell>
          <cell r="I14">
            <v>0.85521510000000001</v>
          </cell>
        </row>
        <row r="15">
          <cell r="C15" t="str">
            <v>Shenzhou International Group Holdings Ltd.</v>
          </cell>
          <cell r="D15">
            <v>0.30508600000000002</v>
          </cell>
          <cell r="E15">
            <v>0.42899999999999999</v>
          </cell>
          <cell r="F15">
            <v>0.51800000000000002</v>
          </cell>
          <cell r="G15">
            <v>0.63</v>
          </cell>
          <cell r="H15">
            <v>0.1299006</v>
          </cell>
          <cell r="I15">
            <v>0.44500650000000003</v>
          </cell>
        </row>
        <row r="16">
          <cell r="C16" t="str">
            <v>Luen Thai Holdings Ltd.</v>
          </cell>
          <cell r="D16">
            <v>1.9640729999999999E-2</v>
          </cell>
          <cell r="E16" t="str">
            <v>NA</v>
          </cell>
          <cell r="F16" t="str">
            <v>NA</v>
          </cell>
          <cell r="G16" t="str">
            <v>NA</v>
          </cell>
          <cell r="H16">
            <v>-0.30137320000000001</v>
          </cell>
          <cell r="I16">
            <v>0.24805720000000001</v>
          </cell>
        </row>
        <row r="17">
          <cell r="C17" t="str">
            <v>China Ting Group Holdings Ltd.</v>
          </cell>
          <cell r="D17">
            <v>0.19772999999999999</v>
          </cell>
          <cell r="E17">
            <v>0.223</v>
          </cell>
          <cell r="F17">
            <v>0.26400000000000001</v>
          </cell>
          <cell r="G17">
            <v>0.313</v>
          </cell>
          <cell r="H17">
            <v>-0.39613720000000002</v>
          </cell>
          <cell r="I17">
            <v>0.2369443</v>
          </cell>
        </row>
        <row r="18">
          <cell r="C18" t="str">
            <v>Tack Fat Group International Ltd.</v>
          </cell>
          <cell r="D18">
            <v>0.13985110000000001</v>
          </cell>
          <cell r="E18">
            <v>0.17749999999999999</v>
          </cell>
          <cell r="F18">
            <v>0.17199999999999999</v>
          </cell>
          <cell r="G18" t="str">
            <v>NA</v>
          </cell>
          <cell r="H18">
            <v>0.33326289999999997</v>
          </cell>
          <cell r="I18">
            <v>0.16587859999999999</v>
          </cell>
        </row>
        <row r="19">
          <cell r="C19" t="str">
            <v>Win Hanverky Holdings Ltd.</v>
          </cell>
          <cell r="D19">
            <v>0.20932780000000001</v>
          </cell>
          <cell r="E19">
            <v>0.25</v>
          </cell>
          <cell r="F19">
            <v>0.3</v>
          </cell>
          <cell r="G19">
            <v>0.33300000000000002</v>
          </cell>
          <cell r="H19">
            <v>-0.28689029999999999</v>
          </cell>
          <cell r="I19">
            <v>0.44754890000000003</v>
          </cell>
        </row>
        <row r="20">
          <cell r="C20" t="str">
            <v>Samson Holdings Ltd.</v>
          </cell>
          <cell r="D20">
            <v>0.29010659999999999</v>
          </cell>
          <cell r="E20">
            <v>0.21830289999999999</v>
          </cell>
          <cell r="F20">
            <v>0.27132450000000002</v>
          </cell>
          <cell r="G20">
            <v>0.30983189999999999</v>
          </cell>
          <cell r="H20">
            <v>-0.2450185</v>
          </cell>
          <cell r="I20">
            <v>0.33576260000000002</v>
          </cell>
        </row>
        <row r="21">
          <cell r="C21" t="str">
            <v>Kasen International Holdings Ltd.</v>
          </cell>
          <cell r="D21">
            <v>6.3255770000000003E-2</v>
          </cell>
          <cell r="E21">
            <v>9.024981E-2</v>
          </cell>
          <cell r="F21">
            <v>0.13630200000000001</v>
          </cell>
          <cell r="G21">
            <v>0.12000387</v>
          </cell>
          <cell r="H21">
            <v>0.70303420000000005</v>
          </cell>
          <cell r="I21">
            <v>0.2809972</v>
          </cell>
        </row>
        <row r="22">
          <cell r="C22" t="str">
            <v>Playmates Holdings Ltd.</v>
          </cell>
          <cell r="D22">
            <v>0.13915430000000001</v>
          </cell>
          <cell r="E22">
            <v>5.8999999999999997E-2</v>
          </cell>
          <cell r="F22">
            <v>7.6999999999999999E-2</v>
          </cell>
          <cell r="G22">
            <v>9.7000000000000003E-2</v>
          </cell>
          <cell r="H22">
            <v>-0.2102533</v>
          </cell>
          <cell r="I22">
            <v>0.1702835</v>
          </cell>
        </row>
        <row r="23">
          <cell r="C23" t="str">
            <v>HTL International Holdings Ltd.</v>
          </cell>
          <cell r="D23">
            <v>0.13043869999999999</v>
          </cell>
          <cell r="E23">
            <v>8.8999999999999996E-2</v>
          </cell>
          <cell r="F23">
            <v>9.5000000000000001E-2</v>
          </cell>
          <cell r="G23">
            <v>0.09</v>
          </cell>
          <cell r="H23">
            <v>3.878065E-2</v>
          </cell>
          <cell r="I23">
            <v>0.18784770000000001</v>
          </cell>
        </row>
        <row r="24">
          <cell r="C24" t="str">
            <v>EganaGoldpfeil (Holdings) Ltd.</v>
          </cell>
          <cell r="D24">
            <v>0.26700000000000002</v>
          </cell>
          <cell r="E24">
            <v>0.32374999999999998</v>
          </cell>
          <cell r="F24">
            <v>0.40308329999999998</v>
          </cell>
          <cell r="G24" t="str">
            <v>NA</v>
          </cell>
          <cell r="H24">
            <v>0.90272370000000002</v>
          </cell>
          <cell r="I24">
            <v>0.4371719</v>
          </cell>
        </row>
        <row r="25">
          <cell r="C25" t="str">
            <v>LIFESTYLE INTERNAT HKD0.005</v>
          </cell>
          <cell r="D25">
            <v>0.43643739999999998</v>
          </cell>
          <cell r="E25">
            <v>0.54</v>
          </cell>
          <cell r="F25">
            <v>0.59599999999999997</v>
          </cell>
          <cell r="G25">
            <v>0.68</v>
          </cell>
          <cell r="H25">
            <v>-0.7280335</v>
          </cell>
          <cell r="I25">
            <v>0.62739149999999999</v>
          </cell>
        </row>
        <row r="26">
          <cell r="C26" t="str">
            <v>Sa Sa International Holdings Ltd.</v>
          </cell>
          <cell r="D26">
            <v>0.1559065</v>
          </cell>
          <cell r="E26">
            <v>0.17224999999999999</v>
          </cell>
          <cell r="F26">
            <v>0.19825000000000001</v>
          </cell>
          <cell r="G26">
            <v>0.24424999999999999</v>
          </cell>
          <cell r="H26">
            <v>-0.51043119999999997</v>
          </cell>
          <cell r="I26">
            <v>0.2454703</v>
          </cell>
        </row>
        <row r="27">
          <cell r="C27" t="str">
            <v>I.T Ltd.</v>
          </cell>
          <cell r="D27">
            <v>0.11774886</v>
          </cell>
          <cell r="E27">
            <v>0.1483333</v>
          </cell>
          <cell r="F27">
            <v>0.1773333</v>
          </cell>
          <cell r="G27">
            <v>0.20866670000000001</v>
          </cell>
          <cell r="H27">
            <v>-0.3628575</v>
          </cell>
          <cell r="I27">
            <v>0.19844029999999999</v>
          </cell>
        </row>
        <row r="28">
          <cell r="C28" t="str">
            <v>Dickson Concepts (International) Ltd.</v>
          </cell>
          <cell r="D28">
            <v>0.61786079999999999</v>
          </cell>
          <cell r="E28">
            <v>0.63149999999999995</v>
          </cell>
          <cell r="F28">
            <v>0.75749999999999995</v>
          </cell>
          <cell r="G28">
            <v>0.83950000000000002</v>
          </cell>
          <cell r="H28">
            <v>-0.37373390000000001</v>
          </cell>
          <cell r="I28">
            <v>1.044333</v>
          </cell>
        </row>
        <row r="29">
          <cell r="C29" t="str">
            <v>Convenience Retail Asia Ltd.</v>
          </cell>
          <cell r="D29">
            <v>0.11083937000000001</v>
          </cell>
          <cell r="E29">
            <v>0.152</v>
          </cell>
          <cell r="F29">
            <v>0.217</v>
          </cell>
          <cell r="G29">
            <v>0.26800000000000002</v>
          </cell>
          <cell r="H29">
            <v>-0.7707792</v>
          </cell>
          <cell r="I29">
            <v>0.1847876</v>
          </cell>
        </row>
        <row r="30">
          <cell r="C30" t="str">
            <v>Giordano International Ltd.</v>
          </cell>
          <cell r="D30">
            <v>0.13750519999999999</v>
          </cell>
          <cell r="E30">
            <v>0.20799999999999999</v>
          </cell>
          <cell r="F30">
            <v>0.25</v>
          </cell>
          <cell r="G30">
            <v>0.26600000000000001</v>
          </cell>
          <cell r="H30">
            <v>-0.44605349999999999</v>
          </cell>
          <cell r="I30">
            <v>0.33515859999999997</v>
          </cell>
        </row>
        <row r="31">
          <cell r="C31" t="str">
            <v>Mirabell International Holdings Ltd.</v>
          </cell>
          <cell r="D31">
            <v>7.3170780000000005E-2</v>
          </cell>
          <cell r="E31" t="str">
            <v>NA</v>
          </cell>
          <cell r="F31" t="str">
            <v>NA</v>
          </cell>
          <cell r="G31" t="str">
            <v>NA</v>
          </cell>
          <cell r="H31">
            <v>-5.9659650000000002E-2</v>
          </cell>
          <cell r="I31">
            <v>0.34839589999999998</v>
          </cell>
        </row>
        <row r="32">
          <cell r="C32" t="str">
            <v>Chow Sang Sang Holdings International Ltd.</v>
          </cell>
          <cell r="D32">
            <v>0.49315199999999998</v>
          </cell>
          <cell r="E32">
            <v>0.58499999999999996</v>
          </cell>
          <cell r="F32">
            <v>0.73099999999999998</v>
          </cell>
          <cell r="G32">
            <v>0.92400000000000004</v>
          </cell>
          <cell r="H32">
            <v>-0.9084911</v>
          </cell>
          <cell r="I32">
            <v>0.70390249999999999</v>
          </cell>
        </row>
        <row r="33">
          <cell r="C33" t="str">
            <v>Bossini International Holdings Ltd.</v>
          </cell>
          <cell r="D33">
            <v>2.6170570000000001E-2</v>
          </cell>
          <cell r="E33">
            <v>1.975E-2</v>
          </cell>
          <cell r="F33" t="str">
            <v>NA</v>
          </cell>
          <cell r="G33" t="str">
            <v>NA</v>
          </cell>
          <cell r="H33">
            <v>-0.11054106</v>
          </cell>
          <cell r="I33">
            <v>7.8897410000000001E-2</v>
          </cell>
        </row>
        <row r="34">
          <cell r="C34" t="str">
            <v>Wumart Stores Inc.</v>
          </cell>
          <cell r="D34">
            <v>0.1698596</v>
          </cell>
          <cell r="E34">
            <v>0.24408469999999999</v>
          </cell>
          <cell r="F34">
            <v>0.3364279</v>
          </cell>
          <cell r="G34">
            <v>0.43473099999999998</v>
          </cell>
          <cell r="H34">
            <v>-0.59859519999999999</v>
          </cell>
          <cell r="I34">
            <v>0.33696660000000001</v>
          </cell>
        </row>
        <row r="35">
          <cell r="C35" t="str">
            <v>Lianhua Supermarket Holdings Co. Ltd.</v>
          </cell>
          <cell r="D35">
            <v>0.37923820000000003</v>
          </cell>
          <cell r="E35">
            <v>0.44817240000000003</v>
          </cell>
          <cell r="F35">
            <v>0.57766070000000003</v>
          </cell>
          <cell r="G35">
            <v>0.71662689999999996</v>
          </cell>
          <cell r="H35">
            <v>-4.0510390000000003</v>
          </cell>
          <cell r="I35">
            <v>1.168431</v>
          </cell>
        </row>
        <row r="36">
          <cell r="C36" t="str">
            <v>Beijing Jingkelong Co. Ltd.</v>
          </cell>
          <cell r="D36">
            <v>0.25277529999999998</v>
          </cell>
          <cell r="E36">
            <v>0.30151640000000002</v>
          </cell>
          <cell r="F36">
            <v>0.48787449999999999</v>
          </cell>
          <cell r="G36" t="str">
            <v>NA</v>
          </cell>
          <cell r="H36">
            <v>0.37515349999999997</v>
          </cell>
          <cell r="I36">
            <v>1.0023880000000001</v>
          </cell>
        </row>
        <row r="37">
          <cell r="C37" t="str">
            <v>Ports Design Ltd.</v>
          </cell>
          <cell r="D37">
            <v>0.45182610000000001</v>
          </cell>
          <cell r="E37">
            <v>0.63300000000000001</v>
          </cell>
          <cell r="F37">
            <v>0.80200000000000005</v>
          </cell>
          <cell r="G37">
            <v>0.995</v>
          </cell>
          <cell r="H37">
            <v>-0.73379649999999996</v>
          </cell>
          <cell r="I37">
            <v>0.56649550000000004</v>
          </cell>
        </row>
        <row r="38">
          <cell r="C38" t="str">
            <v>Hongguo International Holdings Ltd.</v>
          </cell>
          <cell r="D38">
            <v>4.5348380000000001E-2</v>
          </cell>
          <cell r="E38">
            <v>5.6000000000000001E-2</v>
          </cell>
          <cell r="F38">
            <v>6.8000000000000005E-2</v>
          </cell>
          <cell r="G38">
            <v>0.09</v>
          </cell>
          <cell r="H38">
            <v>-1.8970379999999998E-2</v>
          </cell>
          <cell r="I38">
            <v>6.0752250000000001E-2</v>
          </cell>
        </row>
        <row r="39">
          <cell r="C39" t="str">
            <v>Xinyu Hengdeli Holdings Ltd.</v>
          </cell>
          <cell r="D39">
            <v>7.8238000000000002E-2</v>
          </cell>
          <cell r="E39">
            <v>0.13200000000000001</v>
          </cell>
          <cell r="F39">
            <v>0.18</v>
          </cell>
          <cell r="G39">
            <v>0.249</v>
          </cell>
          <cell r="H39">
            <v>1.3916984E-2</v>
          </cell>
          <cell r="I39">
            <v>7.4121489999999998E-2</v>
          </cell>
        </row>
        <row r="40">
          <cell r="C40" t="str">
            <v>Peace Mark (Holdings) Ltd.</v>
          </cell>
          <cell r="D40">
            <v>0.277451</v>
          </cell>
          <cell r="E40">
            <v>0.38174999999999998</v>
          </cell>
          <cell r="F40">
            <v>0.52424999999999999</v>
          </cell>
          <cell r="G40">
            <v>0.70699999999999996</v>
          </cell>
          <cell r="H40">
            <v>0.40683819999999998</v>
          </cell>
          <cell r="I40">
            <v>0.49440200000000001</v>
          </cell>
        </row>
        <row r="41">
          <cell r="C41" t="str">
            <v>Aussino Group Ltd.</v>
          </cell>
          <cell r="D41">
            <v>4.0584469999999997E-2</v>
          </cell>
          <cell r="E41" t="str">
            <v>NA</v>
          </cell>
          <cell r="F41" t="str">
            <v>NA</v>
          </cell>
          <cell r="G41" t="str">
            <v>NA</v>
          </cell>
          <cell r="H41">
            <v>-5.2838570000000001E-2</v>
          </cell>
          <cell r="I41">
            <v>5.7857060000000002E-2</v>
          </cell>
        </row>
        <row r="42">
          <cell r="C42" t="str">
            <v>Tingyi (Cayman Islands) Holding Corp.</v>
          </cell>
          <cell r="D42">
            <v>0.207035</v>
          </cell>
          <cell r="E42">
            <v>0.27287869999999997</v>
          </cell>
          <cell r="F42">
            <v>0.31008520000000001</v>
          </cell>
          <cell r="G42">
            <v>0.37954399999999999</v>
          </cell>
          <cell r="H42">
            <v>9.9616259999999998E-2</v>
          </cell>
          <cell r="I42">
            <v>0.48821910000000002</v>
          </cell>
        </row>
        <row r="43">
          <cell r="C43" t="str">
            <v>Synear Food Holdings Ltd.</v>
          </cell>
          <cell r="D43">
            <v>6.4495179999999999E-2</v>
          </cell>
          <cell r="E43">
            <v>8.3606520000000004E-2</v>
          </cell>
          <cell r="F43">
            <v>9.8001560000000001E-2</v>
          </cell>
          <cell r="G43">
            <v>0.131471</v>
          </cell>
          <cell r="H43">
            <v>-0.12302352</v>
          </cell>
          <cell r="I43">
            <v>8.8101120000000005E-2</v>
          </cell>
        </row>
        <row r="44">
          <cell r="C44" t="str">
            <v>China Huiyuan Juice Group Ltd.</v>
          </cell>
          <cell r="D44">
            <v>0.13836889999999999</v>
          </cell>
          <cell r="E44">
            <v>0.32202779999999998</v>
          </cell>
          <cell r="F44">
            <v>0.33534609999999998</v>
          </cell>
          <cell r="G44">
            <v>0.45284479999999999</v>
          </cell>
          <cell r="H44">
            <v>0.4855989</v>
          </cell>
          <cell r="I44">
            <v>0.26770050000000001</v>
          </cell>
        </row>
        <row r="45">
          <cell r="C45" t="str">
            <v>Hengan International Group Co. Ltd.</v>
          </cell>
          <cell r="D45">
            <v>0.6445649</v>
          </cell>
          <cell r="E45">
            <v>0.83899999999999997</v>
          </cell>
          <cell r="F45">
            <v>1.0740000000000001</v>
          </cell>
          <cell r="G45">
            <v>1.3520000000000001</v>
          </cell>
          <cell r="H45">
            <v>0.69436469999999995</v>
          </cell>
          <cell r="I45">
            <v>1.016265</v>
          </cell>
        </row>
        <row r="46">
          <cell r="C46" t="str">
            <v>China Green (Holdings) Ltd.</v>
          </cell>
          <cell r="D46">
            <v>0.38661299999999998</v>
          </cell>
          <cell r="E46">
            <v>0.502</v>
          </cell>
          <cell r="F46">
            <v>0.61633340000000003</v>
          </cell>
          <cell r="G46">
            <v>0.74033329999999997</v>
          </cell>
          <cell r="H46">
            <v>-0.99979249999999997</v>
          </cell>
          <cell r="I46">
            <v>0.46144679999999999</v>
          </cell>
        </row>
        <row r="47">
          <cell r="C47" t="str">
            <v>Vitasoy International Holdings Ltd.</v>
          </cell>
          <cell r="D47">
            <v>0.1723925</v>
          </cell>
          <cell r="E47">
            <v>0.19700000000000001</v>
          </cell>
          <cell r="F47">
            <v>0.23050000000000001</v>
          </cell>
          <cell r="G47" t="str">
            <v>NA</v>
          </cell>
          <cell r="H47">
            <v>-0.35193550000000001</v>
          </cell>
          <cell r="I47">
            <v>0.3524255</v>
          </cell>
        </row>
        <row r="48">
          <cell r="C48" t="str">
            <v>Want Want Holdings</v>
          </cell>
          <cell r="D48">
            <v>9.9611779999999997E-2</v>
          </cell>
          <cell r="E48" t="str">
            <v>NA</v>
          </cell>
          <cell r="F48" t="str">
            <v>NA</v>
          </cell>
          <cell r="G48" t="str">
            <v>NA</v>
          </cell>
          <cell r="H48">
            <v>4.6661660000000001E-2</v>
          </cell>
          <cell r="I48">
            <v>0.15038650000000001</v>
          </cell>
        </row>
        <row r="49">
          <cell r="C49" t="str">
            <v>Celestial NutriFoods Ltd.</v>
          </cell>
          <cell r="D49">
            <v>0.11547681999999999</v>
          </cell>
          <cell r="E49">
            <v>0.12</v>
          </cell>
          <cell r="F49">
            <v>0.14199999999999999</v>
          </cell>
          <cell r="G49">
            <v>0.161</v>
          </cell>
          <cell r="H49">
            <v>-0.11281458</v>
          </cell>
          <cell r="I49">
            <v>0.13879169999999999</v>
          </cell>
        </row>
        <row r="50">
          <cell r="C50" t="str">
            <v>Hsu Fu Chi International Ltd.</v>
          </cell>
          <cell r="D50">
            <v>5.8305639999999999E-2</v>
          </cell>
          <cell r="E50">
            <v>7.0999999999999994E-2</v>
          </cell>
          <cell r="F50">
            <v>8.0500000000000002E-2</v>
          </cell>
          <cell r="G50">
            <v>9.7000000000000003E-2</v>
          </cell>
          <cell r="H50">
            <v>-9.4141780000000005E-3</v>
          </cell>
          <cell r="I50">
            <v>0.10720923</v>
          </cell>
        </row>
        <row r="51">
          <cell r="C51" t="str">
            <v>Wei-Chuan Foods Corp.</v>
          </cell>
          <cell r="D51">
            <v>0.93100850000000002</v>
          </cell>
          <cell r="E51" t="str">
            <v>NA</v>
          </cell>
          <cell r="F51" t="str">
            <v>NA</v>
          </cell>
          <cell r="G51" t="str">
            <v>NA</v>
          </cell>
          <cell r="H51">
            <v>5.4714390000000002</v>
          </cell>
          <cell r="I51">
            <v>2.3586079999999998</v>
          </cell>
        </row>
        <row r="52">
          <cell r="C52" t="str">
            <v>Tsingtao Brewery Co H HKD</v>
          </cell>
          <cell r="D52">
            <v>0.33425349999999998</v>
          </cell>
          <cell r="E52">
            <v>0.46150469999999999</v>
          </cell>
          <cell r="F52">
            <v>0.59064190000000005</v>
          </cell>
          <cell r="G52">
            <v>0.8513482</v>
          </cell>
          <cell r="H52">
            <v>-0.15698999999999999</v>
          </cell>
          <cell r="I52">
            <v>0.90279279999999995</v>
          </cell>
        </row>
        <row r="53">
          <cell r="C53" t="str">
            <v>Kingway Brewery Holdings Ltd.</v>
          </cell>
          <cell r="D53">
            <v>7.4520100000000006E-2</v>
          </cell>
          <cell r="E53">
            <v>6.5000000000000002E-2</v>
          </cell>
          <cell r="F53">
            <v>5.5E-2</v>
          </cell>
          <cell r="G53">
            <v>7.4999999999999997E-2</v>
          </cell>
          <cell r="H53">
            <v>0.23592170000000001</v>
          </cell>
          <cell r="I53">
            <v>0.1605028</v>
          </cell>
        </row>
        <row r="54">
          <cell r="C54" t="str">
            <v>Global Bio-Chem Technology Group Co. Ltd.</v>
          </cell>
          <cell r="D54">
            <v>0.21615380000000001</v>
          </cell>
          <cell r="E54">
            <v>0.27800000000000002</v>
          </cell>
          <cell r="F54">
            <v>0.32</v>
          </cell>
          <cell r="G54">
            <v>0.377</v>
          </cell>
          <cell r="H54">
            <v>1.000696</v>
          </cell>
          <cell r="I54">
            <v>0.45688800000000002</v>
          </cell>
        </row>
        <row r="55">
          <cell r="C55" t="str">
            <v>China Flavors &amp; Fragrances Co. Ltd.</v>
          </cell>
          <cell r="D55">
            <v>0.16543939999999999</v>
          </cell>
          <cell r="E55">
            <v>0.22459899999999999</v>
          </cell>
          <cell r="F55">
            <v>0.27368569999999998</v>
          </cell>
          <cell r="G55">
            <v>0.3407657</v>
          </cell>
          <cell r="H55">
            <v>-0.53029510000000002</v>
          </cell>
          <cell r="I55">
            <v>0.24292320000000001</v>
          </cell>
        </row>
        <row r="56">
          <cell r="C56" t="str">
            <v>Fufeng Group Ltd.</v>
          </cell>
          <cell r="D56">
            <v>0.1956638</v>
          </cell>
          <cell r="E56">
            <v>9.2999999999999999E-2</v>
          </cell>
          <cell r="F56">
            <v>0.114</v>
          </cell>
          <cell r="G56" t="str">
            <v>NA</v>
          </cell>
          <cell r="H56">
            <v>0.55736479999999999</v>
          </cell>
          <cell r="I56">
            <v>0.26588719999999999</v>
          </cell>
        </row>
        <row r="57">
          <cell r="C57" t="str">
            <v>Huabao International Holdings Ltd.</v>
          </cell>
          <cell r="D57">
            <v>0.1317363</v>
          </cell>
          <cell r="E57">
            <v>0.23125000000000001</v>
          </cell>
          <cell r="F57">
            <v>0.29675000000000001</v>
          </cell>
          <cell r="G57">
            <v>0.36825000000000002</v>
          </cell>
          <cell r="H57">
            <v>-0.21398519999999999</v>
          </cell>
          <cell r="I57">
            <v>0.14616209999999999</v>
          </cell>
        </row>
        <row r="58">
          <cell r="C58" t="str">
            <v>Xiwang Sugar Holdings Co. Ltd.</v>
          </cell>
          <cell r="D58">
            <v>0.3424104</v>
          </cell>
          <cell r="E58">
            <v>0.34048790000000001</v>
          </cell>
          <cell r="F58">
            <v>0.47813870000000003</v>
          </cell>
          <cell r="G58">
            <v>0.53209260000000003</v>
          </cell>
          <cell r="H58">
            <v>0.2459963</v>
          </cell>
          <cell r="I58">
            <v>0.41783690000000001</v>
          </cell>
        </row>
        <row r="59">
          <cell r="C59" t="str">
            <v>Vedan International (Holdings) Ltd.</v>
          </cell>
          <cell r="D59">
            <v>5.5690999999999997E-2</v>
          </cell>
          <cell r="E59">
            <v>7.8E-2</v>
          </cell>
          <cell r="F59">
            <v>8.5999999999999993E-2</v>
          </cell>
          <cell r="G59" t="str">
            <v>NA</v>
          </cell>
          <cell r="H59">
            <v>0.2863097</v>
          </cell>
          <cell r="I59">
            <v>0.25173960000000001</v>
          </cell>
        </row>
        <row r="60">
          <cell r="C60" t="str">
            <v>China Sun Bio-Chem Technology Group Co. Ltd.</v>
          </cell>
          <cell r="D60">
            <v>6.9107940000000007E-2</v>
          </cell>
          <cell r="E60">
            <v>7.2999999999999995E-2</v>
          </cell>
          <cell r="F60">
            <v>9.8000000000000004E-2</v>
          </cell>
          <cell r="G60">
            <v>0.11700000000000001</v>
          </cell>
          <cell r="H60">
            <v>-0.12345415</v>
          </cell>
          <cell r="I60">
            <v>9.9311679999999999E-2</v>
          </cell>
        </row>
        <row r="61">
          <cell r="C61" t="str">
            <v>Asian Citrus Holdings Ltd.</v>
          </cell>
          <cell r="D61" t="str">
            <v>NA</v>
          </cell>
          <cell r="E61">
            <v>0.27223950000000002</v>
          </cell>
          <cell r="F61">
            <v>0.34927000000000002</v>
          </cell>
          <cell r="G61" t="str">
            <v>NA</v>
          </cell>
          <cell r="H61" t="str">
            <v>NA</v>
          </cell>
          <cell r="I61" t="str">
            <v>NA</v>
          </cell>
        </row>
        <row r="62">
          <cell r="C62" t="str">
            <v>China Milk Products Group Ltd.</v>
          </cell>
          <cell r="D62">
            <v>9.4375210000000001E-2</v>
          </cell>
          <cell r="E62">
            <v>0.1167711</v>
          </cell>
          <cell r="F62">
            <v>0.14695159999999999</v>
          </cell>
          <cell r="G62">
            <v>0.15498529999999999</v>
          </cell>
          <cell r="H62">
            <v>-0.15623799999999999</v>
          </cell>
          <cell r="I62">
            <v>0.1068629</v>
          </cell>
        </row>
        <row r="63">
          <cell r="C63" t="str">
            <v>Wuliangye Yibin Co. Ltd.</v>
          </cell>
          <cell r="D63">
            <v>0.308253</v>
          </cell>
          <cell r="E63">
            <v>0.435</v>
          </cell>
          <cell r="F63">
            <v>0.61099999999999999</v>
          </cell>
          <cell r="G63">
            <v>0.77500000000000002</v>
          </cell>
          <cell r="H63">
            <v>-0.73629409999999995</v>
          </cell>
          <cell r="I63">
            <v>0.59446600000000005</v>
          </cell>
        </row>
        <row r="64">
          <cell r="C64" t="str">
            <v>Luzhou Lao Jiao Co. Ltd.</v>
          </cell>
          <cell r="D64">
            <v>0.29714610000000002</v>
          </cell>
          <cell r="E64">
            <v>0.76300000000000001</v>
          </cell>
          <cell r="F64">
            <v>1.1850000000000001</v>
          </cell>
          <cell r="G64">
            <v>1.3759999999999999</v>
          </cell>
          <cell r="H64">
            <v>-0.3744265</v>
          </cell>
          <cell r="I64">
            <v>0.52039000000000002</v>
          </cell>
        </row>
        <row r="65">
          <cell r="C65" t="str">
            <v>Shanxi Xinghuacun Fen Wine Factory Co. Ltd.</v>
          </cell>
          <cell r="D65">
            <v>0.60363069999999996</v>
          </cell>
          <cell r="E65">
            <v>0.85599999999999998</v>
          </cell>
          <cell r="F65">
            <v>1.1200000000000001</v>
          </cell>
          <cell r="G65">
            <v>1.496</v>
          </cell>
          <cell r="H65">
            <v>-0.89037200000000005</v>
          </cell>
          <cell r="I65">
            <v>1.2211639999999999</v>
          </cell>
        </row>
        <row r="66">
          <cell r="C66" t="str">
            <v>Sichuan Swellfun Co. Ltd.</v>
          </cell>
          <cell r="D66">
            <v>0.20647399999999999</v>
          </cell>
          <cell r="E66">
            <v>0.315</v>
          </cell>
          <cell r="F66">
            <v>0.45500000000000002</v>
          </cell>
          <cell r="G66">
            <v>0.63</v>
          </cell>
          <cell r="H66">
            <v>-0.18967519999999999</v>
          </cell>
          <cell r="I66">
            <v>0.54924240000000002</v>
          </cell>
        </row>
        <row r="67">
          <cell r="C67" t="str">
            <v>Zhejiang Guyuelongshan Shaoxing Wine Co. Ltd.</v>
          </cell>
          <cell r="D67">
            <v>0.1388875</v>
          </cell>
          <cell r="E67">
            <v>0.45200000000000001</v>
          </cell>
          <cell r="F67">
            <v>0.504</v>
          </cell>
          <cell r="G67">
            <v>0.76700000000000002</v>
          </cell>
          <cell r="H67">
            <v>2.3704040000000002</v>
          </cell>
          <cell r="I67">
            <v>0.70990120000000001</v>
          </cell>
        </row>
        <row r="68">
          <cell r="C68" t="str">
            <v>Jiugui Liquor Co. Ltd.</v>
          </cell>
          <cell r="D68">
            <v>-0.77228839999999999</v>
          </cell>
          <cell r="E68" t="str">
            <v>NA</v>
          </cell>
          <cell r="F68" t="str">
            <v>NA</v>
          </cell>
          <cell r="G68" t="str">
            <v>NA</v>
          </cell>
          <cell r="H68">
            <v>0.7807887</v>
          </cell>
          <cell r="I68">
            <v>-0.56023429999999996</v>
          </cell>
        </row>
        <row r="69">
          <cell r="C69" t="str">
            <v>Xinjiang Yilite Industry Co. Ltd.</v>
          </cell>
          <cell r="D69">
            <v>0.21998870000000001</v>
          </cell>
          <cell r="E69" t="str">
            <v>NA</v>
          </cell>
          <cell r="F69" t="str">
            <v>NA</v>
          </cell>
          <cell r="G69" t="str">
            <v>NA</v>
          </cell>
          <cell r="H69">
            <v>-0.27303630000000001</v>
          </cell>
          <cell r="I69">
            <v>0.29407709999999998</v>
          </cell>
        </row>
        <row r="70">
          <cell r="C70" t="str">
            <v>Sichuan Tuopai Yeast Liquor Co. Ltd.</v>
          </cell>
          <cell r="D70">
            <v>5.9119480000000002E-2</v>
          </cell>
          <cell r="E70">
            <v>0.19900000000000001</v>
          </cell>
          <cell r="F70">
            <v>0.41299999999999998</v>
          </cell>
          <cell r="G70">
            <v>0.66900000000000004</v>
          </cell>
          <cell r="H70">
            <v>1.474</v>
          </cell>
          <cell r="I70">
            <v>0.29050399999999998</v>
          </cell>
        </row>
        <row r="71">
          <cell r="C71" t="str">
            <v>Guangxia (Yinchuan) Industry Co. Ltd.</v>
          </cell>
          <cell r="D71">
            <v>-3.0974999999999999E-2</v>
          </cell>
          <cell r="E71" t="str">
            <v>NA</v>
          </cell>
          <cell r="F71" t="str">
            <v>NA</v>
          </cell>
          <cell r="G71" t="str">
            <v>NA</v>
          </cell>
          <cell r="H71">
            <v>0.44790750000000001</v>
          </cell>
          <cell r="I71">
            <v>-9.0065230000000007E-3</v>
          </cell>
        </row>
        <row r="72">
          <cell r="C72" t="str">
            <v>Tonghua Grape Wine Co. Ltd.</v>
          </cell>
          <cell r="D72">
            <v>8.3499999999999998E-3</v>
          </cell>
          <cell r="E72" t="str">
            <v>NA</v>
          </cell>
          <cell r="F72" t="str">
            <v>NA</v>
          </cell>
          <cell r="G72" t="str">
            <v>NA</v>
          </cell>
          <cell r="H72">
            <v>-0.17712140000000001</v>
          </cell>
          <cell r="I72">
            <v>8.6514289999999994E-2</v>
          </cell>
        </row>
        <row r="73">
          <cell r="C73" t="str">
            <v>Gansu Huangtai Wine-Marketing Industry Co. Ltd.</v>
          </cell>
          <cell r="D73">
            <v>1.1374908E-2</v>
          </cell>
          <cell r="E73" t="str">
            <v>NA</v>
          </cell>
          <cell r="F73" t="str">
            <v>NA</v>
          </cell>
          <cell r="G73" t="str">
            <v>NA</v>
          </cell>
          <cell r="H73">
            <v>0.62744630000000001</v>
          </cell>
          <cell r="I73">
            <v>0.12697849999999999</v>
          </cell>
        </row>
        <row r="74">
          <cell r="C74" t="str">
            <v>Hebei Yufeng Industry Co. Ltd.</v>
          </cell>
          <cell r="D74">
            <v>2.2007140000000001E-2</v>
          </cell>
          <cell r="E74">
            <v>0.18</v>
          </cell>
          <cell r="F74">
            <v>0.44</v>
          </cell>
          <cell r="G74">
            <v>0.55000000000000004</v>
          </cell>
          <cell r="H74">
            <v>1.7773289999999999</v>
          </cell>
          <cell r="I74">
            <v>0.39111430000000003</v>
          </cell>
        </row>
        <row r="75">
          <cell r="C75" t="str">
            <v>Shandong Hiking International Co. Ltd.</v>
          </cell>
          <cell r="D75">
            <v>-0.19697319999999999</v>
          </cell>
          <cell r="E75" t="str">
            <v>NA</v>
          </cell>
          <cell r="F75" t="str">
            <v>NA</v>
          </cell>
          <cell r="G75" t="str">
            <v>NA</v>
          </cell>
          <cell r="H75">
            <v>0.24485680000000001</v>
          </cell>
          <cell r="I75">
            <v>-0.14569840000000001</v>
          </cell>
        </row>
        <row r="76">
          <cell r="C76" t="str">
            <v>Beijing Yanjing Brewery Co. Ltd.</v>
          </cell>
          <cell r="D76">
            <v>0.27896219999999999</v>
          </cell>
          <cell r="E76">
            <v>0.34</v>
          </cell>
          <cell r="F76">
            <v>0.41</v>
          </cell>
          <cell r="G76">
            <v>0.49099999999999999</v>
          </cell>
          <cell r="H76">
            <v>0.8092374</v>
          </cell>
          <cell r="I76">
            <v>0.9137419</v>
          </cell>
        </row>
        <row r="77">
          <cell r="C77" t="str">
            <v>Chongqing Brewery Co. Ltd.</v>
          </cell>
          <cell r="D77">
            <v>0.39843610000000002</v>
          </cell>
          <cell r="E77">
            <v>0.46200000000000002</v>
          </cell>
          <cell r="F77">
            <v>0.53700000000000003</v>
          </cell>
          <cell r="G77" t="str">
            <v>NA</v>
          </cell>
          <cell r="H77">
            <v>1.208153</v>
          </cell>
          <cell r="I77">
            <v>0.94594339999999999</v>
          </cell>
        </row>
        <row r="78">
          <cell r="C78" t="str">
            <v>Fujian Yanjing Huiquan Brewery Co. Ltd.</v>
          </cell>
          <cell r="D78">
            <v>0.14026</v>
          </cell>
          <cell r="E78" t="str">
            <v>NA</v>
          </cell>
          <cell r="F78" t="str">
            <v>NA</v>
          </cell>
          <cell r="G78" t="str">
            <v>NA</v>
          </cell>
          <cell r="H78">
            <v>-7.6691999999999996E-2</v>
          </cell>
          <cell r="I78">
            <v>0.63185199999999997</v>
          </cell>
        </row>
        <row r="79">
          <cell r="C79" t="str">
            <v>Lanzhou Huanghe Enterprise Co. Ltd.</v>
          </cell>
          <cell r="D79">
            <v>8.2750599999999994E-2</v>
          </cell>
          <cell r="E79" t="str">
            <v>NA</v>
          </cell>
          <cell r="F79" t="str">
            <v>NA</v>
          </cell>
          <cell r="G79" t="str">
            <v>NA</v>
          </cell>
          <cell r="H79">
            <v>0.55744150000000003</v>
          </cell>
          <cell r="I79">
            <v>0.4945232</v>
          </cell>
        </row>
        <row r="80">
          <cell r="C80" t="str">
            <v>Tibet Galaxy Science &amp; Technology Development Co. Ltd.</v>
          </cell>
          <cell r="D80">
            <v>3.3578700000000003E-2</v>
          </cell>
          <cell r="E80" t="str">
            <v>NA</v>
          </cell>
          <cell r="F80" t="str">
            <v>NA</v>
          </cell>
          <cell r="G80" t="str">
            <v>NA</v>
          </cell>
          <cell r="H80">
            <v>0.10564458</v>
          </cell>
          <cell r="I80">
            <v>0.1839056</v>
          </cell>
        </row>
        <row r="81">
          <cell r="C81" t="str">
            <v>VV Food &amp; Beverage Co. Ltd.</v>
          </cell>
          <cell r="D81">
            <v>0.10716667000000001</v>
          </cell>
          <cell r="E81" t="str">
            <v>NA</v>
          </cell>
          <cell r="F81" t="str">
            <v>NA</v>
          </cell>
          <cell r="G81" t="str">
            <v>NA</v>
          </cell>
          <cell r="H81">
            <v>0.34218189999999998</v>
          </cell>
          <cell r="I81">
            <v>0.38136969999999998</v>
          </cell>
        </row>
        <row r="82">
          <cell r="C82" t="str">
            <v>Beijing Sanyuan Foods Co. Ltd.</v>
          </cell>
          <cell r="D82">
            <v>2.3275589999999999E-2</v>
          </cell>
          <cell r="E82">
            <v>4.7E-2</v>
          </cell>
          <cell r="F82">
            <v>7.8E-2</v>
          </cell>
          <cell r="G82" t="str">
            <v>NA</v>
          </cell>
          <cell r="H82">
            <v>-3.1568510000000001E-2</v>
          </cell>
          <cell r="I82">
            <v>0.10860944</v>
          </cell>
        </row>
        <row r="83">
          <cell r="C83" t="str">
            <v>Beijing Shunxin Agriculture Co. Ltd.</v>
          </cell>
          <cell r="D83">
            <v>0.17909890000000001</v>
          </cell>
          <cell r="E83">
            <v>0.38</v>
          </cell>
          <cell r="F83">
            <v>0.54800000000000004</v>
          </cell>
          <cell r="G83">
            <v>0.68400000000000005</v>
          </cell>
          <cell r="H83">
            <v>1.2908710000000001</v>
          </cell>
          <cell r="I83">
            <v>0.43903799999999998</v>
          </cell>
        </row>
        <row r="84">
          <cell r="C84" t="str">
            <v>Heilongjiang Agriculture Co. Ltd.</v>
          </cell>
          <cell r="D84">
            <v>0.32706269999999998</v>
          </cell>
          <cell r="E84">
            <v>0.376</v>
          </cell>
          <cell r="F84">
            <v>0.41599999999999998</v>
          </cell>
          <cell r="G84">
            <v>0.58799999999999997</v>
          </cell>
          <cell r="H84">
            <v>1.860781</v>
          </cell>
          <cell r="I84">
            <v>0.51520909999999998</v>
          </cell>
        </row>
        <row r="85">
          <cell r="C85" t="str">
            <v>Shanghai Bailian Group Co. Ltd.</v>
          </cell>
          <cell r="D85">
            <v>0.24322650000000001</v>
          </cell>
          <cell r="E85">
            <v>0.29899999999999999</v>
          </cell>
          <cell r="F85">
            <v>0.439</v>
          </cell>
          <cell r="G85" t="str">
            <v>NA</v>
          </cell>
          <cell r="H85">
            <v>-0.23522760000000001</v>
          </cell>
          <cell r="I85">
            <v>0.69998530000000003</v>
          </cell>
        </row>
        <row r="86">
          <cell r="C86" t="str">
            <v>Dashang Group Co. Ltd.</v>
          </cell>
          <cell r="D86">
            <v>0.87028729999999999</v>
          </cell>
          <cell r="E86">
            <v>1.39</v>
          </cell>
          <cell r="F86">
            <v>1.613</v>
          </cell>
          <cell r="G86">
            <v>2.1030000000000002</v>
          </cell>
          <cell r="H86">
            <v>2.7910699999999999</v>
          </cell>
          <cell r="I86">
            <v>2.7475420000000002</v>
          </cell>
        </row>
        <row r="87">
          <cell r="C87" t="str">
            <v>Beijing Wangfujing Department Store (Group) Co. Ltd.</v>
          </cell>
          <cell r="D87">
            <v>0.49014049999999998</v>
          </cell>
          <cell r="E87">
            <v>0.627</v>
          </cell>
          <cell r="F87">
            <v>0.86799999999999999</v>
          </cell>
          <cell r="G87">
            <v>1.1859999999999999</v>
          </cell>
          <cell r="H87">
            <v>-2.9534570000000002</v>
          </cell>
          <cell r="I87">
            <v>1.1160540000000001</v>
          </cell>
        </row>
        <row r="88">
          <cell r="C88" t="str">
            <v>Shanghai New World Co. Ltd.</v>
          </cell>
          <cell r="D88">
            <v>0.22546569999999999</v>
          </cell>
          <cell r="E88" t="str">
            <v>NA</v>
          </cell>
          <cell r="F88" t="str">
            <v>NA</v>
          </cell>
          <cell r="G88" t="str">
            <v>NA</v>
          </cell>
          <cell r="H88">
            <v>2.5150070000000002</v>
          </cell>
          <cell r="I88">
            <v>0.60596629999999996</v>
          </cell>
        </row>
        <row r="89">
          <cell r="C89" t="str">
            <v>Zhongbai Group Co. Ltd.</v>
          </cell>
          <cell r="D89">
            <v>0.23358999999999999</v>
          </cell>
          <cell r="E89">
            <v>0.39</v>
          </cell>
          <cell r="F89">
            <v>0.52</v>
          </cell>
          <cell r="G89">
            <v>0.64600000000000002</v>
          </cell>
          <cell r="H89">
            <v>2.2991350000000002</v>
          </cell>
          <cell r="I89">
            <v>0.64049860000000003</v>
          </cell>
        </row>
        <row r="90">
          <cell r="C90" t="str">
            <v>Chongqing Department Store Co. Ltd.</v>
          </cell>
          <cell r="D90">
            <v>0.41800999999999999</v>
          </cell>
          <cell r="E90" t="str">
            <v>NA</v>
          </cell>
          <cell r="F90" t="str">
            <v>NA</v>
          </cell>
          <cell r="G90" t="str">
            <v>NA</v>
          </cell>
          <cell r="H90">
            <v>0.85580869999999998</v>
          </cell>
          <cell r="I90">
            <v>0.89822060000000004</v>
          </cell>
        </row>
        <row r="91">
          <cell r="C91" t="str">
            <v>Wuhan Department Store Group Co. Ltd.</v>
          </cell>
          <cell r="D91">
            <v>5.6644809999999997E-2</v>
          </cell>
          <cell r="E91" t="str">
            <v>NA</v>
          </cell>
          <cell r="F91" t="str">
            <v>NA</v>
          </cell>
          <cell r="G91" t="str">
            <v>NA</v>
          </cell>
          <cell r="H91">
            <v>9.2223169999999993E-2</v>
          </cell>
          <cell r="I91">
            <v>0.67751399999999995</v>
          </cell>
        </row>
        <row r="92">
          <cell r="C92" t="str">
            <v>Shanghai Yimin Department Stores Co. Ltd.</v>
          </cell>
          <cell r="D92" t="str">
            <v>NA</v>
          </cell>
          <cell r="E92" t="str">
            <v>NA</v>
          </cell>
          <cell r="F92" t="str">
            <v>NA</v>
          </cell>
          <cell r="G92" t="str">
            <v>NA</v>
          </cell>
          <cell r="H92" t="str">
            <v>NA</v>
          </cell>
          <cell r="I92" t="str">
            <v>NA</v>
          </cell>
        </row>
        <row r="93">
          <cell r="C93" t="str">
            <v>Wuxi Commercial Mansion Grand Orient Co. Ltd.</v>
          </cell>
          <cell r="D93">
            <v>0.22459599999999999</v>
          </cell>
          <cell r="E93" t="str">
            <v>NA</v>
          </cell>
          <cell r="F93" t="str">
            <v>NA</v>
          </cell>
          <cell r="G93" t="str">
            <v>NA</v>
          </cell>
          <cell r="H93">
            <v>-4.2494179999999999E-2</v>
          </cell>
          <cell r="I93">
            <v>0.56241940000000001</v>
          </cell>
        </row>
        <row r="94">
          <cell r="C94" t="str">
            <v>Nanjing Xinjiekou Department Store Co. Ltd.</v>
          </cell>
          <cell r="D94">
            <v>0.25170690000000001</v>
          </cell>
          <cell r="E94" t="str">
            <v>NA</v>
          </cell>
          <cell r="F94" t="str">
            <v>NA</v>
          </cell>
          <cell r="G94" t="str">
            <v>NA</v>
          </cell>
          <cell r="H94">
            <v>1.0005200000000001</v>
          </cell>
          <cell r="I94">
            <v>0.81638710000000003</v>
          </cell>
        </row>
        <row r="95">
          <cell r="C95" t="str">
            <v>Chengdu People's Department Store (Group) Co. Ltd.</v>
          </cell>
          <cell r="D95">
            <v>-0.29496719999999998</v>
          </cell>
          <cell r="E95" t="str">
            <v>NA</v>
          </cell>
          <cell r="F95" t="str">
            <v>NA</v>
          </cell>
          <cell r="G95" t="str">
            <v>NA</v>
          </cell>
          <cell r="H95">
            <v>2.7463519999999999</v>
          </cell>
          <cell r="I95">
            <v>5.3035209999999999E-2</v>
          </cell>
        </row>
        <row r="96">
          <cell r="C96" t="str">
            <v>Beijing Hualian Department Store Co. Ltd.</v>
          </cell>
          <cell r="D96">
            <v>7.3744000000000004E-2</v>
          </cell>
          <cell r="E96">
            <v>0.21199999999999999</v>
          </cell>
          <cell r="F96">
            <v>0.249</v>
          </cell>
          <cell r="G96">
            <v>0.311</v>
          </cell>
          <cell r="H96">
            <v>-1.5092372999999999E-2</v>
          </cell>
          <cell r="I96">
            <v>0.3764245</v>
          </cell>
        </row>
        <row r="97">
          <cell r="C97" t="str">
            <v>Shanghai Join Buy Co. Ltd.</v>
          </cell>
          <cell r="D97">
            <v>1.1235227E-2</v>
          </cell>
          <cell r="E97" t="str">
            <v>NA</v>
          </cell>
          <cell r="F97" t="str">
            <v>NA</v>
          </cell>
          <cell r="G97" t="str">
            <v>NA</v>
          </cell>
          <cell r="H97">
            <v>0.744668</v>
          </cell>
          <cell r="I97">
            <v>0.10427509</v>
          </cell>
        </row>
        <row r="98">
          <cell r="C98" t="str">
            <v>Changsha Tongcheng Holdings Co. Ltd.</v>
          </cell>
          <cell r="D98">
            <v>0.30012850000000002</v>
          </cell>
          <cell r="E98" t="str">
            <v>NA</v>
          </cell>
          <cell r="F98" t="str">
            <v>NA</v>
          </cell>
          <cell r="G98" t="str">
            <v>NA</v>
          </cell>
          <cell r="H98">
            <v>3.0220069999999999</v>
          </cell>
          <cell r="I98">
            <v>0.96421159999999995</v>
          </cell>
        </row>
        <row r="99">
          <cell r="C99" t="str">
            <v>Yinchuan Xinhua Department Store Co. Ltd.</v>
          </cell>
          <cell r="D99">
            <v>0.4437236</v>
          </cell>
          <cell r="E99" t="str">
            <v>NA</v>
          </cell>
          <cell r="F99" t="str">
            <v>NA</v>
          </cell>
          <cell r="G99" t="str">
            <v>NA</v>
          </cell>
          <cell r="H99">
            <v>-0.91154190000000002</v>
          </cell>
          <cell r="I99">
            <v>1.136056</v>
          </cell>
        </row>
        <row r="100">
          <cell r="C100" t="str">
            <v>Hefei Department Store Group Co. Ltd.</v>
          </cell>
          <cell r="D100">
            <v>0.14301759999999999</v>
          </cell>
          <cell r="E100" t="str">
            <v>NA</v>
          </cell>
          <cell r="F100" t="str">
            <v>NA</v>
          </cell>
          <cell r="G100" t="str">
            <v>NA</v>
          </cell>
          <cell r="H100">
            <v>0.13934299999999999</v>
          </cell>
          <cell r="I100">
            <v>0.46770679999999998</v>
          </cell>
        </row>
        <row r="101">
          <cell r="C101" t="str">
            <v>Lanzhou Minbai Shareholding (Group) Co. Ltd.</v>
          </cell>
          <cell r="D101">
            <v>0.11476683999999999</v>
          </cell>
          <cell r="E101" t="str">
            <v>NA</v>
          </cell>
          <cell r="F101" t="str">
            <v>NA</v>
          </cell>
          <cell r="G101" t="str">
            <v>NA</v>
          </cell>
          <cell r="H101">
            <v>0.57137199999999999</v>
          </cell>
          <cell r="I101">
            <v>0.32119340000000002</v>
          </cell>
        </row>
        <row r="102">
          <cell r="C102" t="str">
            <v>Xi'an Kaiyuan Holding Group Co. Ltd.</v>
          </cell>
          <cell r="D102">
            <v>0.30046129999999999</v>
          </cell>
          <cell r="E102" t="str">
            <v>NA</v>
          </cell>
          <cell r="F102" t="str">
            <v>NA</v>
          </cell>
          <cell r="G102" t="str">
            <v>NA</v>
          </cell>
          <cell r="H102">
            <v>2.300036</v>
          </cell>
          <cell r="I102">
            <v>0.93573300000000004</v>
          </cell>
        </row>
        <row r="103">
          <cell r="C103" t="str">
            <v>Baoji Department Store (Group) Co. Ltd.</v>
          </cell>
          <cell r="D103">
            <v>3.5977639999999998E-3</v>
          </cell>
          <cell r="E103" t="str">
            <v>NA</v>
          </cell>
          <cell r="F103" t="str">
            <v>NA</v>
          </cell>
          <cell r="G103" t="str">
            <v>NA</v>
          </cell>
          <cell r="H103">
            <v>6.1474319999999999E-2</v>
          </cell>
          <cell r="I103">
            <v>0.17882139999999999</v>
          </cell>
        </row>
        <row r="104">
          <cell r="C104" t="str">
            <v>Dalian Friendship (Group) Co. Ltd.</v>
          </cell>
          <cell r="D104">
            <v>0.12171296</v>
          </cell>
          <cell r="E104" t="str">
            <v>NA</v>
          </cell>
          <cell r="F104" t="str">
            <v>NA</v>
          </cell>
          <cell r="G104" t="str">
            <v>NA</v>
          </cell>
          <cell r="H104">
            <v>3.0814729999999999</v>
          </cell>
          <cell r="I104">
            <v>0.63747480000000001</v>
          </cell>
        </row>
        <row r="105">
          <cell r="C105" t="str">
            <v>Xi'an Minsheng Group Co. Ltd.</v>
          </cell>
          <cell r="D105">
            <v>6.9233219999999998E-2</v>
          </cell>
          <cell r="E105" t="str">
            <v>NA</v>
          </cell>
          <cell r="F105" t="str">
            <v>NA</v>
          </cell>
          <cell r="G105" t="str">
            <v>NA</v>
          </cell>
          <cell r="H105">
            <v>-0.34201219999999999</v>
          </cell>
          <cell r="I105">
            <v>0.29736590000000002</v>
          </cell>
        </row>
        <row r="106">
          <cell r="C106" t="str">
            <v>Xinjiang Friendship (Group) Co. Ltd.</v>
          </cell>
          <cell r="D106">
            <v>3.7474550000000002E-2</v>
          </cell>
          <cell r="E106" t="str">
            <v>NA</v>
          </cell>
          <cell r="F106" t="str">
            <v>NA</v>
          </cell>
          <cell r="G106" t="str">
            <v>NA</v>
          </cell>
          <cell r="H106">
            <v>0.96872999999999998</v>
          </cell>
          <cell r="I106">
            <v>0.38029299999999999</v>
          </cell>
        </row>
        <row r="107">
          <cell r="C107" t="str">
            <v>Wuhan Hanshang (Group) Co. Ltd.</v>
          </cell>
          <cell r="D107">
            <v>8.1380309999999997E-2</v>
          </cell>
          <cell r="E107" t="str">
            <v>NA</v>
          </cell>
          <cell r="F107" t="str">
            <v>NA</v>
          </cell>
          <cell r="G107" t="str">
            <v>NA</v>
          </cell>
          <cell r="H107">
            <v>2.6175109999999999</v>
          </cell>
          <cell r="I107">
            <v>0.55702580000000002</v>
          </cell>
        </row>
        <row r="108">
          <cell r="C108" t="str">
            <v>Nanning Department Store Co. Ltd.</v>
          </cell>
          <cell r="D108">
            <v>1.6969419999999999E-2</v>
          </cell>
          <cell r="E108" t="str">
            <v>NA</v>
          </cell>
          <cell r="F108" t="str">
            <v>NA</v>
          </cell>
          <cell r="G108" t="str">
            <v>NA</v>
          </cell>
          <cell r="H108">
            <v>0.98613430000000002</v>
          </cell>
          <cell r="I108">
            <v>0.30057650000000002</v>
          </cell>
        </row>
        <row r="109">
          <cell r="C109" t="str">
            <v>Changchun Department Jituan Store Co. Ltd.</v>
          </cell>
          <cell r="D109">
            <v>-0.70271220000000001</v>
          </cell>
          <cell r="E109" t="str">
            <v>NA</v>
          </cell>
          <cell r="F109" t="str">
            <v>NA</v>
          </cell>
          <cell r="G109" t="str">
            <v>NA</v>
          </cell>
          <cell r="H109">
            <v>0.78304209999999996</v>
          </cell>
          <cell r="I109">
            <v>-0.58291559999999998</v>
          </cell>
        </row>
        <row r="110">
          <cell r="C110" t="str">
            <v>Harbin Churin Group Jointstock Co. Ltd.</v>
          </cell>
          <cell r="D110">
            <v>-0.27966350000000001</v>
          </cell>
          <cell r="E110" t="str">
            <v>NA</v>
          </cell>
          <cell r="F110" t="str">
            <v>NA</v>
          </cell>
          <cell r="G110" t="str">
            <v>NA</v>
          </cell>
          <cell r="H110">
            <v>0.6285039</v>
          </cell>
          <cell r="I110">
            <v>-8.1970199999999993E-2</v>
          </cell>
        </row>
        <row r="111">
          <cell r="C111" t="str">
            <v>Beijing Urban-Rural Trade Center Co. Ltd.</v>
          </cell>
          <cell r="D111">
            <v>0.13844590000000001</v>
          </cell>
          <cell r="E111" t="str">
            <v>NA</v>
          </cell>
          <cell r="F111" t="str">
            <v>NA</v>
          </cell>
          <cell r="G111" t="str">
            <v>NA</v>
          </cell>
          <cell r="H111">
            <v>-1.4645509999999999</v>
          </cell>
          <cell r="I111">
            <v>0.31455899999999998</v>
          </cell>
        </row>
        <row r="112">
          <cell r="C112" t="str">
            <v>Baida Group Co. Ltd.</v>
          </cell>
          <cell r="D112">
            <v>0.13221050000000001</v>
          </cell>
          <cell r="E112" t="str">
            <v>NA</v>
          </cell>
          <cell r="F112" t="str">
            <v>NA</v>
          </cell>
          <cell r="G112" t="str">
            <v>NA</v>
          </cell>
          <cell r="H112">
            <v>-1.8212440000000001</v>
          </cell>
          <cell r="I112">
            <v>0.29069030000000001</v>
          </cell>
        </row>
        <row r="113">
          <cell r="C113" t="str">
            <v>Guangzhou Friendship Group Co. Ltd.</v>
          </cell>
          <cell r="D113">
            <v>0.5899742</v>
          </cell>
          <cell r="E113">
            <v>0.77</v>
          </cell>
          <cell r="F113">
            <v>1.1000000000000001</v>
          </cell>
          <cell r="G113">
            <v>1.28</v>
          </cell>
          <cell r="H113">
            <v>-3.8146230000000001</v>
          </cell>
          <cell r="I113">
            <v>1.0124470000000001</v>
          </cell>
        </row>
        <row r="114">
          <cell r="C114" t="str">
            <v>Shanghai Friendship Group Co. Ltd.</v>
          </cell>
          <cell r="D114">
            <v>0.36069240000000002</v>
          </cell>
          <cell r="E114">
            <v>0.50700000000000001</v>
          </cell>
          <cell r="F114">
            <v>0.63200000000000001</v>
          </cell>
          <cell r="G114">
            <v>0.70699999999999996</v>
          </cell>
          <cell r="H114">
            <v>-4.9126830000000004</v>
          </cell>
          <cell r="I114">
            <v>2.3318400000000001</v>
          </cell>
        </row>
        <row r="115">
          <cell r="C115" t="str">
            <v>Beijing Xidan Market Co. Ltd.</v>
          </cell>
          <cell r="D115">
            <v>1.9774570000000002E-2</v>
          </cell>
          <cell r="E115" t="str">
            <v>NA</v>
          </cell>
          <cell r="F115" t="str">
            <v>NA</v>
          </cell>
          <cell r="G115" t="str">
            <v>NA</v>
          </cell>
          <cell r="H115">
            <v>-0.78630900000000004</v>
          </cell>
          <cell r="I115">
            <v>0.21784999999999999</v>
          </cell>
        </row>
        <row r="116">
          <cell r="C116" t="str">
            <v>Zhongxing Shenyang Commercial Building Group Co. Ltd.</v>
          </cell>
          <cell r="D116">
            <v>0.24920249999999999</v>
          </cell>
          <cell r="E116" t="str">
            <v>NA</v>
          </cell>
          <cell r="F116" t="str">
            <v>NA</v>
          </cell>
          <cell r="G116" t="str">
            <v>NA</v>
          </cell>
          <cell r="H116">
            <v>-0.51868780000000003</v>
          </cell>
          <cell r="I116">
            <v>0.464671</v>
          </cell>
        </row>
        <row r="117">
          <cell r="C117" t="str">
            <v>Changchun Eurasia Group Co. Ltd.</v>
          </cell>
          <cell r="D117">
            <v>0.37332779999999999</v>
          </cell>
          <cell r="E117">
            <v>0.47099999999999997</v>
          </cell>
          <cell r="F117">
            <v>0.65800000000000003</v>
          </cell>
          <cell r="G117">
            <v>0.73499999999999999</v>
          </cell>
          <cell r="H117">
            <v>1.881982</v>
          </cell>
          <cell r="I117">
            <v>0.84831630000000002</v>
          </cell>
        </row>
        <row r="118">
          <cell r="C118" t="str">
            <v>Fujian Dongbai (Group) Co. Ltd.</v>
          </cell>
          <cell r="D118">
            <v>0.32862229999999998</v>
          </cell>
          <cell r="E118" t="str">
            <v>NA</v>
          </cell>
          <cell r="F118" t="str">
            <v>NA</v>
          </cell>
          <cell r="G118" t="str">
            <v>NA</v>
          </cell>
          <cell r="H118">
            <v>2.2894480000000001</v>
          </cell>
        </row>
        <row r="119">
          <cell r="C119" t="str">
            <v>Telling Telecommunication Holding Co. Ltd.</v>
          </cell>
          <cell r="D119">
            <v>0.28011900000000001</v>
          </cell>
          <cell r="E119" t="str">
            <v>NA</v>
          </cell>
          <cell r="F119" t="str">
            <v>NA</v>
          </cell>
          <cell r="G119" t="str">
            <v>NA</v>
          </cell>
          <cell r="H119">
            <v>3.004038</v>
          </cell>
        </row>
        <row r="120">
          <cell r="C120" t="str">
            <v>Jiangsu Hongtu High-Technology Co. Ltd.</v>
          </cell>
          <cell r="D120">
            <v>5.887531E-2</v>
          </cell>
          <cell r="E120" t="str">
            <v>NA</v>
          </cell>
          <cell r="F120" t="str">
            <v>NA</v>
          </cell>
          <cell r="G120" t="str">
            <v>NA</v>
          </cell>
          <cell r="H120">
            <v>4.0256259999999999</v>
          </cell>
        </row>
        <row r="121">
          <cell r="C121" t="str">
            <v>Edion Corp.</v>
          </cell>
          <cell r="D121">
            <v>71.787379999999999</v>
          </cell>
          <cell r="E121">
            <v>86.29</v>
          </cell>
          <cell r="F121">
            <v>115.27500000000001</v>
          </cell>
          <cell r="G121" t="str">
            <v>NA</v>
          </cell>
          <cell r="H121">
            <v>697.47850000000005</v>
          </cell>
        </row>
        <row r="122">
          <cell r="C122" t="str">
            <v>K's Holdings Corp.</v>
          </cell>
          <cell r="D122">
            <v>152.34299999999999</v>
          </cell>
          <cell r="E122">
            <v>198.57</v>
          </cell>
          <cell r="F122">
            <v>244.60499999999999</v>
          </cell>
          <cell r="G122">
            <v>285.4425</v>
          </cell>
          <cell r="H122">
            <v>1011.2916</v>
          </cell>
        </row>
        <row r="123">
          <cell r="C123" t="str">
            <v>Harvey Norman Holdings Ltd.</v>
          </cell>
          <cell r="D123">
            <v>0.30086370000000001</v>
          </cell>
          <cell r="E123">
            <v>0.26550000000000001</v>
          </cell>
          <cell r="F123">
            <v>0.3075</v>
          </cell>
          <cell r="G123">
            <v>0.34749999999999998</v>
          </cell>
          <cell r="H123">
            <v>0.53178740000000002</v>
          </cell>
        </row>
        <row r="124">
          <cell r="C124" t="str">
            <v>Wing On Co. International Ltd.</v>
          </cell>
          <cell r="D124">
            <v>1.9217709999999999</v>
          </cell>
          <cell r="E124" t="str">
            <v>NA</v>
          </cell>
          <cell r="F124" t="str">
            <v>NA</v>
          </cell>
          <cell r="G124" t="str">
            <v>NA</v>
          </cell>
          <cell r="H124">
            <v>-2.6251929999999999</v>
          </cell>
        </row>
        <row r="125">
          <cell r="C125" t="str">
            <v>AEON Stores (Hong Kong) Co. Ltd.</v>
          </cell>
          <cell r="D125">
            <v>0.57056549999999995</v>
          </cell>
          <cell r="E125">
            <v>0.85</v>
          </cell>
          <cell r="F125">
            <v>0.82199999999999995</v>
          </cell>
          <cell r="G125" t="str">
            <v>NA</v>
          </cell>
          <cell r="H125">
            <v>-5.6963619999999997</v>
          </cell>
        </row>
        <row r="126">
          <cell r="C126" t="str">
            <v>Sincere Co. Ltd.</v>
          </cell>
          <cell r="D126">
            <v>6.0971350000000001E-2</v>
          </cell>
          <cell r="E126" t="str">
            <v>NA</v>
          </cell>
          <cell r="F126" t="str">
            <v>NA</v>
          </cell>
          <cell r="G126" t="str">
            <v>NA</v>
          </cell>
          <cell r="H126">
            <v>-0.63336720000000002</v>
          </cell>
        </row>
        <row r="127">
          <cell r="C127" t="str">
            <v>Shinsegae Co. Ltd.</v>
          </cell>
          <cell r="D127">
            <v>25098.06</v>
          </cell>
          <cell r="E127">
            <v>27675.79</v>
          </cell>
          <cell r="F127">
            <v>32509.52</v>
          </cell>
          <cell r="G127">
            <v>37363</v>
          </cell>
          <cell r="H127">
            <v>139911</v>
          </cell>
        </row>
        <row r="128">
          <cell r="C128" t="str">
            <v>Lotte Shopping Co. Ltd.</v>
          </cell>
          <cell r="D128">
            <v>25626.36</v>
          </cell>
          <cell r="E128">
            <v>25602</v>
          </cell>
          <cell r="F128">
            <v>28696.44</v>
          </cell>
          <cell r="G128">
            <v>31982.17</v>
          </cell>
          <cell r="H128">
            <v>28626.080000000002</v>
          </cell>
        </row>
        <row r="129">
          <cell r="C129" t="str">
            <v>Hyundai Department Store Co. Ltd.</v>
          </cell>
          <cell r="D129">
            <v>7671.6689999999999</v>
          </cell>
          <cell r="E129">
            <v>8349.3850000000002</v>
          </cell>
          <cell r="F129">
            <v>8957.8050000000003</v>
          </cell>
          <cell r="G129">
            <v>9496.8770000000004</v>
          </cell>
          <cell r="H129">
            <v>5706.2529999999997</v>
          </cell>
        </row>
        <row r="130">
          <cell r="C130" t="str">
            <v>David Jones Ltd.</v>
          </cell>
          <cell r="D130">
            <v>0.19808329999999999</v>
          </cell>
          <cell r="E130">
            <v>0.24766669999999999</v>
          </cell>
          <cell r="F130">
            <v>0.27650000000000002</v>
          </cell>
          <cell r="G130">
            <v>0.30149999999999999</v>
          </cell>
          <cell r="H130" t="str">
            <v>NA</v>
          </cell>
        </row>
        <row r="131">
          <cell r="C131" t="str">
            <v>Pantaloon Retail (India) Ltd.</v>
          </cell>
          <cell r="D131" t="str">
            <v>NA</v>
          </cell>
          <cell r="E131">
            <v>7.45</v>
          </cell>
          <cell r="F131">
            <v>12.529</v>
          </cell>
          <cell r="G131">
            <v>17.974</v>
          </cell>
          <cell r="H131">
            <v>64.693370000000002</v>
          </cell>
        </row>
        <row r="132">
          <cell r="C132" t="str">
            <v>Robinson Department Store PCL</v>
          </cell>
          <cell r="D132">
            <v>2.3967710000000002</v>
          </cell>
          <cell r="E132">
            <v>0.71499999999999997</v>
          </cell>
          <cell r="F132">
            <v>0.84699999999999998</v>
          </cell>
          <cell r="G132">
            <v>1.002</v>
          </cell>
          <cell r="H132">
            <v>-0.64646179999999998</v>
          </cell>
        </row>
        <row r="133">
          <cell r="C133" t="str">
            <v>Pou Chen Corp.</v>
          </cell>
          <cell r="D133">
            <v>1.767749</v>
          </cell>
          <cell r="E133">
            <v>2.2649550000000001</v>
          </cell>
          <cell r="F133" t="str">
            <v>NA</v>
          </cell>
          <cell r="G133" t="str">
            <v>NA</v>
          </cell>
          <cell r="H133">
            <v>18.081309999999998</v>
          </cell>
        </row>
        <row r="134">
          <cell r="C134" t="str">
            <v>Asics Corp.</v>
          </cell>
          <cell r="D134">
            <v>69.63203</v>
          </cell>
          <cell r="E134">
            <v>79.500749999999996</v>
          </cell>
          <cell r="F134">
            <v>90.756739999999994</v>
          </cell>
          <cell r="G134">
            <v>102.48350000000001</v>
          </cell>
          <cell r="H134">
            <v>19.392700000000001</v>
          </cell>
        </row>
        <row r="135">
          <cell r="C135" t="str">
            <v>Li Ning Co. Ltd.</v>
          </cell>
          <cell r="D135">
            <v>0.27907080000000001</v>
          </cell>
          <cell r="E135">
            <v>0.437</v>
          </cell>
          <cell r="F135">
            <v>0.63100000000000001</v>
          </cell>
          <cell r="G135">
            <v>0.84299999999999997</v>
          </cell>
          <cell r="H135">
            <v>-0.82030119999999995</v>
          </cell>
        </row>
        <row r="136">
          <cell r="C136" t="str">
            <v>China Hongxing Sports Ltd.</v>
          </cell>
          <cell r="D136">
            <v>2.1317659999999999E-2</v>
          </cell>
          <cell r="E136">
            <v>3.217163E-2</v>
          </cell>
          <cell r="F136">
            <v>4.62616E-2</v>
          </cell>
          <cell r="G136">
            <v>6.2286729999999998E-2</v>
          </cell>
          <cell r="H136">
            <v>-3.7306599999999998E-3</v>
          </cell>
        </row>
        <row r="137">
          <cell r="C137" t="str">
            <v>Pan Asia Footwear PCL</v>
          </cell>
          <cell r="D137">
            <v>0.47659610000000002</v>
          </cell>
          <cell r="E137" t="str">
            <v>NA</v>
          </cell>
          <cell r="F137" t="str">
            <v>NA</v>
          </cell>
          <cell r="G137" t="str">
            <v>NA</v>
          </cell>
          <cell r="H137">
            <v>6.1381360000000003</v>
          </cell>
        </row>
        <row r="138">
          <cell r="C138" t="str">
            <v>Union Footwear PCL</v>
          </cell>
          <cell r="D138">
            <v>-7.7830500000000002</v>
          </cell>
          <cell r="E138" t="str">
            <v>NA</v>
          </cell>
          <cell r="F138" t="str">
            <v>NA</v>
          </cell>
          <cell r="G138" t="str">
            <v>NA</v>
          </cell>
          <cell r="H138">
            <v>5.5885499999999997</v>
          </cell>
        </row>
        <row r="139">
          <cell r="C139" t="str">
            <v>Deckers Outdoor Corp.</v>
          </cell>
          <cell r="D139">
            <v>2.5041310000000001</v>
          </cell>
          <cell r="E139">
            <v>4.18</v>
          </cell>
          <cell r="F139">
            <v>4.9400000000000004</v>
          </cell>
          <cell r="G139">
            <v>5.55</v>
          </cell>
          <cell r="H139">
            <v>-7.8560530000000002</v>
          </cell>
        </row>
        <row r="140">
          <cell r="C140" t="str">
            <v>Tod's S.p.A.</v>
          </cell>
          <cell r="D140">
            <v>2.1745999999999999</v>
          </cell>
          <cell r="E140">
            <v>2.6779999999999999</v>
          </cell>
          <cell r="F140">
            <v>3.16</v>
          </cell>
          <cell r="G140">
            <v>3.56</v>
          </cell>
          <cell r="H140">
            <v>-3.0192869999999998</v>
          </cell>
        </row>
        <row r="141">
          <cell r="C141" t="str">
            <v>Crocs Inc.</v>
          </cell>
          <cell r="D141">
            <v>0.81828730000000005</v>
          </cell>
          <cell r="E141">
            <v>1.95</v>
          </cell>
          <cell r="F141">
            <v>2.54</v>
          </cell>
          <cell r="G141" t="str">
            <v>NA</v>
          </cell>
          <cell r="H141">
            <v>-0.85425510000000004</v>
          </cell>
        </row>
        <row r="142">
          <cell r="C142" t="str">
            <v>Prime Success International Group Ltd.</v>
          </cell>
          <cell r="D142">
            <v>0.1780129</v>
          </cell>
          <cell r="E142">
            <v>0.23699999999999999</v>
          </cell>
          <cell r="F142">
            <v>0.30399999999999999</v>
          </cell>
          <cell r="G142">
            <v>0.378</v>
          </cell>
          <cell r="H142">
            <v>1.718184E-2</v>
          </cell>
        </row>
        <row r="143">
          <cell r="C143" t="str">
            <v>Timberland Co. (Cl A)</v>
          </cell>
          <cell r="D143">
            <v>1.7171879999999999</v>
          </cell>
          <cell r="E143">
            <v>1</v>
          </cell>
          <cell r="F143">
            <v>1.2</v>
          </cell>
          <cell r="G143">
            <v>1.45</v>
          </cell>
          <cell r="H143">
            <v>-2.93154</v>
          </cell>
        </row>
        <row r="144">
          <cell r="C144" t="str">
            <v>Wolverine World Wide Inc.</v>
          </cell>
          <cell r="D144">
            <v>1.5081720000000001</v>
          </cell>
          <cell r="E144">
            <v>1.65</v>
          </cell>
          <cell r="F144">
            <v>1.84</v>
          </cell>
          <cell r="G144">
            <v>2.0699999999999998</v>
          </cell>
          <cell r="H144">
            <v>-1.8605719999999999</v>
          </cell>
        </row>
        <row r="145">
          <cell r="C145" t="str">
            <v>Skechers USA Inc. (Cl A)</v>
          </cell>
          <cell r="D145">
            <v>1.695541</v>
          </cell>
          <cell r="E145">
            <v>1.61</v>
          </cell>
          <cell r="F145">
            <v>1.845</v>
          </cell>
          <cell r="G145" t="str">
            <v>NA</v>
          </cell>
          <cell r="H145">
            <v>-2.7012489999999998</v>
          </cell>
        </row>
        <row r="146">
          <cell r="C146" t="str">
            <v>Iconix Brand Group Inc.</v>
          </cell>
          <cell r="D146">
            <v>0.5800746</v>
          </cell>
          <cell r="E146">
            <v>1</v>
          </cell>
          <cell r="F146">
            <v>1.33</v>
          </cell>
          <cell r="G146" t="str">
            <v>NA</v>
          </cell>
          <cell r="H146">
            <v>1.5165</v>
          </cell>
        </row>
        <row r="147">
          <cell r="C147" t="str">
            <v>Geox S.p.A.</v>
          </cell>
          <cell r="D147">
            <v>0.37575530000000001</v>
          </cell>
          <cell r="E147">
            <v>0.49</v>
          </cell>
          <cell r="F147">
            <v>0.59</v>
          </cell>
          <cell r="G147">
            <v>0.71</v>
          </cell>
          <cell r="H147">
            <v>-0.2986934</v>
          </cell>
        </row>
        <row r="148">
          <cell r="C148" t="str">
            <v>Heelys Inc.</v>
          </cell>
          <cell r="D148">
            <v>1.0788420000000001</v>
          </cell>
          <cell r="E148">
            <v>1.155</v>
          </cell>
          <cell r="F148">
            <v>1.2649999999999999</v>
          </cell>
          <cell r="G148">
            <v>1.36</v>
          </cell>
          <cell r="H148">
            <v>-1.9959</v>
          </cell>
        </row>
        <row r="149">
          <cell r="C149" t="str">
            <v>Steven Madden Ltd.</v>
          </cell>
          <cell r="D149">
            <v>2.1913200000000002</v>
          </cell>
          <cell r="E149">
            <v>1.7250000000000001</v>
          </cell>
          <cell r="F149">
            <v>1.905</v>
          </cell>
          <cell r="G149" t="str">
            <v>NA</v>
          </cell>
          <cell r="H149">
            <v>-4.3469160000000002</v>
          </cell>
        </row>
        <row r="150">
          <cell r="C150" t="str">
            <v>Stride Rite Corp</v>
          </cell>
          <cell r="D150" t="str">
            <v>NA</v>
          </cell>
          <cell r="E150" t="str">
            <v>NA</v>
          </cell>
          <cell r="F150" t="str">
            <v>NA</v>
          </cell>
          <cell r="G150" t="str">
            <v>NA</v>
          </cell>
          <cell r="H150" t="str">
            <v>NA</v>
          </cell>
        </row>
        <row r="151">
          <cell r="C151" t="str">
            <v>Weyco Group Inc.</v>
          </cell>
          <cell r="D151">
            <v>1.8657090000000001</v>
          </cell>
          <cell r="E151" t="str">
            <v>NA</v>
          </cell>
          <cell r="F151" t="str">
            <v>NA</v>
          </cell>
          <cell r="G151" t="str">
            <v>NA</v>
          </cell>
          <cell r="H151">
            <v>-0.50856420000000002</v>
          </cell>
        </row>
        <row r="152">
          <cell r="C152" t="str">
            <v>Bata India Ltd.</v>
          </cell>
          <cell r="D152">
            <v>4.2609079999999997</v>
          </cell>
          <cell r="E152" t="str">
            <v>NA</v>
          </cell>
          <cell r="F152" t="str">
            <v>NA</v>
          </cell>
          <cell r="G152" t="str">
            <v>NA</v>
          </cell>
          <cell r="H152">
            <v>7.8554360000000001</v>
          </cell>
        </row>
        <row r="153">
          <cell r="C153" t="str">
            <v>Himiko Co. Ltd.</v>
          </cell>
          <cell r="D153">
            <v>149.97380000000001</v>
          </cell>
          <cell r="E153" t="str">
            <v>NA</v>
          </cell>
          <cell r="F153" t="str">
            <v>NA</v>
          </cell>
          <cell r="G153" t="str">
            <v>NA</v>
          </cell>
          <cell r="H153">
            <v>-769.01310000000001</v>
          </cell>
        </row>
        <row r="154">
          <cell r="C154" t="str">
            <v>Le Saunda Holdings Ltd.</v>
          </cell>
          <cell r="D154">
            <v>0.17116419999999999</v>
          </cell>
          <cell r="E154" t="str">
            <v>NA</v>
          </cell>
          <cell r="F154" t="str">
            <v>NA</v>
          </cell>
          <cell r="G154" t="str">
            <v>NA</v>
          </cell>
          <cell r="H154">
            <v>-0.23047609999999999</v>
          </cell>
        </row>
        <row r="155">
          <cell r="C155" t="str">
            <v>R.G. Barry Corp.</v>
          </cell>
          <cell r="D155">
            <v>0.79531220000000002</v>
          </cell>
          <cell r="E155">
            <v>0.85</v>
          </cell>
          <cell r="F155">
            <v>0.87</v>
          </cell>
          <cell r="G155" t="str">
            <v>NA</v>
          </cell>
          <cell r="H155">
            <v>-0.65410440000000003</v>
          </cell>
        </row>
        <row r="156">
          <cell r="C156" t="str">
            <v>LaCrosse Footwear Inc.</v>
          </cell>
          <cell r="D156">
            <v>1.049893</v>
          </cell>
          <cell r="E156">
            <v>1.1200000000000001</v>
          </cell>
          <cell r="F156">
            <v>1.29</v>
          </cell>
          <cell r="G156" t="str">
            <v>NA</v>
          </cell>
          <cell r="H156">
            <v>-2.0183620000000002</v>
          </cell>
        </row>
        <row r="157">
          <cell r="C157" t="str">
            <v>Kingmaker Footwear Holdings Ltd.</v>
          </cell>
          <cell r="D157">
            <v>6.1639899999999997E-2</v>
          </cell>
          <cell r="E157">
            <v>7.7499999999999999E-2</v>
          </cell>
          <cell r="F157">
            <v>0.104</v>
          </cell>
          <cell r="G157" t="str">
            <v>NA</v>
          </cell>
          <cell r="H157">
            <v>-0.33168029999999998</v>
          </cell>
        </row>
        <row r="158">
          <cell r="C158" t="str">
            <v>Nippi Inc.</v>
          </cell>
          <cell r="D158">
            <v>-78.589590000000001</v>
          </cell>
          <cell r="E158" t="str">
            <v>NA</v>
          </cell>
          <cell r="F158" t="str">
            <v>NA</v>
          </cell>
          <cell r="G158" t="str">
            <v>NA</v>
          </cell>
          <cell r="H158">
            <v>1571.404</v>
          </cell>
        </row>
        <row r="159">
          <cell r="C159" t="str">
            <v>Mirza International Ltd.</v>
          </cell>
          <cell r="D159" t="str">
            <v>NA</v>
          </cell>
          <cell r="E159" t="str">
            <v>NA</v>
          </cell>
          <cell r="F159" t="str">
            <v>NA</v>
          </cell>
          <cell r="G159" t="str">
            <v>NA</v>
          </cell>
          <cell r="H159" t="str">
            <v>NA</v>
          </cell>
        </row>
        <row r="160">
          <cell r="C160" t="str">
            <v>Liberty Shoes Ltd.</v>
          </cell>
          <cell r="D160" t="str">
            <v>NA</v>
          </cell>
          <cell r="E160" t="str">
            <v>NA</v>
          </cell>
          <cell r="F160" t="str">
            <v>NA</v>
          </cell>
          <cell r="G160" t="str">
            <v>NA</v>
          </cell>
          <cell r="H160" t="str">
            <v>NA</v>
          </cell>
        </row>
        <row r="161">
          <cell r="C161" t="str">
            <v>Regal Corp.</v>
          </cell>
          <cell r="D161">
            <v>13.046384</v>
          </cell>
          <cell r="E161" t="str">
            <v>NA</v>
          </cell>
          <cell r="F161" t="str">
            <v>NA</v>
          </cell>
          <cell r="G161" t="str">
            <v>NA</v>
          </cell>
          <cell r="H161">
            <v>193.6</v>
          </cell>
        </row>
        <row r="162">
          <cell r="C162" t="str">
            <v>Bata Chile S.A.</v>
          </cell>
          <cell r="D162">
            <v>-3.4333659999999999</v>
          </cell>
          <cell r="E162" t="str">
            <v>NA</v>
          </cell>
          <cell r="F162" t="str">
            <v>NA</v>
          </cell>
          <cell r="G162" t="str">
            <v>NA</v>
          </cell>
          <cell r="H162">
            <v>27.88165</v>
          </cell>
        </row>
        <row r="163">
          <cell r="C163" t="str">
            <v>Lubelskie Zaklady Przemyslu Skorzanego Protektor S.A.</v>
          </cell>
          <cell r="D163" t="str">
            <v>NA</v>
          </cell>
          <cell r="E163" t="str">
            <v>NA</v>
          </cell>
          <cell r="F163" t="str">
            <v>NA</v>
          </cell>
          <cell r="G163" t="str">
            <v>NA</v>
          </cell>
          <cell r="H163" t="str">
            <v>NA</v>
          </cell>
        </row>
        <row r="164">
          <cell r="C164" t="str">
            <v>Bata Pakistan Ltd.</v>
          </cell>
          <cell r="D164" t="str">
            <v>NA</v>
          </cell>
          <cell r="E164" t="str">
            <v>NA</v>
          </cell>
          <cell r="F164" t="str">
            <v>NA</v>
          </cell>
          <cell r="G164" t="str">
            <v>NA</v>
          </cell>
          <cell r="H164" t="str">
            <v>NA</v>
          </cell>
        </row>
        <row r="165">
          <cell r="C165" t="str">
            <v>Sepatu Bata</v>
          </cell>
          <cell r="D165">
            <v>1550.846</v>
          </cell>
          <cell r="E165" t="str">
            <v>NA</v>
          </cell>
          <cell r="F165" t="str">
            <v>NA</v>
          </cell>
          <cell r="G165" t="str">
            <v>NA</v>
          </cell>
          <cell r="H165">
            <v>-47.615360000000003</v>
          </cell>
        </row>
        <row r="166">
          <cell r="C166" t="str">
            <v>Surya Intrindo Makmur</v>
          </cell>
          <cell r="D166">
            <v>-10.526</v>
          </cell>
          <cell r="E166" t="str">
            <v>NA</v>
          </cell>
          <cell r="F166" t="str">
            <v>NA</v>
          </cell>
          <cell r="G166" t="str">
            <v>NA</v>
          </cell>
          <cell r="H166">
            <v>45.826000000000001</v>
          </cell>
        </row>
        <row r="167">
          <cell r="C167" t="str">
            <v>Lawreshwar Polymers Ltd.</v>
          </cell>
          <cell r="D167" t="str">
            <v>NA</v>
          </cell>
          <cell r="E167" t="str">
            <v>NA</v>
          </cell>
          <cell r="F167" t="str">
            <v>NA</v>
          </cell>
          <cell r="G167" t="str">
            <v>NA</v>
          </cell>
          <cell r="H167" t="str">
            <v>NA</v>
          </cell>
        </row>
        <row r="168">
          <cell r="C168" t="str">
            <v>AnnTaylor Stores Corp.</v>
          </cell>
          <cell r="D168">
            <v>1.9834210000000001</v>
          </cell>
          <cell r="E168">
            <v>2.1175000000000002</v>
          </cell>
          <cell r="F168">
            <v>2.4691670000000001</v>
          </cell>
          <cell r="G168">
            <v>2.7520829999999998</v>
          </cell>
          <cell r="H168">
            <v>-5.2018750000000002</v>
          </cell>
        </row>
        <row r="169">
          <cell r="C169" t="str">
            <v>bebe Stores Inc.</v>
          </cell>
          <cell r="D169">
            <v>0.81530259999999999</v>
          </cell>
          <cell r="E169">
            <v>0.84</v>
          </cell>
          <cell r="F169">
            <v>0.96499999999999997</v>
          </cell>
          <cell r="G169" t="str">
            <v>NA</v>
          </cell>
          <cell r="H169">
            <v>-3.8806560000000001</v>
          </cell>
        </row>
        <row r="170">
          <cell r="C170" t="str">
            <v>Pacific Sunwear of California Inc.</v>
          </cell>
          <cell r="D170">
            <v>0.66473780000000005</v>
          </cell>
          <cell r="E170">
            <v>0.53874999999999995</v>
          </cell>
          <cell r="F170">
            <v>0.82208329999999996</v>
          </cell>
          <cell r="G170">
            <v>1.079167</v>
          </cell>
          <cell r="H170">
            <v>-1.2943119999999999</v>
          </cell>
        </row>
        <row r="171">
          <cell r="C171" t="str">
            <v>Talbots Inc.</v>
          </cell>
          <cell r="D171">
            <v>0.68149660000000001</v>
          </cell>
          <cell r="E171">
            <v>0.28749999999999998</v>
          </cell>
          <cell r="F171">
            <v>0.87416669999999996</v>
          </cell>
          <cell r="G171">
            <v>1.4524999999999999</v>
          </cell>
          <cell r="H171">
            <v>8.1218149999999998</v>
          </cell>
        </row>
        <row r="172">
          <cell r="C172" t="str">
            <v>Buckle Inc.</v>
          </cell>
          <cell r="D172">
            <v>1.8860920000000001</v>
          </cell>
          <cell r="E172">
            <v>2.19</v>
          </cell>
          <cell r="F172">
            <v>2.4033329999999999</v>
          </cell>
          <cell r="G172" t="str">
            <v>NA</v>
          </cell>
          <cell r="H172">
            <v>-5.1971230000000004</v>
          </cell>
        </row>
        <row r="173">
          <cell r="C173" t="str">
            <v>New York &amp; Co. Inc.</v>
          </cell>
          <cell r="D173">
            <v>0.82477739999999999</v>
          </cell>
          <cell r="E173">
            <v>0.42166670000000001</v>
          </cell>
          <cell r="F173">
            <v>0.54125000000000001</v>
          </cell>
          <cell r="G173">
            <v>0.66958329999999999</v>
          </cell>
          <cell r="H173">
            <v>-0.61293059999999999</v>
          </cell>
        </row>
        <row r="174">
          <cell r="C174" t="str">
            <v>Hot Topic Inc.</v>
          </cell>
          <cell r="D174">
            <v>0.32488270000000002</v>
          </cell>
          <cell r="E174">
            <v>0.37333329999999998</v>
          </cell>
          <cell r="F174">
            <v>0.53583340000000002</v>
          </cell>
          <cell r="G174">
            <v>0.82499999999999996</v>
          </cell>
          <cell r="H174">
            <v>-1.221425</v>
          </cell>
        </row>
        <row r="175">
          <cell r="C175" t="str">
            <v>Intime Department Store (Group) Co. Ltd.</v>
          </cell>
          <cell r="D175">
            <v>0.14927799999999999</v>
          </cell>
          <cell r="E175">
            <v>0.19998540000000001</v>
          </cell>
          <cell r="F175">
            <v>0.27584920000000002</v>
          </cell>
          <cell r="G175">
            <v>0.37472909999999998</v>
          </cell>
          <cell r="H175">
            <v>0.21406</v>
          </cell>
        </row>
        <row r="176">
          <cell r="C176" t="str">
            <v>Wumart Stores Inc.</v>
          </cell>
          <cell r="D176">
            <v>0.1698596</v>
          </cell>
          <cell r="E176">
            <v>0.24408469999999999</v>
          </cell>
          <cell r="F176">
            <v>0.3364279</v>
          </cell>
          <cell r="G176">
            <v>0.43473099999999998</v>
          </cell>
          <cell r="H176">
            <v>-0.59859519999999999</v>
          </cell>
        </row>
        <row r="177">
          <cell r="C177" t="str">
            <v>Belle International Holdings Ltd.</v>
          </cell>
          <cell r="D177">
            <v>0.11582711</v>
          </cell>
          <cell r="E177">
            <v>0.22900000000000001</v>
          </cell>
          <cell r="F177">
            <v>0.28199999999999997</v>
          </cell>
          <cell r="G177">
            <v>0.37</v>
          </cell>
          <cell r="H177">
            <v>6.1329700000000001E-2</v>
          </cell>
        </row>
        <row r="178">
          <cell r="C178" t="str">
            <v>Pacific Textiles Holdings Ltd.</v>
          </cell>
          <cell r="D178">
            <v>38.860439999999997</v>
          </cell>
          <cell r="E178">
            <v>0.48625000000000002</v>
          </cell>
          <cell r="F178">
            <v>0.55000000000000004</v>
          </cell>
          <cell r="G178">
            <v>0.65375000000000005</v>
          </cell>
          <cell r="H178">
            <v>48.850569999999998</v>
          </cell>
        </row>
        <row r="179">
          <cell r="C179" t="str">
            <v>Jiahua Stores Holdings Ltd.</v>
          </cell>
          <cell r="D179">
            <v>5.5556349999999997E-2</v>
          </cell>
          <cell r="E179" t="str">
            <v>NA</v>
          </cell>
          <cell r="F179" t="str">
            <v>NA</v>
          </cell>
          <cell r="G179" t="str">
            <v>NA</v>
          </cell>
          <cell r="H179">
            <v>-5.915347E-2</v>
          </cell>
        </row>
        <row r="180">
          <cell r="C180" t="str">
            <v>Ajisen (China) Holdings Ltd.</v>
          </cell>
          <cell r="D180">
            <v>0.10591795</v>
          </cell>
          <cell r="E180">
            <v>0.19793430000000001</v>
          </cell>
          <cell r="F180">
            <v>0.30613849999999998</v>
          </cell>
          <cell r="G180">
            <v>0.42907040000000002</v>
          </cell>
          <cell r="H180">
            <v>1.3153208E-2</v>
          </cell>
        </row>
        <row r="181">
          <cell r="C181" t="str">
            <v>Cafe de Coral Group Ltd.</v>
          </cell>
          <cell r="D181">
            <v>0.65667469999999994</v>
          </cell>
          <cell r="E181">
            <v>0.77600000000000002</v>
          </cell>
          <cell r="F181">
            <v>0.90024999999999999</v>
          </cell>
          <cell r="G181">
            <v>1.0389999999999999</v>
          </cell>
          <cell r="H181">
            <v>-1.18825</v>
          </cell>
        </row>
        <row r="182">
          <cell r="C182" t="str">
            <v>Fairwood Holdings Ltd.</v>
          </cell>
          <cell r="D182">
            <v>0.64933180000000001</v>
          </cell>
          <cell r="E182">
            <v>0.79274999999999995</v>
          </cell>
          <cell r="F182">
            <v>0.97275</v>
          </cell>
          <cell r="G182">
            <v>1.1532500000000001</v>
          </cell>
          <cell r="H182">
            <v>-1.2573030000000001</v>
          </cell>
        </row>
        <row r="183">
          <cell r="C183" t="str">
            <v>FU JI Food &amp; Catering Services Holdings Ltd.</v>
          </cell>
          <cell r="D183">
            <v>0.62464240000000004</v>
          </cell>
          <cell r="E183">
            <v>0.88849999999999996</v>
          </cell>
          <cell r="F183">
            <v>1.1575</v>
          </cell>
          <cell r="G183">
            <v>1.49075</v>
          </cell>
          <cell r="H183">
            <v>0.66392640000000003</v>
          </cell>
        </row>
        <row r="184">
          <cell r="C184" t="str">
            <v>Quiksilver Inc.</v>
          </cell>
          <cell r="D184">
            <v>0.69666669999999997</v>
          </cell>
          <cell r="E184">
            <v>0.57833330000000005</v>
          </cell>
          <cell r="F184">
            <v>0.88333329999999999</v>
          </cell>
          <cell r="G184">
            <v>1.256667</v>
          </cell>
          <cell r="H184">
            <v>6.8253880000000002</v>
          </cell>
        </row>
        <row r="185">
          <cell r="C185" t="str">
            <v>Billabong International Ltd.</v>
          </cell>
          <cell r="D185">
            <v>0.75539800000000001</v>
          </cell>
          <cell r="E185">
            <v>0.86250000000000004</v>
          </cell>
          <cell r="F185">
            <v>1.002</v>
          </cell>
          <cell r="G185">
            <v>1.1765000000000001</v>
          </cell>
          <cell r="H185">
            <v>1.0813999999999999</v>
          </cell>
        </row>
        <row r="186">
          <cell r="C186" t="str">
            <v>Mizuno Corp.</v>
          </cell>
          <cell r="D186">
            <v>32.621920000000003</v>
          </cell>
          <cell r="E186">
            <v>31.614999999999998</v>
          </cell>
          <cell r="F186">
            <v>38.433999999999997</v>
          </cell>
          <cell r="G186">
            <v>45.168500000000002</v>
          </cell>
          <cell r="H186">
            <v>141.11680000000001</v>
          </cell>
        </row>
        <row r="187">
          <cell r="C187" t="str">
            <v>Umbro PLC</v>
          </cell>
          <cell r="D187">
            <v>0.13658490000000001</v>
          </cell>
          <cell r="E187">
            <v>0.11899999999999999</v>
          </cell>
          <cell r="F187">
            <v>0.106</v>
          </cell>
          <cell r="G187">
            <v>0.14599999999999999</v>
          </cell>
          <cell r="H187">
            <v>-3.2266209999999997E-2</v>
          </cell>
        </row>
        <row r="188">
          <cell r="C188" t="str">
            <v>Brown Shoe Co. Inc.</v>
          </cell>
          <cell r="D188">
            <v>1.474251</v>
          </cell>
          <cell r="E188">
            <v>1.5925</v>
          </cell>
          <cell r="F188">
            <v>1.9575</v>
          </cell>
          <cell r="G188" t="str">
            <v>NA</v>
          </cell>
          <cell r="H188">
            <v>2.394393</v>
          </cell>
        </row>
        <row r="189">
          <cell r="C189" t="str">
            <v>Shanghai Pharmaceutical Co. Ltd.</v>
          </cell>
          <cell r="D189">
            <v>0.12071904</v>
          </cell>
          <cell r="E189">
            <v>0.30399999999999999</v>
          </cell>
          <cell r="F189">
            <v>0.33700000000000002</v>
          </cell>
          <cell r="G189" t="str">
            <v>NA</v>
          </cell>
          <cell r="H189">
            <v>3.3378800000000002</v>
          </cell>
        </row>
        <row r="190">
          <cell r="C190" t="str">
            <v>China WindPower Group Ltd.</v>
          </cell>
          <cell r="D190">
            <v>0.28190490000000001</v>
          </cell>
          <cell r="E190">
            <v>3.7499999999999999E-2</v>
          </cell>
          <cell r="F190">
            <v>4.7E-2</v>
          </cell>
          <cell r="G190" t="str">
            <v>NA</v>
          </cell>
          <cell r="H190">
            <v>-4.4223560000000002E-2</v>
          </cell>
        </row>
        <row r="191">
          <cell r="C191" t="str">
            <v>Chongqing Tongjung Co. Ltd.</v>
          </cell>
          <cell r="D191">
            <v>9.9377140000000003E-2</v>
          </cell>
          <cell r="E191" t="str">
            <v>NA</v>
          </cell>
          <cell r="F191" t="str">
            <v>NA</v>
          </cell>
          <cell r="G191" t="str">
            <v>NA</v>
          </cell>
          <cell r="H191">
            <v>2.483911</v>
          </cell>
        </row>
        <row r="192">
          <cell r="C192" t="str">
            <v>Shanghai No. 1 Pharmacy Co. Ltd.</v>
          </cell>
          <cell r="D192">
            <v>8.139449E-2</v>
          </cell>
          <cell r="E192" t="str">
            <v>NA</v>
          </cell>
          <cell r="F192" t="str">
            <v>NA</v>
          </cell>
          <cell r="G192" t="str">
            <v>NA</v>
          </cell>
          <cell r="H192">
            <v>-0.37527440000000001</v>
          </cell>
        </row>
        <row r="193">
          <cell r="C193" t="str">
            <v>Sugi Pharmacy Co. Ltd.</v>
          </cell>
          <cell r="D193" t="str">
            <v>NA</v>
          </cell>
          <cell r="E193">
            <v>103.90167</v>
          </cell>
          <cell r="F193">
            <v>125.13334</v>
          </cell>
          <cell r="G193">
            <v>150.73750000000001</v>
          </cell>
          <cell r="H193" t="str">
            <v>NA</v>
          </cell>
        </row>
        <row r="194">
          <cell r="C194" t="str">
            <v>Sundrug Co. Ltd.</v>
          </cell>
          <cell r="D194">
            <v>117.93369</v>
          </cell>
          <cell r="E194">
            <v>129.8175</v>
          </cell>
          <cell r="F194">
            <v>145.19749999999999</v>
          </cell>
          <cell r="G194">
            <v>164.07249999999999</v>
          </cell>
          <cell r="H194">
            <v>-175.43799999999999</v>
          </cell>
        </row>
        <row r="195">
          <cell r="C195" t="str">
            <v>MATSUMOTOKIYOSHI C NPV</v>
          </cell>
          <cell r="D195">
            <v>71.348370000000003</v>
          </cell>
          <cell r="E195" t="str">
            <v>NA</v>
          </cell>
          <cell r="F195" t="str">
            <v>NA</v>
          </cell>
          <cell r="G195" t="str">
            <v>NA</v>
          </cell>
          <cell r="H195">
            <v>236.369</v>
          </cell>
        </row>
        <row r="196">
          <cell r="C196" t="str">
            <v>Tsuruha Holdings Inc.</v>
          </cell>
          <cell r="D196">
            <v>230.91829999999999</v>
          </cell>
          <cell r="E196">
            <v>251.2825</v>
          </cell>
          <cell r="F196">
            <v>288.1712</v>
          </cell>
          <cell r="G196">
            <v>334.30959999999999</v>
          </cell>
          <cell r="H196" t="str">
            <v>NA</v>
          </cell>
        </row>
        <row r="197">
          <cell r="C197" t="str">
            <v>Cawachi Ltd.</v>
          </cell>
          <cell r="D197">
            <v>214.04259999999999</v>
          </cell>
          <cell r="E197">
            <v>225.86619999999999</v>
          </cell>
          <cell r="F197">
            <v>232.12119999999999</v>
          </cell>
          <cell r="G197">
            <v>238.47880000000001</v>
          </cell>
          <cell r="H197">
            <v>757.82650000000001</v>
          </cell>
        </row>
        <row r="198">
          <cell r="C198" t="str">
            <v>Create S.D Co. Ltd.</v>
          </cell>
          <cell r="D198">
            <v>143.36770000000001</v>
          </cell>
          <cell r="E198" t="str">
            <v>NA</v>
          </cell>
          <cell r="F198" t="str">
            <v>NA</v>
          </cell>
          <cell r="G198" t="str">
            <v>NA</v>
          </cell>
          <cell r="H198">
            <v>-386.50279999999998</v>
          </cell>
        </row>
        <row r="199">
          <cell r="C199" t="str">
            <v>COSMOS Pharmaceutical Corp.</v>
          </cell>
          <cell r="D199">
            <v>107.55305</v>
          </cell>
          <cell r="E199">
            <v>120.81667</v>
          </cell>
          <cell r="F199">
            <v>137.39580000000001</v>
          </cell>
          <cell r="G199">
            <v>158.64580000000001</v>
          </cell>
          <cell r="H199">
            <v>-82.715459999999993</v>
          </cell>
        </row>
        <row r="200">
          <cell r="C200" t="str">
            <v>Welcia Kanto Co. Ltd.</v>
          </cell>
          <cell r="D200">
            <v>140.7861</v>
          </cell>
          <cell r="E200">
            <v>193.8133</v>
          </cell>
          <cell r="F200">
            <v>221.2</v>
          </cell>
          <cell r="G200" t="str">
            <v>NA</v>
          </cell>
          <cell r="H200">
            <v>-21.049379999999999</v>
          </cell>
        </row>
        <row r="201">
          <cell r="C201" t="str">
            <v>Allied Hearts Holdings Co. Ltd.</v>
          </cell>
          <cell r="D201" t="str">
            <v>NA</v>
          </cell>
          <cell r="E201" t="str">
            <v>NA</v>
          </cell>
          <cell r="F201" t="str">
            <v>NA</v>
          </cell>
          <cell r="G201" t="str">
            <v>NA</v>
          </cell>
          <cell r="H201" t="str">
            <v>NA</v>
          </cell>
        </row>
        <row r="202">
          <cell r="C202" t="str">
            <v>Nihon Chouzai Co. Ltd.</v>
          </cell>
          <cell r="D202">
            <v>77.295959999999994</v>
          </cell>
          <cell r="E202">
            <v>97.407510000000002</v>
          </cell>
          <cell r="F202">
            <v>154.08750000000001</v>
          </cell>
          <cell r="G202">
            <v>173.86250000000001</v>
          </cell>
          <cell r="H202">
            <v>964.52520000000004</v>
          </cell>
        </row>
        <row r="203">
          <cell r="C203" t="str">
            <v>Shaklee Global Group Inc.</v>
          </cell>
          <cell r="D203">
            <v>23.811070000000001</v>
          </cell>
          <cell r="E203" t="str">
            <v>NA</v>
          </cell>
          <cell r="F203" t="str">
            <v>NA</v>
          </cell>
          <cell r="G203" t="str">
            <v>NA</v>
          </cell>
          <cell r="H203">
            <v>497.38290000000001</v>
          </cell>
        </row>
        <row r="204">
          <cell r="C204" t="str">
            <v>Segami Medics Co. Ltd.</v>
          </cell>
          <cell r="D204">
            <v>156.79</v>
          </cell>
          <cell r="E204" t="str">
            <v>NA</v>
          </cell>
          <cell r="F204" t="str">
            <v>NA</v>
          </cell>
          <cell r="G204" t="str">
            <v>NA</v>
          </cell>
          <cell r="H204">
            <v>-921.82090000000005</v>
          </cell>
        </row>
        <row r="205">
          <cell r="C205" t="str">
            <v>CFS Corp.</v>
          </cell>
          <cell r="D205">
            <v>-82.105810000000005</v>
          </cell>
          <cell r="E205" t="str">
            <v>NA</v>
          </cell>
          <cell r="F205" t="str">
            <v>NA</v>
          </cell>
          <cell r="G205" t="str">
            <v>NA</v>
          </cell>
          <cell r="H205">
            <v>261.9667</v>
          </cell>
        </row>
        <row r="206">
          <cell r="C206" t="str">
            <v>Kraft Inc.</v>
          </cell>
          <cell r="D206">
            <v>191.25239999999999</v>
          </cell>
          <cell r="E206" t="str">
            <v>NA</v>
          </cell>
          <cell r="F206" t="str">
            <v>NA</v>
          </cell>
          <cell r="G206" t="str">
            <v>NA</v>
          </cell>
          <cell r="H206">
            <v>999.64949999999999</v>
          </cell>
        </row>
        <row r="207">
          <cell r="C207" t="str">
            <v>Kirindo Co. Ltd.</v>
          </cell>
          <cell r="D207">
            <v>66.655850000000001</v>
          </cell>
          <cell r="E207">
            <v>76.5</v>
          </cell>
          <cell r="F207">
            <v>90.058329999999998</v>
          </cell>
          <cell r="G207">
            <v>101.685</v>
          </cell>
          <cell r="H207">
            <v>1519.5730000000001</v>
          </cell>
        </row>
        <row r="208">
          <cell r="C208" t="str">
            <v>Kusuri No Aoki Co. Ltd.</v>
          </cell>
          <cell r="D208" t="str">
            <v>NA</v>
          </cell>
          <cell r="E208" t="str">
            <v>NA</v>
          </cell>
          <cell r="F208" t="str">
            <v>NA</v>
          </cell>
          <cell r="G208" t="str">
            <v>NA</v>
          </cell>
          <cell r="H208" t="str">
            <v>NA</v>
          </cell>
        </row>
        <row r="209">
          <cell r="C209" t="str">
            <v>Terashima Co. Ltd.</v>
          </cell>
          <cell r="D209">
            <v>-94.085949999999997</v>
          </cell>
          <cell r="E209" t="str">
            <v>NA</v>
          </cell>
          <cell r="F209" t="str">
            <v>NA</v>
          </cell>
          <cell r="G209" t="str">
            <v>NA</v>
          </cell>
          <cell r="H209">
            <v>258.62950000000001</v>
          </cell>
        </row>
        <row r="210">
          <cell r="C210" t="str">
            <v>Yakuodo Co. Ltd.</v>
          </cell>
          <cell r="D210">
            <v>18927.18</v>
          </cell>
          <cell r="E210" t="str">
            <v>NA</v>
          </cell>
          <cell r="F210" t="str">
            <v>NA</v>
          </cell>
          <cell r="G210" t="str">
            <v>NA</v>
          </cell>
          <cell r="H210">
            <v>84618.22</v>
          </cell>
        </row>
        <row r="211">
          <cell r="C211" t="str">
            <v>QOL Co. Ltd.</v>
          </cell>
          <cell r="D211">
            <v>13269.982</v>
          </cell>
          <cell r="E211" t="str">
            <v>NA</v>
          </cell>
          <cell r="F211" t="str">
            <v>NA</v>
          </cell>
          <cell r="G211" t="str">
            <v>NA</v>
          </cell>
          <cell r="H211">
            <v>65128.88</v>
          </cell>
        </row>
        <row r="212">
          <cell r="C212" t="str">
            <v>Chukyo Iyakuhin Co. Ltd.</v>
          </cell>
          <cell r="D212">
            <v>1.410083</v>
          </cell>
          <cell r="E212" t="str">
            <v>NA</v>
          </cell>
          <cell r="F212" t="str">
            <v>NA</v>
          </cell>
          <cell r="G212" t="str">
            <v>NA</v>
          </cell>
          <cell r="H212">
            <v>78.614410000000007</v>
          </cell>
        </row>
        <row r="213">
          <cell r="C213" t="str">
            <v>Midoriyakuhin Co. Ltd.</v>
          </cell>
          <cell r="D213">
            <v>12547.834000000001</v>
          </cell>
          <cell r="E213" t="str">
            <v>NA</v>
          </cell>
          <cell r="F213" t="str">
            <v>NA</v>
          </cell>
          <cell r="G213" t="str">
            <v>NA</v>
          </cell>
          <cell r="H213">
            <v>193795.3</v>
          </cell>
        </row>
        <row r="214">
          <cell r="C214" t="str">
            <v>Hanshin Dispensing Pharmacy Co. Ltd.</v>
          </cell>
          <cell r="D214">
            <v>1.1105</v>
          </cell>
          <cell r="E214" t="str">
            <v>NA</v>
          </cell>
          <cell r="F214" t="str">
            <v>NA</v>
          </cell>
          <cell r="G214" t="str">
            <v>NA</v>
          </cell>
          <cell r="H214">
            <v>380.5009</v>
          </cell>
        </row>
        <row r="215">
          <cell r="C215" t="str">
            <v>Lady Drug Store Co. Ltd.</v>
          </cell>
          <cell r="D215">
            <v>19695.75</v>
          </cell>
          <cell r="E215" t="str">
            <v>NA</v>
          </cell>
          <cell r="F215" t="str">
            <v>NA</v>
          </cell>
          <cell r="G215" t="str">
            <v>NA</v>
          </cell>
          <cell r="H215">
            <v>457313.4</v>
          </cell>
        </row>
        <row r="216">
          <cell r="C216" t="str">
            <v>Medical System Network Co. Ltd.</v>
          </cell>
          <cell r="D216" t="str">
            <v>NA</v>
          </cell>
          <cell r="E216" t="str">
            <v>NA</v>
          </cell>
          <cell r="F216" t="str">
            <v>NA</v>
          </cell>
          <cell r="G216" t="str">
            <v>NA</v>
          </cell>
          <cell r="H216" t="str">
            <v>NA</v>
          </cell>
        </row>
        <row r="217">
          <cell r="C217" t="str">
            <v>Sapporo Drug Store Co. Ltd.</v>
          </cell>
          <cell r="D217">
            <v>25008.3</v>
          </cell>
          <cell r="E217" t="str">
            <v>NA</v>
          </cell>
          <cell r="F217" t="str">
            <v>NA</v>
          </cell>
          <cell r="G217" t="str">
            <v>NA</v>
          </cell>
          <cell r="H217">
            <v>207205.9</v>
          </cell>
        </row>
        <row r="218">
          <cell r="C218" t="str">
            <v>Ain Medical Systems Inc.</v>
          </cell>
          <cell r="D218">
            <v>30667.78</v>
          </cell>
          <cell r="E218" t="str">
            <v>NA</v>
          </cell>
          <cell r="F218" t="str">
            <v>NA</v>
          </cell>
          <cell r="G218" t="str">
            <v>NA</v>
          </cell>
          <cell r="H218">
            <v>-10557.928</v>
          </cell>
        </row>
        <row r="219">
          <cell r="C219" t="str">
            <v>CVS Caremark Corp.</v>
          </cell>
          <cell r="D219">
            <v>1.6409579999999999</v>
          </cell>
          <cell r="E219">
            <v>1.9</v>
          </cell>
          <cell r="F219">
            <v>2.3199999999999998</v>
          </cell>
          <cell r="G219">
            <v>2.665</v>
          </cell>
          <cell r="H219">
            <v>5.482011</v>
          </cell>
        </row>
        <row r="220">
          <cell r="C220" t="str">
            <v>Walgreen Co.</v>
          </cell>
          <cell r="D220">
            <v>1.8466670000000001</v>
          </cell>
          <cell r="E220">
            <v>2.1349999999999998</v>
          </cell>
          <cell r="F220">
            <v>2.3033329999999999</v>
          </cell>
          <cell r="G220">
            <v>2.6266669999999999</v>
          </cell>
          <cell r="H220" t="str">
            <v>NA</v>
          </cell>
        </row>
        <row r="221">
          <cell r="C221" t="str">
            <v>Rite Aid Corp.</v>
          </cell>
          <cell r="D221">
            <v>0.38251410000000002</v>
          </cell>
          <cell r="E221">
            <v>-0.17666670000000001</v>
          </cell>
          <cell r="F221">
            <v>-5.8333329999999996E-3</v>
          </cell>
          <cell r="G221">
            <v>0.1641667</v>
          </cell>
          <cell r="H221">
            <v>5.5952159999999997</v>
          </cell>
        </row>
        <row r="222">
          <cell r="C222" t="str">
            <v>Longs Drug Stores Corp.</v>
          </cell>
          <cell r="D222">
            <v>1.9901709999999999</v>
          </cell>
          <cell r="E222">
            <v>2.5724999999999998</v>
          </cell>
          <cell r="F222">
            <v>2.9224999999999999</v>
          </cell>
          <cell r="G222">
            <v>3.3166669999999998</v>
          </cell>
          <cell r="H222">
            <v>2.726607</v>
          </cell>
        </row>
        <row r="223">
          <cell r="C223" t="str">
            <v>Allion Healthcare Inc.</v>
          </cell>
          <cell r="D223">
            <v>0.1968838</v>
          </cell>
          <cell r="E223">
            <v>0.22</v>
          </cell>
          <cell r="F223">
            <v>0.33</v>
          </cell>
          <cell r="G223" t="str">
            <v>NA</v>
          </cell>
          <cell r="H223">
            <v>-1.4020950000000001</v>
          </cell>
        </row>
        <row r="224">
          <cell r="C224" t="str">
            <v>Shoppers Drug Mart Corp.</v>
          </cell>
          <cell r="D224">
            <v>1.9652940000000001</v>
          </cell>
          <cell r="E224">
            <v>2.27</v>
          </cell>
          <cell r="F224">
            <v>2.61</v>
          </cell>
          <cell r="G224">
            <v>3.03</v>
          </cell>
          <cell r="H224">
            <v>4.0710230000000003</v>
          </cell>
        </row>
        <row r="225">
          <cell r="C225" t="str">
            <v>Jean Coutu Group (PJC) Inc. (Cl A)</v>
          </cell>
          <cell r="D225">
            <v>0.64083330000000005</v>
          </cell>
          <cell r="E225">
            <v>0.6066667</v>
          </cell>
          <cell r="F225">
            <v>0.58216670000000004</v>
          </cell>
          <cell r="G225" t="str">
            <v>NA</v>
          </cell>
          <cell r="H225" t="str">
            <v>NA</v>
          </cell>
        </row>
        <row r="226">
          <cell r="C226" t="str">
            <v>Paragon Pharmacies Ltd</v>
          </cell>
          <cell r="D226" t="str">
            <v>NA</v>
          </cell>
          <cell r="E226">
            <v>-3.6666669999999998E-2</v>
          </cell>
          <cell r="F226">
            <v>-0.01</v>
          </cell>
          <cell r="G226" t="str">
            <v>NA</v>
          </cell>
          <cell r="H226" t="str">
            <v>NA</v>
          </cell>
        </row>
        <row r="227">
          <cell r="C227" t="str">
            <v>Alliance Boots</v>
          </cell>
          <cell r="D227">
            <v>0.49125360000000001</v>
          </cell>
          <cell r="E227" t="str">
            <v>NA</v>
          </cell>
          <cell r="F227" t="str">
            <v>NA</v>
          </cell>
          <cell r="G227" t="str">
            <v>NA</v>
          </cell>
          <cell r="H227">
            <v>0.66491820000000001</v>
          </cell>
        </row>
        <row r="228">
          <cell r="C228" t="str">
            <v>Corporativo Fragua S.A.B. de C.V.</v>
          </cell>
          <cell r="D228">
            <v>5.1985669999999997</v>
          </cell>
          <cell r="E228">
            <v>6.39</v>
          </cell>
          <cell r="F228">
            <v>8.8000000000000007</v>
          </cell>
          <cell r="G228" t="str">
            <v>NA</v>
          </cell>
          <cell r="H228">
            <v>-10.573129</v>
          </cell>
        </row>
        <row r="229">
          <cell r="C229" t="str">
            <v>Farmacias Ahumada S.A.</v>
          </cell>
          <cell r="D229">
            <v>47.008229999999998</v>
          </cell>
          <cell r="E229" t="str">
            <v>NA</v>
          </cell>
          <cell r="F229" t="str">
            <v>NA</v>
          </cell>
          <cell r="G229" t="str">
            <v>NA</v>
          </cell>
          <cell r="H229">
            <v>214.03370000000001</v>
          </cell>
        </row>
        <row r="230">
          <cell r="C230" t="str">
            <v>Farmacias Benavides S.A.B. de C.V.</v>
          </cell>
          <cell r="D230">
            <v>0.60830720000000005</v>
          </cell>
          <cell r="E230" t="str">
            <v>NA</v>
          </cell>
          <cell r="F230" t="str">
            <v>NA</v>
          </cell>
          <cell r="G230" t="str">
            <v>NA</v>
          </cell>
          <cell r="H230">
            <v>3.3093089999999999E-3</v>
          </cell>
        </row>
        <row r="231">
          <cell r="C231" t="str">
            <v>Dimed S/A</v>
          </cell>
          <cell r="D231">
            <v>3.079952</v>
          </cell>
          <cell r="E231" t="str">
            <v>NA</v>
          </cell>
          <cell r="F231" t="str">
            <v>NA</v>
          </cell>
          <cell r="G231" t="str">
            <v>NA</v>
          </cell>
          <cell r="H231">
            <v>-4.5579090000000004</v>
          </cell>
        </row>
        <row r="232">
          <cell r="C232" t="str">
            <v>Stella International Holdings Ltd.</v>
          </cell>
          <cell r="D232">
            <v>0.91020290000000004</v>
          </cell>
          <cell r="E232">
            <v>1.1928700000000001</v>
          </cell>
          <cell r="F232">
            <v>1.3721270000000001</v>
          </cell>
          <cell r="G232">
            <v>1.533668</v>
          </cell>
          <cell r="H232">
            <v>-1.2072940000000001</v>
          </cell>
        </row>
        <row r="233">
          <cell r="C233" t="str">
            <v>Integrated Distribution Services Group Ltd.</v>
          </cell>
          <cell r="D233">
            <v>0.58170379999999999</v>
          </cell>
          <cell r="E233">
            <v>0.63500000000000001</v>
          </cell>
          <cell r="F233">
            <v>0.73299999999999998</v>
          </cell>
          <cell r="G233">
            <v>0.86199999999999999</v>
          </cell>
          <cell r="H233">
            <v>0.3490144</v>
          </cell>
        </row>
        <row r="234">
          <cell r="C234" t="str">
            <v>New World Department Store China Ltd.</v>
          </cell>
          <cell r="D234" t="str">
            <v>NA</v>
          </cell>
          <cell r="E234">
            <v>0.1905</v>
          </cell>
          <cell r="F234">
            <v>0.253</v>
          </cell>
          <cell r="G234">
            <v>0.34</v>
          </cell>
          <cell r="H234" t="str">
            <v>NA</v>
          </cell>
        </row>
        <row r="235">
          <cell r="C235" t="str">
            <v>Times Ltd.</v>
          </cell>
          <cell r="D235">
            <v>8.9885880000000001E-2</v>
          </cell>
          <cell r="E235">
            <v>0.129</v>
          </cell>
          <cell r="F235">
            <v>0.186</v>
          </cell>
          <cell r="G235">
            <v>0.252</v>
          </cell>
          <cell r="H235">
            <v>5.2668039999999999E-2</v>
          </cell>
        </row>
        <row r="236">
          <cell r="C236" t="str">
            <v>Anta Sports Products Ltd.</v>
          </cell>
          <cell r="D236">
            <v>5.7803689999999998E-2</v>
          </cell>
          <cell r="E236">
            <v>0.19896</v>
          </cell>
          <cell r="F236">
            <v>0.29315740000000001</v>
          </cell>
          <cell r="G236">
            <v>0.42341000000000001</v>
          </cell>
          <cell r="H236">
            <v>-5.1929110000000001E-2</v>
          </cell>
        </row>
        <row r="237">
          <cell r="C237" t="str">
            <v>Vinda International Holdings Ltd.</v>
          </cell>
          <cell r="D237">
            <v>0.1243884</v>
          </cell>
          <cell r="E237" t="str">
            <v>NA</v>
          </cell>
          <cell r="F237" t="str">
            <v>NA</v>
          </cell>
          <cell r="G237" t="str">
            <v>NA</v>
          </cell>
          <cell r="H237">
            <v>0.94165589999999999</v>
          </cell>
        </row>
        <row r="238">
          <cell r="C238" t="str">
            <v>Glorious Sun Enterprises Ltd.</v>
          </cell>
          <cell r="D238">
            <v>0.25745689999999999</v>
          </cell>
          <cell r="E238">
            <v>0.28999999999999998</v>
          </cell>
          <cell r="F238">
            <v>0.32900000000000001</v>
          </cell>
          <cell r="G238">
            <v>0.36799999999999999</v>
          </cell>
          <cell r="H238">
            <v>-0.84115580000000001</v>
          </cell>
        </row>
        <row r="239">
          <cell r="C239" t="str">
            <v>Tongjitang Chinese Medicines Co. (ADS)</v>
          </cell>
          <cell r="D239" t="str">
            <v>NA</v>
          </cell>
          <cell r="E239">
            <v>0.83028860000000004</v>
          </cell>
          <cell r="F239">
            <v>1.0087619999999999</v>
          </cell>
          <cell r="G239">
            <v>1.381634</v>
          </cell>
          <cell r="H239" t="str">
            <v>NA</v>
          </cell>
        </row>
        <row r="240">
          <cell r="C240" t="str">
            <v>3SBio Inc. (ADS)</v>
          </cell>
          <cell r="D240">
            <v>0.2681846</v>
          </cell>
          <cell r="E240">
            <v>0.46</v>
          </cell>
          <cell r="F240">
            <v>0.64500000000000002</v>
          </cell>
          <cell r="G240">
            <v>0.79400000000000004</v>
          </cell>
          <cell r="H240">
            <v>0.13113720000000001</v>
          </cell>
        </row>
        <row r="241">
          <cell r="C241" t="str">
            <v>China Medical Technologies Inc. (ADS)</v>
          </cell>
          <cell r="D241">
            <v>1.2925</v>
          </cell>
          <cell r="E241">
            <v>1.4784999999999999</v>
          </cell>
          <cell r="F241">
            <v>1.8605</v>
          </cell>
          <cell r="G241">
            <v>2.5082499999999999</v>
          </cell>
          <cell r="H241" t="str">
            <v>NA</v>
          </cell>
        </row>
        <row r="242">
          <cell r="C242" t="str">
            <v>Mindray Medical International Ltd. (ADS)</v>
          </cell>
          <cell r="D242">
            <v>0.42999179999999998</v>
          </cell>
          <cell r="E242">
            <v>0.69</v>
          </cell>
          <cell r="F242">
            <v>0.95599999999999996</v>
          </cell>
          <cell r="G242">
            <v>1.31</v>
          </cell>
          <cell r="H242">
            <v>-2.0256690000000002</v>
          </cell>
        </row>
        <row r="243">
          <cell r="C243" t="str">
            <v>Shenzhen Accord Pharmaceutical Co. Ltd.</v>
          </cell>
          <cell r="D243">
            <v>0.13418389999999999</v>
          </cell>
          <cell r="E243">
            <v>0.35</v>
          </cell>
          <cell r="F243">
            <v>0.43099999999999999</v>
          </cell>
          <cell r="G243" t="str">
            <v>NA</v>
          </cell>
          <cell r="H243">
            <v>0.65717289999999995</v>
          </cell>
        </row>
        <row r="244">
          <cell r="C244" t="str">
            <v>Zhejiang Int'l Group Co. Ltd.</v>
          </cell>
          <cell r="D244">
            <v>5.8967480000000003E-2</v>
          </cell>
          <cell r="E244" t="str">
            <v>NA</v>
          </cell>
          <cell r="F244" t="str">
            <v>NA</v>
          </cell>
          <cell r="G244" t="str">
            <v>NA</v>
          </cell>
          <cell r="H244">
            <v>1.3519920000000001</v>
          </cell>
        </row>
        <row r="245">
          <cell r="C245" t="str">
            <v>Jilin Leading Technology Development Co. Ltd.</v>
          </cell>
          <cell r="D245">
            <v>0.14276</v>
          </cell>
          <cell r="E245" t="str">
            <v>NA</v>
          </cell>
          <cell r="F245" t="str">
            <v>NA</v>
          </cell>
          <cell r="G245" t="str">
            <v>NA</v>
          </cell>
          <cell r="H245">
            <v>1.127793</v>
          </cell>
        </row>
        <row r="246">
          <cell r="C246" t="str">
            <v>Huadong Medicine Co. Ltd.</v>
          </cell>
          <cell r="D246">
            <v>0.19202649999999999</v>
          </cell>
          <cell r="E246">
            <v>0.246</v>
          </cell>
          <cell r="F246">
            <v>0.30299999999999999</v>
          </cell>
          <cell r="G246" t="str">
            <v>NA</v>
          </cell>
          <cell r="H246">
            <v>1.251371</v>
          </cell>
        </row>
        <row r="247">
          <cell r="C247" t="str">
            <v>CNTIC Trading Co. Ltd.</v>
          </cell>
          <cell r="D247">
            <v>0.30232229999999999</v>
          </cell>
          <cell r="E247" t="str">
            <v>NA</v>
          </cell>
          <cell r="F247" t="str">
            <v>NA</v>
          </cell>
          <cell r="G247" t="str">
            <v>NA</v>
          </cell>
          <cell r="H247">
            <v>-2.8902960000000002</v>
          </cell>
        </row>
        <row r="248">
          <cell r="C248" t="str">
            <v>Shanghai Fosun Pharmaceutical (Group) Co. Ltd.</v>
          </cell>
          <cell r="D248">
            <v>0.20937410000000001</v>
          </cell>
          <cell r="E248">
            <v>0.26400000000000001</v>
          </cell>
          <cell r="F248">
            <v>0.32200000000000001</v>
          </cell>
          <cell r="G248" t="str">
            <v>NA</v>
          </cell>
          <cell r="H248">
            <v>0.92138410000000004</v>
          </cell>
        </row>
        <row r="249">
          <cell r="C249" t="str">
            <v>Zhuzhou Qianjin Pharmaceutical Co. Ltd.</v>
          </cell>
          <cell r="D249">
            <v>0.47472890000000001</v>
          </cell>
          <cell r="E249" t="str">
            <v>NA</v>
          </cell>
          <cell r="F249" t="str">
            <v>NA</v>
          </cell>
          <cell r="G249" t="str">
            <v>NA</v>
          </cell>
          <cell r="H249">
            <v>-2.8118449999999999</v>
          </cell>
        </row>
        <row r="250">
          <cell r="C250" t="str">
            <v>China National Medicines Co. Ltd.</v>
          </cell>
          <cell r="D250">
            <v>0.63617299999999999</v>
          </cell>
          <cell r="E250">
            <v>0.93</v>
          </cell>
          <cell r="F250">
            <v>1.2110000000000001</v>
          </cell>
          <cell r="G250" t="str">
            <v>NA</v>
          </cell>
          <cell r="H250">
            <v>-0.32675929999999997</v>
          </cell>
        </row>
        <row r="251">
          <cell r="C251" t="str">
            <v>Shanghai No. 1 Pharmacy Co. Ltd.</v>
          </cell>
          <cell r="D251">
            <v>8.139449E-2</v>
          </cell>
          <cell r="E251" t="str">
            <v>NA</v>
          </cell>
          <cell r="F251" t="str">
            <v>NA</v>
          </cell>
          <cell r="G251" t="str">
            <v>NA</v>
          </cell>
          <cell r="H251">
            <v>-0.37527440000000001</v>
          </cell>
        </row>
        <row r="252">
          <cell r="C252" t="str">
            <v>Nanjing Medical Co. Ltd.</v>
          </cell>
          <cell r="D252">
            <v>7.4108649999999998E-2</v>
          </cell>
          <cell r="E252" t="str">
            <v>NA</v>
          </cell>
          <cell r="F252" t="str">
            <v>NA</v>
          </cell>
          <cell r="G252" t="str">
            <v>NA</v>
          </cell>
          <cell r="H252">
            <v>2.870123</v>
          </cell>
        </row>
        <row r="253">
          <cell r="C253" t="str">
            <v>Shenzhen Neptunus Bioengineering Co. Ltd.</v>
          </cell>
          <cell r="D253">
            <v>6.8776180000000006E-2</v>
          </cell>
          <cell r="E253" t="str">
            <v>NA</v>
          </cell>
          <cell r="F253" t="str">
            <v>NA</v>
          </cell>
          <cell r="G253" t="str">
            <v>NA</v>
          </cell>
          <cell r="H253">
            <v>1.793312</v>
          </cell>
        </row>
        <row r="254">
          <cell r="C254" t="str">
            <v>Guangzhou Pharmaceutical Co. Ltd.</v>
          </cell>
          <cell r="D254">
            <v>0.26891969999999998</v>
          </cell>
          <cell r="E254">
            <v>0.4</v>
          </cell>
          <cell r="F254">
            <v>0.42</v>
          </cell>
          <cell r="G254">
            <v>0.53</v>
          </cell>
          <cell r="H254">
            <v>0.4921334</v>
          </cell>
        </row>
        <row r="255">
          <cell r="C255" t="str">
            <v>Zhejiang Zhenyuan Co. Ltd.</v>
          </cell>
          <cell r="D255">
            <v>6.1940790000000003E-2</v>
          </cell>
          <cell r="E255" t="str">
            <v>NA</v>
          </cell>
          <cell r="F255" t="str">
            <v>NA</v>
          </cell>
          <cell r="G255" t="str">
            <v>NA</v>
          </cell>
          <cell r="H255">
            <v>0.97503899999999999</v>
          </cell>
        </row>
        <row r="256">
          <cell r="C256" t="str">
            <v>Dalian Merro Pharmaceutical Co. Ltd.</v>
          </cell>
          <cell r="D256">
            <v>0.13010949999999999</v>
          </cell>
          <cell r="E256" t="str">
            <v>NA</v>
          </cell>
          <cell r="F256" t="str">
            <v>NA</v>
          </cell>
          <cell r="G256" t="str">
            <v>NA</v>
          </cell>
          <cell r="H256">
            <v>0.75290500000000005</v>
          </cell>
        </row>
        <row r="257">
          <cell r="C257" t="str">
            <v>Shanghai Pharmaceutical Co. Ltd.</v>
          </cell>
          <cell r="D257">
            <v>0.12071904</v>
          </cell>
          <cell r="E257">
            <v>0.30399999999999999</v>
          </cell>
          <cell r="F257">
            <v>0.33700000000000002</v>
          </cell>
          <cell r="G257" t="str">
            <v>NA</v>
          </cell>
          <cell r="H257">
            <v>3.3378800000000002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L"/>
      <sheetName val="Balance Sheet"/>
      <sheetName val="Service demand"/>
      <sheetName val="Delivery organization"/>
      <sheetName val="Service supply estimation"/>
      <sheetName val="Cost"/>
      <sheetName val="Chargeout"/>
      <sheetName val="charging"/>
      <sheetName val="Assumptions"/>
      <sheetName val="Work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ly p&amp;l"/>
      <sheetName val="Assumptions"/>
      <sheetName val="Taxes"/>
      <sheetName val="Category Breakup"/>
      <sheetName val="Technology"/>
      <sheetName val="Marketing"/>
      <sheetName val="Customer Support"/>
      <sheetName val="HR"/>
      <sheetName val="General&amp;Admin"/>
      <sheetName val="Capex"/>
      <sheetName val="Working I"/>
      <sheetName val="P&amp;L"/>
      <sheetName val="Balance Sheet"/>
      <sheetName val="Cash Flow"/>
      <sheetName val="Utilisation of Funds"/>
    </sheetNames>
    <sheetDataSet>
      <sheetData sheetId="0"/>
      <sheetData sheetId="1"/>
      <sheetData sheetId="2"/>
      <sheetData sheetId="3">
        <row r="12">
          <cell r="AB12">
            <v>32010</v>
          </cell>
          <cell r="AE12">
            <v>4101</v>
          </cell>
          <cell r="AK12">
            <v>3.0149999999999996E-2</v>
          </cell>
          <cell r="AM12">
            <v>7.7525999999999992E-3</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and Estimate - SFSO"/>
      <sheetName val="Revenue model"/>
      <sheetName val="Capex plan"/>
      <sheetName val="Costs"/>
      <sheetName val="Mktg"/>
      <sheetName val="Assumptions"/>
    </sheetNames>
    <sheetDataSet>
      <sheetData sheetId="0"/>
      <sheetData sheetId="1"/>
      <sheetData sheetId="2"/>
      <sheetData sheetId="3"/>
      <sheetData sheetId="4"/>
      <sheetData sheetId="5"/>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y Table"/>
      <sheetName val="Assumptions"/>
      <sheetName val="Capex Scheduling"/>
      <sheetName val="Tax Schedule"/>
      <sheetName val="Applicable Tariffs"/>
      <sheetName val="LT"/>
      <sheetName val="Workings"/>
      <sheetName val="Debt Schedule"/>
      <sheetName val="Working Capital Schedule"/>
      <sheetName val="Depreciation Schedule"/>
      <sheetName val="Statements"/>
      <sheetName val="Output"/>
      <sheetName val="PIM related"/>
      <sheetName val="PFSBU"/>
      <sheetName val="Sensitivity"/>
    </sheetNames>
    <sheetDataSet>
      <sheetData sheetId="0"/>
      <sheetData sheetId="1">
        <row r="4">
          <cell r="D4">
            <v>72</v>
          </cell>
        </row>
        <row r="31">
          <cell r="I31">
            <v>1.3222758083113</v>
          </cell>
        </row>
      </sheetData>
      <sheetData sheetId="2">
        <row r="35">
          <cell r="F35">
            <v>3.9659708650000005</v>
          </cell>
        </row>
      </sheetData>
      <sheetData sheetId="3"/>
      <sheetData sheetId="4"/>
      <sheetData sheetId="5"/>
      <sheetData sheetId="6"/>
      <sheetData sheetId="7"/>
      <sheetData sheetId="8"/>
      <sheetData sheetId="9"/>
      <sheetData sheetId="10">
        <row r="86">
          <cell r="E86">
            <v>1017.711978364682</v>
          </cell>
        </row>
      </sheetData>
      <sheetData sheetId="11"/>
      <sheetData sheetId="12">
        <row r="10">
          <cell r="B10">
            <v>4.6701961265249059</v>
          </cell>
        </row>
      </sheetData>
      <sheetData sheetId="13"/>
      <sheetData sheetId="14"/>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P&amp;L"/>
      <sheetName val="Schedules"/>
      <sheetName val="Sch-3"/>
      <sheetName val="Groupings"/>
      <sheetName val="TB"/>
      <sheetName val="Form 3CD"/>
      <sheetName val="TaxComputn"/>
      <sheetName val="ITDprn"/>
      <sheetName val="Sec 40A(2)"/>
      <sheetName val="Sec 43B"/>
      <sheetName val="Prior Period Items"/>
      <sheetName val="TDS"/>
      <sheetName val="Workings"/>
      <sheetName val="Directors"/>
      <sheetName val="Comp"/>
    </sheetNames>
    <sheetDataSet>
      <sheetData sheetId="0">
        <row r="1">
          <cell r="F1">
            <v>36981</v>
          </cell>
        </row>
      </sheetData>
      <sheetData sheetId="1"/>
      <sheetData sheetId="2" refreshError="1"/>
      <sheetData sheetId="3"/>
      <sheetData sheetId="4"/>
      <sheetData sheetId="5"/>
      <sheetData sheetId="6">
        <row r="2">
          <cell r="A2" t="str">
            <v>ASST. YEAR :   2001 - 02</v>
          </cell>
        </row>
        <row r="3">
          <cell r="A3" t="str">
            <v>PREVIOUS YEAR :  MARCH 31, 2001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C-Standalone"/>
      <sheetName val="RCIL-Standalone"/>
      <sheetName val="RIC-conso"/>
      <sheetName val="RIC-Conso-details"/>
      <sheetName val="RCIL-conso"/>
      <sheetName val="RCIL-Conso-details"/>
      <sheetName val="Sheet1"/>
      <sheetName val="RCIL_Conso_details"/>
    </sheetNames>
    <sheetDataSet>
      <sheetData sheetId="0" refreshError="1"/>
      <sheetData sheetId="1" refreshError="1"/>
      <sheetData sheetId="2" refreshError="1"/>
      <sheetData sheetId="3" refreshError="1"/>
      <sheetData sheetId="4" refreshError="1"/>
      <sheetData sheetId="5"/>
      <sheetData sheetId="6" refreshError="1"/>
      <sheetData sheetId="7"/>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puts"/>
      <sheetName val="Assum"/>
      <sheetName val="Op-BS"/>
      <sheetName val="IS"/>
      <sheetName val="BSCF"/>
      <sheetName val="Ratios"/>
      <sheetName val="Sens"/>
      <sheetName val="Matrix"/>
      <sheetName val="Contrib"/>
      <sheetName val="AcqIS"/>
      <sheetName val="AcqBS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ice"/>
      <sheetName val="Core Assumptions"/>
      <sheetName val="Scenarios"/>
      <sheetName val="Charts"/>
      <sheetName val="MAnalytic"/>
      <sheetName val="Rating Analytics -Draft"/>
      <sheetName val="Tariff_ATL"/>
      <sheetName val="Financial_ATL"/>
      <sheetName val="MoF_ATL"/>
      <sheetName val="ATL"/>
      <sheetName val="Mundra-Mohindergarh"/>
      <sheetName val="Tariff_M2M"/>
      <sheetName val="Financials_M2M"/>
      <sheetName val="MoF_M2M"/>
      <sheetName val="Analysis_M2M"/>
      <sheetName val="Mundra-Dahegam"/>
      <sheetName val="Tariff_M2D"/>
      <sheetName val="Financials_M2D"/>
      <sheetName val="MoF_M2D"/>
      <sheetName val="Tiroda-Warora"/>
      <sheetName val="Tariff_T2W"/>
      <sheetName val="Financials_T2W"/>
      <sheetName val="MoF_T2W"/>
      <sheetName val="Tiroda-Aurangabad"/>
      <sheetName val="Tariff_T2A"/>
      <sheetName val="Financials_T2A"/>
      <sheetName val="MoF_T2A"/>
      <sheetName val="Tariff_CWR"/>
      <sheetName val="C_WR"/>
      <sheetName val="Tariff_RRW"/>
      <sheetName val="RR_W"/>
      <sheetName val="Tariff_SBR"/>
      <sheetName val="S_BR"/>
      <sheetName val="SPV Standalone"/>
      <sheetName val="ATL-Standalone"/>
      <sheetName val="ATIL Financial"/>
      <sheetName val="MEGPTCL Financial"/>
      <sheetName val="Recon Statement"/>
      <sheetName val="Misc"/>
    </sheetNames>
    <sheetDataSet>
      <sheetData sheetId="0" refreshError="1"/>
      <sheetData sheetId="1">
        <row r="48">
          <cell r="F48">
            <v>0</v>
          </cell>
        </row>
        <row r="355">
          <cell r="E355">
            <v>1</v>
          </cell>
        </row>
      </sheetData>
      <sheetData sheetId="2" refreshError="1"/>
      <sheetData sheetId="3" refreshError="1"/>
      <sheetData sheetId="4" refreshError="1"/>
      <sheetData sheetId="5">
        <row r="13">
          <cell r="J13">
            <v>836.74</v>
          </cell>
        </row>
      </sheetData>
      <sheetData sheetId="6">
        <row r="4">
          <cell r="B4" t="str">
            <v>ATL (Total)</v>
          </cell>
        </row>
      </sheetData>
      <sheetData sheetId="7" refreshError="1"/>
      <sheetData sheetId="8">
        <row r="4">
          <cell r="F4">
            <v>1</v>
          </cell>
        </row>
      </sheetData>
      <sheetData sheetId="9" refreshError="1"/>
      <sheetData sheetId="10" refreshError="1"/>
      <sheetData sheetId="11" refreshError="1"/>
      <sheetData sheetId="12">
        <row r="25">
          <cell r="I25">
            <v>193.96478656015239</v>
          </cell>
        </row>
      </sheetData>
      <sheetData sheetId="13" refreshError="1"/>
      <sheetData sheetId="14" refreshError="1"/>
      <sheetData sheetId="15" refreshError="1"/>
      <sheetData sheetId="16" refreshError="1"/>
      <sheetData sheetId="17">
        <row r="25">
          <cell r="I25">
            <v>29.627167277965665</v>
          </cell>
        </row>
      </sheetData>
      <sheetData sheetId="18" refreshError="1"/>
      <sheetData sheetId="19" refreshError="1"/>
      <sheetData sheetId="20" refreshError="1"/>
      <sheetData sheetId="21">
        <row r="25">
          <cell r="I25">
            <v>37.373952000000003</v>
          </cell>
        </row>
      </sheetData>
      <sheetData sheetId="22" refreshError="1"/>
      <sheetData sheetId="23" refreshError="1"/>
      <sheetData sheetId="24" refreshError="1"/>
      <sheetData sheetId="25">
        <row r="25">
          <cell r="I25">
            <v>303.73650900000007</v>
          </cell>
        </row>
      </sheetData>
      <sheetData sheetId="26" refreshError="1"/>
      <sheetData sheetId="27" refreshError="1"/>
      <sheetData sheetId="28">
        <row r="41">
          <cell r="E41">
            <v>43921</v>
          </cell>
        </row>
      </sheetData>
      <sheetData sheetId="29" refreshError="1"/>
      <sheetData sheetId="30">
        <row r="41">
          <cell r="E41">
            <v>43555</v>
          </cell>
        </row>
      </sheetData>
      <sheetData sheetId="31" refreshError="1"/>
      <sheetData sheetId="32">
        <row r="41">
          <cell r="E41">
            <v>43555</v>
          </cell>
        </row>
      </sheetData>
      <sheetData sheetId="33" refreshError="1"/>
      <sheetData sheetId="34">
        <row r="10">
          <cell r="I10">
            <v>728.4804660450103</v>
          </cell>
        </row>
      </sheetData>
      <sheetData sheetId="35">
        <row r="7">
          <cell r="I7">
            <v>982.86320604167372</v>
          </cell>
        </row>
      </sheetData>
      <sheetData sheetId="36">
        <row r="7">
          <cell r="I7">
            <v>1200.7781036429624</v>
          </cell>
        </row>
      </sheetData>
      <sheetData sheetId="37" refreshError="1"/>
      <sheetData sheetId="3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 bldg"/>
      <sheetName val="BAN"/>
      <sheetName val="SDCA"/>
      <sheetName val="Access-Interconnect-BW"/>
      <sheetName val="OSP cost"/>
      <sheetName val="Manpower"/>
      <sheetName val="S &amp; M"/>
      <sheetName val="capex1"/>
      <sheetName val="Capex"/>
      <sheetName val="power cost"/>
      <sheetName val="assumptions"/>
      <sheetName val="Sheet2"/>
      <sheetName val="Revenue 10 yr"/>
      <sheetName val="Revenue 10 FY"/>
      <sheetName val="Chart1"/>
      <sheetName val="Nw Cost"/>
      <sheetName val="capex workings"/>
      <sheetName val="rollout"/>
      <sheetName val="analysis"/>
      <sheetName val="percentage_analysis"/>
      <sheetName val="Factors-overall"/>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7">
          <cell r="D37">
            <v>0.04</v>
          </cell>
        </row>
        <row r="42">
          <cell r="D42">
            <v>0.01</v>
          </cell>
        </row>
        <row r="43">
          <cell r="D43">
            <v>7.0000000000000007E-2</v>
          </cell>
        </row>
        <row r="44">
          <cell r="D44">
            <v>1.4999999999999999E-2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 T.B."/>
      <sheetName val="717 L&amp;E"/>
      <sheetName val="717 A"/>
      <sheetName val="717 IS"/>
      <sheetName val="MN T_B_"/>
      <sheetName val="Monthly"/>
      <sheetName val="Tablexxxxx"/>
      <sheetName val="Portfolio Summary"/>
      <sheetName val="factor sheet"/>
      <sheetName val="MN_T_B_"/>
      <sheetName val="717_L&amp;E"/>
      <sheetName val="717_A"/>
      <sheetName val="717_IS"/>
      <sheetName val="Fixed Expenses Summary"/>
      <sheetName val="C Sum"/>
      <sheetName val="Q4 2002 Income Statement"/>
      <sheetName val="selected operating results"/>
      <sheetName val="selected operating results PF"/>
      <sheetName val="Directory Publishing"/>
      <sheetName val="Budjet Categeries"/>
      <sheetName val="MN_T_B_1"/>
      <sheetName val="Names&amp;Cases"/>
      <sheetName val="MASTER_RATE ANALYSIS"/>
      <sheetName val="Measurements"/>
      <sheetName val="Tables"/>
      <sheetName val="Flooring"/>
      <sheetName val="Ceilings"/>
      <sheetName val="ACAD Finishes"/>
      <sheetName val="Site Details"/>
      <sheetName val="Chair"/>
      <sheetName val="Site Area Statement"/>
      <sheetName val="Doors"/>
      <sheetName val="Estimate"/>
      <sheetName val="Fee Rate Summary"/>
      <sheetName val="Debits as on 12.04.08"/>
      <sheetName val="Coalmine"/>
      <sheetName val="Code"/>
      <sheetName val="CASHFLOWS"/>
      <sheetName val="sheet6"/>
      <sheetName val="M-Book for Conc"/>
      <sheetName val="M-Book for FW"/>
      <sheetName val="P.O VS Actual"/>
      <sheetName val="OCT 06"/>
      <sheetName val="PAYMENT THROUGH CENVAT"/>
      <sheetName val="HPL"/>
      <sheetName val="Summ"/>
      <sheetName val="Fossil_DCF"/>
      <sheetName val="concrete"/>
      <sheetName val="Detail In Door Stad"/>
      <sheetName val="INT Block Work"/>
      <sheetName val="IBP I Hotel March 08 Vendorwise"/>
      <sheetName val="PA- Consutant "/>
      <sheetName val="Design"/>
      <sheetName val="final abstract"/>
      <sheetName val="Costing"/>
      <sheetName val="col-reinft1"/>
      <sheetName val="Rate analysis"/>
      <sheetName val="FITZ MORT 94"/>
      <sheetName val="ACAD_Finishes"/>
      <sheetName val="Site_Details"/>
      <sheetName val="Site_Area_Statement"/>
      <sheetName val="Fee_Rate_Summary"/>
      <sheetName val="Debits_as_on_12_04_08"/>
      <sheetName val="M-Book_for_Conc"/>
      <sheetName val="M-Book_for_FW"/>
      <sheetName val="717_L&amp;E1"/>
      <sheetName val="717_A1"/>
      <sheetName val="717_IS1"/>
      <sheetName val="ACAD_Finishes1"/>
      <sheetName val="Site_Details1"/>
      <sheetName val="Site_Area_Statement1"/>
      <sheetName val="Fee_Rate_Summary1"/>
      <sheetName val="Debits_as_on_12_04_081"/>
      <sheetName val="M-Book_for_Conc1"/>
      <sheetName val="M-Book_for_FW1"/>
      <sheetName val="MN_T_B_2"/>
      <sheetName val="717_L&amp;E2"/>
      <sheetName val="717_A2"/>
      <sheetName val="717_IS2"/>
      <sheetName val="ACAD_Finishes2"/>
      <sheetName val="Site_Details2"/>
      <sheetName val="Site_Area_Statement2"/>
      <sheetName val="Fee_Rate_Summary2"/>
      <sheetName val="Debits_as_on_12_04_082"/>
      <sheetName val="M-Book_for_Conc2"/>
      <sheetName val="M-Book_for_FW2"/>
      <sheetName val="ABB"/>
      <sheetName val="GE"/>
      <sheetName val="sch 1 thru 6 sans 4"/>
      <sheetName val="Earnings model"/>
      <sheetName val="SEPTMN"/>
      <sheetName val="MRICE"/>
      <sheetName val="부서코드표"/>
      <sheetName val="BEP-Old"/>
      <sheetName val="MN_T_B_3"/>
      <sheetName val="717_L&amp;E3"/>
      <sheetName val="717_A3"/>
      <sheetName val="717_IS3"/>
      <sheetName val="ACAD_Finishes3"/>
      <sheetName val="Site_Details3"/>
      <sheetName val="Site_Area_Statement3"/>
      <sheetName val="Fee_Rate_Summary3"/>
      <sheetName val="Debits_as_on_12_04_083"/>
      <sheetName val="M-Book_for_Conc3"/>
      <sheetName val="M-Book_for_FW3"/>
      <sheetName val="PA-_Consutant_"/>
      <sheetName val="MN_T_B_4"/>
      <sheetName val="717_L&amp;E4"/>
      <sheetName val="717_A4"/>
      <sheetName val="717_IS4"/>
      <sheetName val="ACAD_Finishes4"/>
      <sheetName val="Site_Details4"/>
      <sheetName val="Site_Area_Statement4"/>
      <sheetName val="Fee_Rate_Summary4"/>
      <sheetName val="Debits_as_on_12_04_084"/>
      <sheetName val="M-Book_for_Conc4"/>
      <sheetName val="M-Book_for_FW4"/>
      <sheetName val="PA-_Consutant_1"/>
      <sheetName val="det_est"/>
      <sheetName val="Data"/>
      <sheetName val="CPIPE"/>
      <sheetName val="A1-Continuous"/>
      <sheetName val="VCH-SLC"/>
      <sheetName val="Supplier"/>
      <sheetName val="analysis"/>
      <sheetName val="SPT vs PHI"/>
      <sheetName val="5000"/>
      <sheetName val="J1iexdtl"/>
      <sheetName val="FitOutConfCentre"/>
      <sheetName val="beam-reinft-IIInd floor"/>
      <sheetName val="Headings"/>
      <sheetName val="COMPLEXALL"/>
      <sheetName val="database"/>
      <sheetName val="XWR"/>
      <sheetName val="Mar-06"/>
      <sheetName val="Jul-05"/>
      <sheetName val="Shivaji"/>
      <sheetName val="SUMMARY"/>
      <sheetName val="Bill No 2 to 8 (Rev)"/>
      <sheetName val="Combined"/>
      <sheetName val="MASTER_RATE_ANALYSIS"/>
      <sheetName val="MASTER_RATE_ANALYSIS1"/>
      <sheetName val="P_O_VS_Actual"/>
      <sheetName val="RR"/>
      <sheetName val="Ten"/>
      <sheetName val="Inv_Data"/>
      <sheetName val="tngst1"/>
      <sheetName val="TGT"/>
      <sheetName val="4vs3"/>
      <sheetName val="girder"/>
      <sheetName val="Rocker"/>
      <sheetName val="Core Data"/>
      <sheetName val="cash budget"/>
      <sheetName val="pcQueryData"/>
      <sheetName val="MN_T_B_5"/>
      <sheetName val="717_L&amp;E5"/>
      <sheetName val="717_A5"/>
      <sheetName val="717_IS5"/>
      <sheetName val="MN_T_B_6"/>
      <sheetName val="ACAD_Finishes5"/>
      <sheetName val="Site_Details5"/>
      <sheetName val="Site_Area_Statement5"/>
      <sheetName val="Fee_Rate_Summary5"/>
      <sheetName val="Debits_as_on_12_04_085"/>
      <sheetName val="M-Book_for_Conc5"/>
      <sheetName val="M-Book_for_FW5"/>
      <sheetName val="Detail_In_Door_Stad"/>
      <sheetName val="INT_Block_Work"/>
      <sheetName val="IBP_I_Hotel_March_08_Vendorwise"/>
      <sheetName val="PA-_Consutant_2"/>
      <sheetName val="final_abstract"/>
      <sheetName val="Rate_analysis"/>
      <sheetName val="FITZ_MORT_94"/>
      <sheetName val="beam-reinft-IIInd_floor"/>
      <sheetName val="Bill_No_2_to_8_(Rev)"/>
      <sheetName val="Sheet1"/>
      <sheetName val="SOR"/>
      <sheetName val="공문"/>
      <sheetName val="대비표"/>
      <sheetName val="연돌일위집계"/>
      <sheetName val="P-Ins &amp; Bonds"/>
      <sheetName val="P&amp;L"/>
      <sheetName val="EAW Final Accounts - 99"/>
      <sheetName val="VIWSCo1"/>
      <sheetName val="1"/>
      <sheetName val="jobhist"/>
      <sheetName val="BQMPALOC"/>
      <sheetName val="Cash2"/>
      <sheetName val="Z"/>
      <sheetName val="MASTER_RATE_ANALYSIS2"/>
      <sheetName val="P_O_VS_Actual1"/>
      <sheetName val="Portfolio_Summary"/>
      <sheetName val="factor_sheet"/>
      <sheetName val="P-Ins_&amp;_Bonds"/>
      <sheetName val="Core_Data"/>
      <sheetName val="EAW_Final_Accounts_-_99"/>
      <sheetName val="CASH-FLOW"/>
      <sheetName val="ESCON"/>
      <sheetName val="BuildUp-IT"/>
      <sheetName val="Sensitivities-IT"/>
      <sheetName val="PRECAST lightconc-II"/>
      <sheetName val="Feb Analysts"/>
      <sheetName val="Form 6"/>
      <sheetName val="目录"/>
      <sheetName val="TBEAM"/>
      <sheetName val="newsales"/>
      <sheetName val="Sales &amp; Prod"/>
      <sheetName val="Hbi"/>
      <sheetName val="P&amp;i"/>
      <sheetName val="COMPLEXALi"/>
      <sheetName val="BKCSTOCKVAL"/>
      <sheetName val="MAHSTOCKVAL"/>
      <sheetName val="Notes"/>
      <sheetName val="Fixed_Expenses_Summary"/>
      <sheetName val="C_Sum"/>
      <sheetName val="Q4_2002_Income_Statement"/>
      <sheetName val="selected_operating_results"/>
      <sheetName val="selected_operating_results_PF"/>
      <sheetName val="Directory_Publishing"/>
      <sheetName val="Budjet_Categeries"/>
      <sheetName val="sch_1_thru_6_sans_4"/>
      <sheetName val="Earnings_model"/>
      <sheetName val="COLUMN"/>
      <sheetName val="MN_T_B_9"/>
      <sheetName val="717_L&amp;E7"/>
      <sheetName val="717_A7"/>
      <sheetName val="717_IS7"/>
      <sheetName val="MN_T_B_10"/>
      <sheetName val="ACAD_Finishes7"/>
      <sheetName val="Site_Details7"/>
      <sheetName val="Site_Area_Statement7"/>
      <sheetName val="Fee_Rate_Summary7"/>
      <sheetName val="Debits_as_on_12_04_087"/>
      <sheetName val="P_O_VS_Actual2"/>
      <sheetName val="M-Book_for_Conc7"/>
      <sheetName val="M-Book_for_FW7"/>
      <sheetName val="Detail_In_Door_Stad2"/>
      <sheetName val="INT_Block_Work2"/>
      <sheetName val="IBP_I_Hotel_March_08_Vendorwis2"/>
      <sheetName val="PA-_Consutant_4"/>
      <sheetName val="final_abstract2"/>
      <sheetName val="Rate_analysis2"/>
      <sheetName val="FITZ_MORT_942"/>
      <sheetName val="beam-reinft-IIInd_floor2"/>
      <sheetName val="Bill_No_2_to_8_(Rev)2"/>
      <sheetName val="MN_T_B_7"/>
      <sheetName val="717_L&amp;E6"/>
      <sheetName val="717_A6"/>
      <sheetName val="717_IS6"/>
      <sheetName val="MN_T_B_8"/>
      <sheetName val="ACAD_Finishes6"/>
      <sheetName val="Site_Details6"/>
      <sheetName val="Site_Area_Statement6"/>
      <sheetName val="Fee_Rate_Summary6"/>
      <sheetName val="Debits_as_on_12_04_086"/>
      <sheetName val="M-Book_for_Conc6"/>
      <sheetName val="M-Book_for_FW6"/>
      <sheetName val="Detail_In_Door_Stad1"/>
      <sheetName val="INT_Block_Work1"/>
      <sheetName val="IBP_I_Hotel_March_08_Vendorwis1"/>
      <sheetName val="PA-_Consutant_3"/>
      <sheetName val="final_abstract1"/>
      <sheetName val="Rate_analysis1"/>
      <sheetName val="FITZ_MORT_941"/>
      <sheetName val="beam-reinft-IIInd_floor1"/>
      <sheetName val="Bill_No_2_to_8_(Rev)1"/>
      <sheetName val="MN_T_B_11"/>
      <sheetName val="717_L&amp;E8"/>
      <sheetName val="717_A8"/>
      <sheetName val="717_IS8"/>
      <sheetName val="MN_T_B_12"/>
      <sheetName val="MASTER_RATE_ANALYSIS3"/>
      <sheetName val="ACAD_Finishes8"/>
      <sheetName val="Site_Details8"/>
      <sheetName val="Site_Area_Statement8"/>
      <sheetName val="Fee_Rate_Summary8"/>
      <sheetName val="Debits_as_on_12_04_088"/>
      <sheetName val="P_O_VS_Actual3"/>
      <sheetName val="M-Book_for_Conc8"/>
      <sheetName val="M-Book_for_FW8"/>
      <sheetName val="Detail_In_Door_Stad3"/>
      <sheetName val="INT_Block_Work3"/>
      <sheetName val="IBP_I_Hotel_March_08_Vendorwis3"/>
      <sheetName val="PA-_Consutant_5"/>
      <sheetName val="final_abstract3"/>
      <sheetName val="Rate_analysis3"/>
      <sheetName val="FITZ_MORT_943"/>
      <sheetName val="beam-reinft-IIInd_floor3"/>
      <sheetName val="Bill_No_2_to_8_(Rev)3"/>
      <sheetName val="Costing-blk-B"/>
      <sheetName val="BLK2"/>
      <sheetName val="BLK3"/>
      <sheetName val="E &amp; R"/>
      <sheetName val="radar"/>
      <sheetName val="UG"/>
      <sheetName val="INDIGINEOUS ITEMS "/>
      <sheetName val="GBW"/>
      <sheetName val="Master"/>
      <sheetName val="PointNo.5"/>
      <sheetName val="Details"/>
      <sheetName val="PCost"/>
      <sheetName val="Hot"/>
      <sheetName val="Fill this out first..."/>
      <sheetName val="Schedules PL"/>
      <sheetName val="Schedules BS"/>
      <sheetName val="Trial Balance"/>
      <sheetName val="HONOTES"/>
      <sheetName val="Old"/>
      <sheetName val="MERGER"/>
      <sheetName val="Site Dev BOQ"/>
      <sheetName val="BOQ (2)"/>
      <sheetName val="입찰내역 발주처 양식"/>
      <sheetName val="Bill 1"/>
      <sheetName val="Bill 2"/>
      <sheetName val="Bill 3"/>
      <sheetName val="Bill 4"/>
      <sheetName val="Bill 5"/>
      <sheetName val="Bill 6"/>
      <sheetName val="Bill 7"/>
      <sheetName val="IO List"/>
      <sheetName val="loadcal"/>
      <sheetName val="Sheet3 (2)"/>
      <sheetName val="Cover"/>
      <sheetName val="Basement Budget"/>
      <sheetName val="Break up Sheet"/>
      <sheetName val="sept-plan"/>
      <sheetName val="Insts"/>
      <sheetName val="PRICE COMP"/>
      <sheetName val="Detail"/>
      <sheetName val="ANCHOR BOLT QTY"/>
      <sheetName val="Internet"/>
      <sheetName val="beam-reinft"/>
      <sheetName val="Assumptions"/>
      <sheetName val="Sheet3"/>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4"/>
      <sheetName val="detail'02"/>
      <sheetName val="TBAL9697 -group wise  sdpl"/>
      <sheetName val="Data sheet"/>
      <sheetName val="Per Unit"/>
      <sheetName val="BFS"/>
      <sheetName val="JULY"/>
      <sheetName val="Feb_Prfl_28"/>
    </sheetNames>
    <sheetDataSet>
      <sheetData sheetId="0">
        <row r="5">
          <cell r="H5" t="str">
            <v/>
          </cell>
        </row>
        <row r="6">
          <cell r="A6" t="str">
            <v>HOTEL OPERATIONS TRIAL BALANCE</v>
          </cell>
          <cell r="C6">
            <v>36525</v>
          </cell>
        </row>
        <row r="7">
          <cell r="A7" t="str">
            <v>---------------------------</v>
          </cell>
        </row>
        <row r="8">
          <cell r="C8" t="str">
            <v>GENERAL</v>
          </cell>
          <cell r="H8">
            <v>36525</v>
          </cell>
        </row>
        <row r="9">
          <cell r="C9" t="str">
            <v>LEDGER</v>
          </cell>
          <cell r="D9" t="str">
            <v xml:space="preserve">         DEBIT</v>
          </cell>
          <cell r="F9" t="str">
            <v xml:space="preserve">         CREDIT</v>
          </cell>
          <cell r="H9" t="str">
            <v>ADJUSTED</v>
          </cell>
        </row>
        <row r="10">
          <cell r="A10" t="str">
            <v>ACCOUNT CODE</v>
          </cell>
          <cell r="B10" t="str">
            <v>ACCOUNT DESCRIPTION</v>
          </cell>
          <cell r="C10" t="str">
            <v>BALANCE</v>
          </cell>
          <cell r="D10" t="str">
            <v>NUMBER</v>
          </cell>
          <cell r="E10" t="str">
            <v>AMOUNT</v>
          </cell>
          <cell r="F10" t="str">
            <v>NUMBER</v>
          </cell>
          <cell r="G10" t="str">
            <v>AMOUNT</v>
          </cell>
          <cell r="H10" t="str">
            <v>BALANCE</v>
          </cell>
        </row>
        <row r="11">
          <cell r="A11" t="str">
            <v>-</v>
          </cell>
          <cell r="B11" t="str">
            <v>-</v>
          </cell>
          <cell r="C11" t="str">
            <v>-</v>
          </cell>
          <cell r="D11" t="str">
            <v>-</v>
          </cell>
          <cell r="E11" t="str">
            <v>-</v>
          </cell>
          <cell r="F11" t="str">
            <v>-</v>
          </cell>
          <cell r="G11" t="str">
            <v>-</v>
          </cell>
          <cell r="H11" t="str">
            <v>-------------------</v>
          </cell>
        </row>
        <row r="12">
          <cell r="C12" t="str">
            <v xml:space="preserve"> </v>
          </cell>
        </row>
        <row r="13">
          <cell r="A13" t="str">
            <v xml:space="preserve">                                                                                                                                </v>
          </cell>
          <cell r="B13" t="str">
            <v>PROFIT STATEMENT</v>
          </cell>
        </row>
        <row r="14">
          <cell r="A14" t="str">
            <v xml:space="preserve">                                                                                                                                </v>
          </cell>
          <cell r="B14" t="str">
            <v xml:space="preserve">----------------                                                                                                                </v>
          </cell>
        </row>
        <row r="15">
          <cell r="A15" t="str">
            <v>3006</v>
          </cell>
          <cell r="B15" t="str">
            <v>HOTEL OPERATING INCOME</v>
          </cell>
          <cell r="C15">
            <v>-29567041</v>
          </cell>
          <cell r="H15">
            <v>-29567041</v>
          </cell>
        </row>
        <row r="16">
          <cell r="A16" t="str">
            <v>3150</v>
          </cell>
          <cell r="B16" t="str">
            <v>INTEREST INCOME</v>
          </cell>
          <cell r="C16">
            <v>-166570</v>
          </cell>
          <cell r="E16">
            <v>0</v>
          </cell>
          <cell r="H16">
            <v>-166570</v>
          </cell>
        </row>
        <row r="17">
          <cell r="A17" t="str">
            <v>3010</v>
          </cell>
          <cell r="B17" t="str">
            <v>DISCOUNTS EARNED</v>
          </cell>
          <cell r="C17">
            <v>0</v>
          </cell>
          <cell r="H17">
            <v>0</v>
          </cell>
        </row>
        <row r="18">
          <cell r="A18" t="str">
            <v>3250</v>
          </cell>
          <cell r="B18" t="str">
            <v>GAIN (LOSS) SALE ASSETS</v>
          </cell>
          <cell r="C18">
            <v>0</v>
          </cell>
          <cell r="H18">
            <v>0</v>
          </cell>
        </row>
        <row r="19">
          <cell r="A19" t="str">
            <v>3200</v>
          </cell>
          <cell r="B19" t="str">
            <v>MISC INCOME</v>
          </cell>
          <cell r="C19">
            <v>0</v>
          </cell>
          <cell r="H19">
            <v>0</v>
          </cell>
        </row>
        <row r="20">
          <cell r="B20" t="str">
            <v>BEVERAGE RENT</v>
          </cell>
          <cell r="C20">
            <v>0</v>
          </cell>
          <cell r="H20">
            <v>0</v>
          </cell>
        </row>
        <row r="21">
          <cell r="A21" t="str">
            <v xml:space="preserve">                                                                                                                                </v>
          </cell>
          <cell r="B21" t="str">
            <v xml:space="preserve">                                                                                                                                </v>
          </cell>
          <cell r="C21" t="str">
            <v>-</v>
          </cell>
          <cell r="D21" t="str">
            <v>-</v>
          </cell>
          <cell r="E21" t="str">
            <v>-</v>
          </cell>
          <cell r="F21" t="str">
            <v>-</v>
          </cell>
          <cell r="G21" t="str">
            <v>-</v>
          </cell>
          <cell r="H21" t="str">
            <v>-------------------</v>
          </cell>
        </row>
        <row r="22">
          <cell r="A22" t="str">
            <v xml:space="preserve">                                                                                                                                </v>
          </cell>
          <cell r="B22" t="str">
            <v>SUB TOTAL REVENUE</v>
          </cell>
          <cell r="C22">
            <v>-29733611</v>
          </cell>
          <cell r="E22">
            <v>0</v>
          </cell>
          <cell r="G22">
            <v>0</v>
          </cell>
          <cell r="H22">
            <v>-29733611</v>
          </cell>
          <cell r="J22">
            <v>7.0000000000000007E-2</v>
          </cell>
        </row>
        <row r="23">
          <cell r="C23" t="str">
            <v>-</v>
          </cell>
          <cell r="D23" t="str">
            <v>-</v>
          </cell>
          <cell r="E23" t="str">
            <v>-</v>
          </cell>
          <cell r="F23" t="str">
            <v>-</v>
          </cell>
          <cell r="G23" t="str">
            <v>-</v>
          </cell>
          <cell r="H23" t="str">
            <v>-------------------</v>
          </cell>
        </row>
        <row r="24">
          <cell r="A24" t="str">
            <v xml:space="preserve">                                                                                                                                </v>
          </cell>
          <cell r="B24" t="str">
            <v xml:space="preserve">                                                                                                                                </v>
          </cell>
        </row>
        <row r="25">
          <cell r="A25" t="str">
            <v>4600</v>
          </cell>
          <cell r="B25" t="str">
            <v>COST OF SALES</v>
          </cell>
          <cell r="C25">
            <v>10826110</v>
          </cell>
          <cell r="H25">
            <v>10826110</v>
          </cell>
        </row>
        <row r="26">
          <cell r="A26" t="str">
            <v>4600</v>
          </cell>
          <cell r="B26" t="str">
            <v>PENSION PLAN</v>
          </cell>
          <cell r="C26">
            <v>0</v>
          </cell>
          <cell r="H26">
            <v>0</v>
          </cell>
          <cell r="J26">
            <v>0.37</v>
          </cell>
        </row>
        <row r="27">
          <cell r="B27" t="str">
            <v xml:space="preserve">                                                                                                                                </v>
          </cell>
          <cell r="C27" t="str">
            <v>-</v>
          </cell>
          <cell r="D27" t="str">
            <v>-</v>
          </cell>
          <cell r="E27" t="str">
            <v>-</v>
          </cell>
          <cell r="F27" t="str">
            <v>-</v>
          </cell>
          <cell r="G27" t="str">
            <v>-</v>
          </cell>
          <cell r="H27" t="str">
            <v>-------------------</v>
          </cell>
        </row>
        <row r="28">
          <cell r="A28" t="str">
            <v xml:space="preserve">                                                                                                                                </v>
          </cell>
          <cell r="B28" t="str">
            <v>SUB TOTAL - DIR COST</v>
          </cell>
          <cell r="C28">
            <v>10826110</v>
          </cell>
          <cell r="E28">
            <v>0</v>
          </cell>
          <cell r="G28">
            <v>0</v>
          </cell>
          <cell r="H28">
            <v>10826110</v>
          </cell>
        </row>
        <row r="29">
          <cell r="C29" t="str">
            <v>-</v>
          </cell>
          <cell r="D29" t="str">
            <v>-</v>
          </cell>
          <cell r="E29" t="str">
            <v>-</v>
          </cell>
          <cell r="F29" t="str">
            <v>-</v>
          </cell>
          <cell r="G29" t="str">
            <v>-</v>
          </cell>
          <cell r="H29" t="str">
            <v>-------------------</v>
          </cell>
        </row>
        <row r="30">
          <cell r="C30">
            <v>-18907501</v>
          </cell>
        </row>
        <row r="32">
          <cell r="A32" t="str">
            <v>5000</v>
          </cell>
          <cell r="B32" t="str">
            <v>SG&amp;A</v>
          </cell>
          <cell r="H32">
            <v>0</v>
          </cell>
        </row>
        <row r="33">
          <cell r="A33" t="str">
            <v>5001</v>
          </cell>
          <cell r="B33" t="str">
            <v xml:space="preserve">   PERSONAL PROPERTY TAXES</v>
          </cell>
          <cell r="C33">
            <v>2350682</v>
          </cell>
          <cell r="H33">
            <v>2350682</v>
          </cell>
        </row>
        <row r="34">
          <cell r="A34" t="str">
            <v>5050</v>
          </cell>
          <cell r="B34" t="str">
            <v xml:space="preserve">   ADMIN &amp; GENERAL</v>
          </cell>
          <cell r="C34">
            <v>2157266</v>
          </cell>
          <cell r="H34">
            <v>2157266</v>
          </cell>
        </row>
        <row r="35">
          <cell r="A35" t="str">
            <v>5051</v>
          </cell>
          <cell r="B35" t="str">
            <v xml:space="preserve">   MHT MARKETING</v>
          </cell>
          <cell r="C35">
            <v>1973255</v>
          </cell>
          <cell r="H35">
            <v>1973255</v>
          </cell>
        </row>
        <row r="36">
          <cell r="A36" t="str">
            <v>5052</v>
          </cell>
          <cell r="B36" t="str">
            <v xml:space="preserve">   MHT PROP OP</v>
          </cell>
          <cell r="C36">
            <v>1264811</v>
          </cell>
          <cell r="H36">
            <v>1264811</v>
          </cell>
        </row>
        <row r="37">
          <cell r="A37" t="str">
            <v>5180</v>
          </cell>
          <cell r="B37" t="str">
            <v xml:space="preserve">   INSURANCE</v>
          </cell>
          <cell r="C37">
            <v>0</v>
          </cell>
          <cell r="H37">
            <v>0</v>
          </cell>
        </row>
        <row r="38">
          <cell r="A38" t="str">
            <v>5206</v>
          </cell>
          <cell r="B38" t="str">
            <v xml:space="preserve">   MANAGEMENT FEES Hilton</v>
          </cell>
          <cell r="C38">
            <v>1138536</v>
          </cell>
          <cell r="H38">
            <v>1138536</v>
          </cell>
        </row>
        <row r="39">
          <cell r="B39" t="str">
            <v xml:space="preserve">   INCENTIVE MGMT FEE hil</v>
          </cell>
          <cell r="C39">
            <v>576717</v>
          </cell>
          <cell r="H39">
            <v>576717</v>
          </cell>
        </row>
        <row r="40">
          <cell r="B40" t="str">
            <v xml:space="preserve">   INCENTIVE MGMT FEE hbe</v>
          </cell>
          <cell r="C40">
            <v>72090</v>
          </cell>
          <cell r="H40">
            <v>72090</v>
          </cell>
        </row>
        <row r="41">
          <cell r="B41" t="str">
            <v xml:space="preserve">   MANAGEMENT FEES HBE</v>
          </cell>
          <cell r="C41">
            <v>146116</v>
          </cell>
          <cell r="H41">
            <v>146116</v>
          </cell>
        </row>
        <row r="42">
          <cell r="A42" t="str">
            <v>5225</v>
          </cell>
          <cell r="B42" t="str">
            <v xml:space="preserve">   UTILITIES</v>
          </cell>
          <cell r="C42">
            <v>719391</v>
          </cell>
          <cell r="H42">
            <v>719391</v>
          </cell>
        </row>
        <row r="43">
          <cell r="A43" t="str">
            <v>5340</v>
          </cell>
          <cell r="B43" t="str">
            <v xml:space="preserve">   BOILER/CHILLER RENT</v>
          </cell>
          <cell r="C43">
            <v>309006</v>
          </cell>
          <cell r="H43">
            <v>309006</v>
          </cell>
        </row>
        <row r="44">
          <cell r="B44" t="str">
            <v>MCDA PERCENTAGE RENT</v>
          </cell>
          <cell r="C44">
            <v>0</v>
          </cell>
          <cell r="H44">
            <v>0</v>
          </cell>
        </row>
        <row r="45">
          <cell r="B45" t="str">
            <v>UDAG PARTICIPATION PYMT</v>
          </cell>
          <cell r="C45">
            <v>0</v>
          </cell>
          <cell r="H45">
            <v>0</v>
          </cell>
        </row>
        <row r="46">
          <cell r="A46" t="str">
            <v>5180</v>
          </cell>
          <cell r="B46" t="str">
            <v xml:space="preserve">   INSURNCE-PROP/CONTENTS</v>
          </cell>
          <cell r="C46">
            <v>24589</v>
          </cell>
          <cell r="H46">
            <v>24589</v>
          </cell>
        </row>
        <row r="47">
          <cell r="B47" t="str">
            <v>PUBLIC SPACE-MAINTENANCE</v>
          </cell>
          <cell r="C47">
            <v>64117</v>
          </cell>
          <cell r="H47">
            <v>64117</v>
          </cell>
        </row>
        <row r="48">
          <cell r="B48" t="str">
            <v>SUNDRY CAPITAL</v>
          </cell>
          <cell r="C48">
            <v>206848</v>
          </cell>
          <cell r="H48">
            <v>206848</v>
          </cell>
        </row>
        <row r="49">
          <cell r="B49" t="str">
            <v>AMORTIZATION</v>
          </cell>
          <cell r="C49">
            <v>0</v>
          </cell>
          <cell r="H49">
            <v>0</v>
          </cell>
        </row>
        <row r="50">
          <cell r="B50" t="str">
            <v>SITE RENTAL</v>
          </cell>
          <cell r="C50">
            <v>1035622</v>
          </cell>
          <cell r="H50">
            <v>1035622</v>
          </cell>
        </row>
        <row r="51">
          <cell r="B51" t="str">
            <v xml:space="preserve"> ROUNDING BS&gt;INC STMT</v>
          </cell>
          <cell r="C51">
            <v>0</v>
          </cell>
          <cell r="H51">
            <v>0</v>
          </cell>
        </row>
        <row r="52">
          <cell r="A52" t="str">
            <v xml:space="preserve">                                                                                                                                </v>
          </cell>
          <cell r="B52" t="str">
            <v xml:space="preserve">                                                                                                                                </v>
          </cell>
          <cell r="C52" t="str">
            <v>-</v>
          </cell>
          <cell r="D52" t="str">
            <v>-</v>
          </cell>
          <cell r="E52" t="str">
            <v>-</v>
          </cell>
          <cell r="F52" t="str">
            <v>-</v>
          </cell>
          <cell r="G52" t="str">
            <v>-</v>
          </cell>
          <cell r="H52" t="str">
            <v>-------------------</v>
          </cell>
        </row>
        <row r="53">
          <cell r="A53" t="str">
            <v xml:space="preserve">                                                                                                                                </v>
          </cell>
          <cell r="B53" t="str">
            <v>SUB TOTAL SG&amp;A</v>
          </cell>
          <cell r="C53">
            <v>12039046</v>
          </cell>
          <cell r="E53">
            <v>0</v>
          </cell>
          <cell r="G53">
            <v>0</v>
          </cell>
          <cell r="H53">
            <v>12039046</v>
          </cell>
        </row>
        <row r="54">
          <cell r="C54" t="str">
            <v>-</v>
          </cell>
          <cell r="D54" t="str">
            <v>-</v>
          </cell>
          <cell r="E54" t="str">
            <v>-</v>
          </cell>
          <cell r="F54" t="str">
            <v>-</v>
          </cell>
          <cell r="G54" t="str">
            <v>-</v>
          </cell>
          <cell r="H54" t="str">
            <v>-------------------</v>
          </cell>
        </row>
        <row r="56">
          <cell r="A56" t="str">
            <v>5200</v>
          </cell>
          <cell r="B56" t="str">
            <v>INTEREST EXP</v>
          </cell>
          <cell r="C56">
            <v>2768380</v>
          </cell>
          <cell r="G56">
            <v>0</v>
          </cell>
          <cell r="H56">
            <v>2768380</v>
          </cell>
        </row>
        <row r="57">
          <cell r="A57" t="str">
            <v>5500</v>
          </cell>
          <cell r="B57" t="str">
            <v>DEPRECIATION</v>
          </cell>
          <cell r="C57">
            <v>3748785</v>
          </cell>
          <cell r="H57">
            <v>3748785</v>
          </cell>
        </row>
        <row r="58">
          <cell r="A58" t="str">
            <v>5505</v>
          </cell>
          <cell r="B58" t="str">
            <v>AMORT PRE-OPENING</v>
          </cell>
          <cell r="C58">
            <v>0</v>
          </cell>
          <cell r="H58">
            <v>0</v>
          </cell>
        </row>
        <row r="59">
          <cell r="A59" t="str">
            <v>5505</v>
          </cell>
          <cell r="B59" t="str">
            <v>AMORT DEFERRED FINANCING</v>
          </cell>
          <cell r="C59">
            <v>57942</v>
          </cell>
          <cell r="H59">
            <v>57942</v>
          </cell>
        </row>
        <row r="60">
          <cell r="A60" t="str">
            <v xml:space="preserve">                                                                                                                                </v>
          </cell>
          <cell r="B60" t="str">
            <v xml:space="preserve">                                                                                                                                </v>
          </cell>
          <cell r="C60" t="str">
            <v>-</v>
          </cell>
          <cell r="D60" t="str">
            <v>-</v>
          </cell>
          <cell r="E60" t="str">
            <v>-</v>
          </cell>
          <cell r="F60" t="str">
            <v>-</v>
          </cell>
          <cell r="G60" t="str">
            <v>-</v>
          </cell>
          <cell r="H60" t="str">
            <v>-------------------</v>
          </cell>
        </row>
        <row r="61">
          <cell r="C61">
            <v>6575107</v>
          </cell>
          <cell r="E61">
            <v>0</v>
          </cell>
          <cell r="G61">
            <v>0</v>
          </cell>
          <cell r="H61">
            <v>6575107</v>
          </cell>
        </row>
        <row r="62">
          <cell r="C62" t="str">
            <v>-</v>
          </cell>
          <cell r="D62" t="str">
            <v>-</v>
          </cell>
          <cell r="E62" t="str">
            <v>-</v>
          </cell>
          <cell r="F62" t="str">
            <v>-</v>
          </cell>
          <cell r="G62" t="str">
            <v>-</v>
          </cell>
          <cell r="H62" t="str">
            <v>-------------------</v>
          </cell>
        </row>
        <row r="64">
          <cell r="A64" t="str">
            <v xml:space="preserve">                                                                                                                                </v>
          </cell>
          <cell r="B64" t="str">
            <v>CURRENT YEAR EARNINGS</v>
          </cell>
          <cell r="C64">
            <v>-293348</v>
          </cell>
          <cell r="E64">
            <v>0</v>
          </cell>
          <cell r="G64">
            <v>0</v>
          </cell>
          <cell r="H64">
            <v>-293348</v>
          </cell>
        </row>
        <row r="65">
          <cell r="A65" t="str">
            <v xml:space="preserve">                                                                                                                                </v>
          </cell>
          <cell r="B65" t="str">
            <v xml:space="preserve">                                                                                                                                </v>
          </cell>
          <cell r="C65" t="str">
            <v>=</v>
          </cell>
          <cell r="D65" t="str">
            <v>=</v>
          </cell>
          <cell r="E65" t="str">
            <v>=</v>
          </cell>
          <cell r="F65" t="str">
            <v>=</v>
          </cell>
          <cell r="G65" t="str">
            <v>=</v>
          </cell>
          <cell r="H65" t="str">
            <v>===================</v>
          </cell>
        </row>
        <row r="66">
          <cell r="A66" t="str">
            <v xml:space="preserve">                                                                                                                                </v>
          </cell>
          <cell r="B66" t="str">
            <v>ASSETS</v>
          </cell>
        </row>
        <row r="67">
          <cell r="A67" t="str">
            <v xml:space="preserve">                                                                                                                                </v>
          </cell>
          <cell r="B67" t="str">
            <v>------</v>
          </cell>
          <cell r="N67" t="str">
            <v>=</v>
          </cell>
        </row>
        <row r="68">
          <cell r="A68" t="str">
            <v>1000</v>
          </cell>
          <cell r="B68" t="str">
            <v>CASH</v>
          </cell>
          <cell r="C68">
            <v>3067482.36</v>
          </cell>
          <cell r="H68">
            <v>3067482.36</v>
          </cell>
        </row>
        <row r="69">
          <cell r="B69" t="str">
            <v>CASH IN BANK - FIRST BANK</v>
          </cell>
          <cell r="C69">
            <v>-404038.36</v>
          </cell>
          <cell r="H69">
            <v>-404038.36</v>
          </cell>
        </row>
        <row r="70">
          <cell r="A70" t="str">
            <v>1115</v>
          </cell>
          <cell r="B70" t="str">
            <v>ACCTS REC - TRADE (net)</v>
          </cell>
          <cell r="C70">
            <v>3502912</v>
          </cell>
          <cell r="H70">
            <v>3502912</v>
          </cell>
        </row>
        <row r="71">
          <cell r="B71" t="str">
            <v>A/R HBE &amp; MCDA</v>
          </cell>
          <cell r="C71">
            <v>0</v>
          </cell>
          <cell r="H71">
            <v>0</v>
          </cell>
        </row>
        <row r="72">
          <cell r="A72" t="str">
            <v>1200</v>
          </cell>
          <cell r="B72" t="str">
            <v>INVENTORY</v>
          </cell>
          <cell r="C72">
            <v>144386</v>
          </cell>
          <cell r="H72">
            <v>144386</v>
          </cell>
        </row>
        <row r="73">
          <cell r="A73" t="str">
            <v>1300</v>
          </cell>
          <cell r="B73" t="str">
            <v>PREPAID EXPENSES</v>
          </cell>
          <cell r="C73">
            <v>193676</v>
          </cell>
          <cell r="H73">
            <v>193676</v>
          </cell>
        </row>
        <row r="74">
          <cell r="A74" t="str">
            <v xml:space="preserve">                                                                                                                                </v>
          </cell>
          <cell r="B74" t="str">
            <v xml:space="preserve">                                                                                                                                </v>
          </cell>
          <cell r="C74" t="str">
            <v>-</v>
          </cell>
          <cell r="D74" t="str">
            <v>-</v>
          </cell>
          <cell r="E74" t="str">
            <v>-</v>
          </cell>
          <cell r="F74" t="str">
            <v>-</v>
          </cell>
          <cell r="G74" t="str">
            <v>-</v>
          </cell>
          <cell r="H74" t="str">
            <v>-------------------</v>
          </cell>
        </row>
        <row r="75">
          <cell r="A75" t="str">
            <v xml:space="preserve">                                                                                                                                </v>
          </cell>
          <cell r="B75" t="str">
            <v>SUB TOTAL CURRENT ASSETS</v>
          </cell>
          <cell r="C75">
            <v>6504418</v>
          </cell>
          <cell r="E75">
            <v>0</v>
          </cell>
          <cell r="G75">
            <v>0</v>
          </cell>
          <cell r="H75">
            <v>6504418</v>
          </cell>
        </row>
        <row r="76">
          <cell r="A76" t="str">
            <v xml:space="preserve">                                                                                                                                </v>
          </cell>
          <cell r="C76" t="str">
            <v>-</v>
          </cell>
          <cell r="D76" t="str">
            <v>-</v>
          </cell>
          <cell r="E76" t="str">
            <v>-</v>
          </cell>
          <cell r="F76" t="str">
            <v>-</v>
          </cell>
          <cell r="G76" t="str">
            <v>-</v>
          </cell>
          <cell r="H76" t="str">
            <v>-------------------</v>
          </cell>
        </row>
        <row r="78">
          <cell r="A78" t="str">
            <v>1500</v>
          </cell>
          <cell r="B78" t="str">
            <v>AUTOS &amp; TRUCKS</v>
          </cell>
          <cell r="C78">
            <v>0</v>
          </cell>
          <cell r="H78">
            <v>0</v>
          </cell>
        </row>
        <row r="79">
          <cell r="A79" t="str">
            <v>1520</v>
          </cell>
          <cell r="B79" t="str">
            <v>HOTEL TOOLS &amp; EQUIPMENT</v>
          </cell>
          <cell r="C79">
            <v>0</v>
          </cell>
          <cell r="H79">
            <v>0</v>
          </cell>
        </row>
        <row r="80">
          <cell r="A80" t="str">
            <v>1610</v>
          </cell>
          <cell r="B80" t="str">
            <v>BUILDING</v>
          </cell>
          <cell r="C80">
            <v>44365827</v>
          </cell>
          <cell r="H80">
            <v>44365827</v>
          </cell>
        </row>
        <row r="81">
          <cell r="A81" t="str">
            <v>1540</v>
          </cell>
          <cell r="B81" t="str">
            <v>FURNITURE FIXTURES &amp; EQIP</v>
          </cell>
          <cell r="C81">
            <v>34399761</v>
          </cell>
          <cell r="H81">
            <v>34399761</v>
          </cell>
        </row>
        <row r="82">
          <cell r="A82" t="str">
            <v>1585</v>
          </cell>
          <cell r="B82" t="str">
            <v>CONSTRUCTION IN PROGRESS</v>
          </cell>
          <cell r="C82">
            <v>0</v>
          </cell>
          <cell r="H82">
            <v>0</v>
          </cell>
        </row>
        <row r="83">
          <cell r="A83" t="str">
            <v>1612</v>
          </cell>
          <cell r="B83" t="str">
            <v>BLDG REVISIONS &amp; ALTERATIONS</v>
          </cell>
          <cell r="C83">
            <v>0</v>
          </cell>
          <cell r="H83">
            <v>0</v>
          </cell>
        </row>
        <row r="84">
          <cell r="A84" t="str">
            <v>1720</v>
          </cell>
          <cell r="B84" t="str">
            <v>HOTEL HEAVY EQUIPMENT</v>
          </cell>
          <cell r="C84">
            <v>0</v>
          </cell>
          <cell r="H84">
            <v>0</v>
          </cell>
        </row>
        <row r="85">
          <cell r="C85" t="str">
            <v>-</v>
          </cell>
          <cell r="D85" t="str">
            <v>-</v>
          </cell>
          <cell r="E85" t="str">
            <v>-</v>
          </cell>
          <cell r="F85" t="str">
            <v>-</v>
          </cell>
          <cell r="G85" t="str">
            <v>-</v>
          </cell>
          <cell r="H85" t="str">
            <v>-</v>
          </cell>
        </row>
        <row r="86">
          <cell r="B86" t="str">
            <v>SUB TOTAL DEPR ASSETS</v>
          </cell>
          <cell r="C86">
            <v>78765588</v>
          </cell>
          <cell r="E86">
            <v>0</v>
          </cell>
          <cell r="G86">
            <v>0</v>
          </cell>
          <cell r="H86">
            <v>78765588</v>
          </cell>
        </row>
        <row r="87">
          <cell r="C87" t="str">
            <v>-</v>
          </cell>
          <cell r="D87" t="str">
            <v>-</v>
          </cell>
          <cell r="E87" t="str">
            <v>-</v>
          </cell>
          <cell r="F87" t="str">
            <v>-</v>
          </cell>
          <cell r="G87" t="str">
            <v>-</v>
          </cell>
          <cell r="H87" t="str">
            <v>-------------------</v>
          </cell>
        </row>
        <row r="89">
          <cell r="A89" t="str">
            <v>1510</v>
          </cell>
          <cell r="B89" t="str">
            <v>A/DEPR - AUTOS &amp; TRUCKS</v>
          </cell>
          <cell r="C89">
            <v>0</v>
          </cell>
          <cell r="H89">
            <v>0</v>
          </cell>
        </row>
        <row r="90">
          <cell r="A90" t="str">
            <v>1530</v>
          </cell>
          <cell r="B90" t="str">
            <v xml:space="preserve">      -HOTEL TOOL &amp; EQUIP</v>
          </cell>
          <cell r="C90">
            <v>0</v>
          </cell>
          <cell r="H90">
            <v>0</v>
          </cell>
        </row>
        <row r="91">
          <cell r="A91" t="str">
            <v>1880</v>
          </cell>
          <cell r="B91" t="str">
            <v xml:space="preserve">       - BUILDING</v>
          </cell>
          <cell r="C91">
            <v>-7651043</v>
          </cell>
          <cell r="H91">
            <v>-7651043</v>
          </cell>
        </row>
        <row r="92">
          <cell r="A92" t="str">
            <v>1730</v>
          </cell>
          <cell r="B92" t="str">
            <v xml:space="preserve">      -HOTEL HEAVY EQUIP</v>
          </cell>
          <cell r="C92">
            <v>0</v>
          </cell>
          <cell r="H92">
            <v>0</v>
          </cell>
        </row>
        <row r="93">
          <cell r="A93" t="str">
            <v>1550</v>
          </cell>
          <cell r="B93" t="str">
            <v xml:space="preserve">       - FF&amp;E</v>
          </cell>
          <cell r="C93">
            <v>-26053319</v>
          </cell>
          <cell r="H93">
            <v>-26053319</v>
          </cell>
        </row>
        <row r="94">
          <cell r="A94" t="str">
            <v>1882</v>
          </cell>
          <cell r="B94" t="str">
            <v xml:space="preserve">       - BLDG REVIS &amp; ALT</v>
          </cell>
          <cell r="C94">
            <v>0</v>
          </cell>
          <cell r="H94">
            <v>0</v>
          </cell>
        </row>
        <row r="95">
          <cell r="A95" t="str">
            <v>1890</v>
          </cell>
          <cell r="B95" t="str">
            <v>ADJ TO HILTON STMT</v>
          </cell>
          <cell r="C95">
            <v>0</v>
          </cell>
          <cell r="H95">
            <v>0</v>
          </cell>
        </row>
        <row r="96">
          <cell r="A96" t="str">
            <v xml:space="preserve">                                                                                                                                </v>
          </cell>
          <cell r="B96" t="str">
            <v xml:space="preserve">                                                                                                                                </v>
          </cell>
          <cell r="C96" t="str">
            <v>-</v>
          </cell>
          <cell r="D96" t="str">
            <v>-</v>
          </cell>
          <cell r="E96" t="str">
            <v>-</v>
          </cell>
          <cell r="F96" t="str">
            <v>-</v>
          </cell>
          <cell r="G96" t="str">
            <v>-</v>
          </cell>
          <cell r="H96" t="str">
            <v>-</v>
          </cell>
        </row>
        <row r="97">
          <cell r="A97" t="str">
            <v xml:space="preserve">                                                                                                                                </v>
          </cell>
          <cell r="B97" t="str">
            <v>SUB TOTAL ACC DEPR.</v>
          </cell>
          <cell r="C97">
            <v>-33704362</v>
          </cell>
          <cell r="E97">
            <v>0</v>
          </cell>
          <cell r="G97">
            <v>0</v>
          </cell>
          <cell r="H97">
            <v>-33704362</v>
          </cell>
        </row>
        <row r="98">
          <cell r="C98" t="str">
            <v>-</v>
          </cell>
          <cell r="D98" t="str">
            <v>-</v>
          </cell>
          <cell r="E98" t="str">
            <v>-</v>
          </cell>
          <cell r="F98" t="str">
            <v>-</v>
          </cell>
          <cell r="G98" t="str">
            <v>-</v>
          </cell>
          <cell r="H98" t="str">
            <v>-------------------</v>
          </cell>
        </row>
        <row r="100">
          <cell r="A100" t="str">
            <v>1970</v>
          </cell>
          <cell r="B100" t="str">
            <v>CHINA SILVER GLASS LINENS</v>
          </cell>
          <cell r="C100">
            <v>276953</v>
          </cell>
          <cell r="H100">
            <v>276953</v>
          </cell>
        </row>
        <row r="101">
          <cell r="B101" t="str">
            <v>DEPOSITS</v>
          </cell>
          <cell r="C101">
            <v>0</v>
          </cell>
          <cell r="H101">
            <v>0</v>
          </cell>
        </row>
        <row r="102">
          <cell r="B102" t="str">
            <v>PREPAID INSURANCE</v>
          </cell>
          <cell r="C102">
            <v>0</v>
          </cell>
          <cell r="H102">
            <v>0</v>
          </cell>
        </row>
        <row r="103">
          <cell r="B103" t="str">
            <v>DEFERRED FINANCING COSTS</v>
          </cell>
          <cell r="C103">
            <v>558053</v>
          </cell>
          <cell r="H103">
            <v>558053</v>
          </cell>
        </row>
        <row r="104">
          <cell r="A104" t="str">
            <v>1460</v>
          </cell>
          <cell r="B104" t="str">
            <v>PRE-OPENING COSTS</v>
          </cell>
          <cell r="C104">
            <v>0</v>
          </cell>
          <cell r="H104">
            <v>0</v>
          </cell>
        </row>
        <row r="105">
          <cell r="B105" t="str">
            <v>ESCROWED TAX &amp; INSURANCE</v>
          </cell>
          <cell r="C105">
            <v>1857574</v>
          </cell>
          <cell r="H105">
            <v>1857574</v>
          </cell>
        </row>
        <row r="106">
          <cell r="B106" t="str">
            <v>ESCROWED EQUIPMENT RESERVE</v>
          </cell>
          <cell r="C106">
            <v>3440998</v>
          </cell>
          <cell r="H106">
            <v>3440998</v>
          </cell>
        </row>
        <row r="107">
          <cell r="A107" t="str">
            <v xml:space="preserve">                                                                                                                                </v>
          </cell>
          <cell r="B107" t="str">
            <v xml:space="preserve">                                                                                                                                </v>
          </cell>
          <cell r="C107" t="str">
            <v>-</v>
          </cell>
          <cell r="D107" t="str">
            <v>-</v>
          </cell>
          <cell r="E107" t="str">
            <v>-</v>
          </cell>
          <cell r="F107" t="str">
            <v>-</v>
          </cell>
          <cell r="G107" t="str">
            <v>-</v>
          </cell>
          <cell r="H107" t="str">
            <v>-</v>
          </cell>
        </row>
        <row r="108">
          <cell r="C108">
            <v>6133578</v>
          </cell>
          <cell r="E108">
            <v>0</v>
          </cell>
          <cell r="G108">
            <v>0</v>
          </cell>
          <cell r="H108">
            <v>6133578</v>
          </cell>
        </row>
        <row r="109">
          <cell r="C109" t="str">
            <v>-</v>
          </cell>
          <cell r="D109" t="str">
            <v>-</v>
          </cell>
          <cell r="E109" t="str">
            <v>-</v>
          </cell>
          <cell r="F109" t="str">
            <v>-</v>
          </cell>
          <cell r="G109" t="str">
            <v>-</v>
          </cell>
          <cell r="H109" t="str">
            <v>-------------------</v>
          </cell>
        </row>
        <row r="111">
          <cell r="A111" t="str">
            <v xml:space="preserve">                                                                                                                                </v>
          </cell>
          <cell r="B111" t="str">
            <v>TOTAL ASSETS</v>
          </cell>
          <cell r="C111">
            <v>57699222</v>
          </cell>
          <cell r="E111">
            <v>0</v>
          </cell>
          <cell r="G111">
            <v>0</v>
          </cell>
          <cell r="H111">
            <v>57699222</v>
          </cell>
        </row>
        <row r="112">
          <cell r="A112" t="str">
            <v xml:space="preserve">                                                                                                                                </v>
          </cell>
          <cell r="B112" t="str">
            <v xml:space="preserve">                                                                                                                                </v>
          </cell>
          <cell r="C112" t="str">
            <v>=</v>
          </cell>
          <cell r="D112" t="str">
            <v>=</v>
          </cell>
          <cell r="E112" t="str">
            <v>=</v>
          </cell>
          <cell r="F112" t="str">
            <v>=</v>
          </cell>
          <cell r="G112" t="str">
            <v>=</v>
          </cell>
          <cell r="H112" t="str">
            <v>===================</v>
          </cell>
        </row>
        <row r="113">
          <cell r="A113" t="str">
            <v xml:space="preserve">                                                                                                                                </v>
          </cell>
          <cell r="B113" t="str">
            <v xml:space="preserve">                                                                                                                                </v>
          </cell>
        </row>
        <row r="114">
          <cell r="A114" t="str">
            <v xml:space="preserve">                                                                                                                                </v>
          </cell>
          <cell r="B114" t="str">
            <v xml:space="preserve">                                                                                                                                </v>
          </cell>
        </row>
        <row r="115">
          <cell r="A115" t="str">
            <v xml:space="preserve">                                                                                                                                </v>
          </cell>
          <cell r="B115" t="str">
            <v>LIABILITIES &amp; EQUITY</v>
          </cell>
        </row>
        <row r="116">
          <cell r="A116" t="str">
            <v xml:space="preserve">                                                                                                                                </v>
          </cell>
          <cell r="B116" t="str">
            <v>--------------------</v>
          </cell>
        </row>
        <row r="118">
          <cell r="B118" t="str">
            <v>LIABILITIES</v>
          </cell>
        </row>
        <row r="119">
          <cell r="B119" t="str">
            <v>-----------</v>
          </cell>
        </row>
        <row r="120">
          <cell r="A120" t="str">
            <v xml:space="preserve">                                                                                                                                </v>
          </cell>
          <cell r="B120" t="str">
            <v>CURR MAT L.T.DEBT</v>
          </cell>
          <cell r="C120">
            <v>0</v>
          </cell>
          <cell r="F120">
            <v>1</v>
          </cell>
          <cell r="G120" t="str">
            <v xml:space="preserve"> </v>
          </cell>
          <cell r="H120">
            <v>0</v>
          </cell>
        </row>
        <row r="121">
          <cell r="A121" t="str">
            <v>2005</v>
          </cell>
          <cell r="B121" t="str">
            <v>WORKING CAP LOAN</v>
          </cell>
          <cell r="C121">
            <v>0</v>
          </cell>
          <cell r="H121">
            <v>0</v>
          </cell>
        </row>
        <row r="122">
          <cell r="A122" t="str">
            <v>2100</v>
          </cell>
          <cell r="B122" t="str">
            <v>ACCOUNTS PAYABLE - TRADE</v>
          </cell>
          <cell r="C122">
            <v>-1456012</v>
          </cell>
          <cell r="H122">
            <v>-1456012</v>
          </cell>
        </row>
        <row r="123">
          <cell r="B123" t="str">
            <v>A/P-HILTON MGMT FEE</v>
          </cell>
          <cell r="C123">
            <v>0</v>
          </cell>
          <cell r="H123">
            <v>0</v>
          </cell>
        </row>
        <row r="124">
          <cell r="B124" t="str">
            <v>DISTRIBUTIONS PAYABLE</v>
          </cell>
          <cell r="C124">
            <v>0</v>
          </cell>
          <cell r="H124">
            <v>0</v>
          </cell>
        </row>
        <row r="125">
          <cell r="A125" t="str">
            <v>2400</v>
          </cell>
          <cell r="B125" t="str">
            <v>INCOME TAX PAYABLE</v>
          </cell>
          <cell r="C125">
            <v>0</v>
          </cell>
          <cell r="H125">
            <v>0</v>
          </cell>
        </row>
        <row r="126">
          <cell r="A126" t="str">
            <v>2135</v>
          </cell>
          <cell r="B126" t="str">
            <v>ACCRUED EXPENSES</v>
          </cell>
          <cell r="C126">
            <v>-2439606</v>
          </cell>
          <cell r="H126">
            <v>-2439606</v>
          </cell>
        </row>
        <row r="127">
          <cell r="A127" t="str">
            <v>2340</v>
          </cell>
          <cell r="B127" t="str">
            <v>ACCRUED PROPERTY TAX</v>
          </cell>
          <cell r="C127">
            <v>-3799536</v>
          </cell>
          <cell r="H127">
            <v>-3799536</v>
          </cell>
        </row>
        <row r="128">
          <cell r="A128" t="str">
            <v>2100</v>
          </cell>
          <cell r="B128" t="str">
            <v>OTHER CURR.LIAB</v>
          </cell>
          <cell r="C128">
            <v>0</v>
          </cell>
          <cell r="H128">
            <v>0</v>
          </cell>
        </row>
        <row r="129">
          <cell r="A129" t="str">
            <v>2410</v>
          </cell>
          <cell r="B129" t="str">
            <v>DEFERRED INCOME TAX CURR</v>
          </cell>
          <cell r="C129">
            <v>0</v>
          </cell>
          <cell r="H129">
            <v>0</v>
          </cell>
        </row>
        <row r="130">
          <cell r="C130" t="str">
            <v>-</v>
          </cell>
          <cell r="D130" t="str">
            <v>-</v>
          </cell>
          <cell r="E130" t="str">
            <v>-</v>
          </cell>
          <cell r="F130" t="str">
            <v>-</v>
          </cell>
          <cell r="G130" t="str">
            <v>-</v>
          </cell>
          <cell r="H130" t="str">
            <v>-------------------</v>
          </cell>
        </row>
        <row r="131">
          <cell r="B131" t="str">
            <v>SUB TOTAL CURRENT LIAB.</v>
          </cell>
          <cell r="C131">
            <v>-7695154</v>
          </cell>
          <cell r="E131">
            <v>0</v>
          </cell>
          <cell r="G131">
            <v>0</v>
          </cell>
          <cell r="H131">
            <v>-7695154</v>
          </cell>
        </row>
        <row r="132">
          <cell r="C132" t="str">
            <v>-</v>
          </cell>
          <cell r="D132" t="str">
            <v>-</v>
          </cell>
          <cell r="E132" t="str">
            <v>-</v>
          </cell>
          <cell r="F132" t="str">
            <v>-</v>
          </cell>
          <cell r="G132" t="str">
            <v>-</v>
          </cell>
          <cell r="H132" t="str">
            <v>-------------------</v>
          </cell>
        </row>
        <row r="134">
          <cell r="A134" t="str">
            <v>2411</v>
          </cell>
          <cell r="B134" t="str">
            <v>DEFERRED INCOME TAX L-T</v>
          </cell>
          <cell r="H134">
            <v>0</v>
          </cell>
        </row>
        <row r="135">
          <cell r="A135" t="str">
            <v>2205</v>
          </cell>
          <cell r="B135" t="str">
            <v>LONG TERM DEBT lincoln</v>
          </cell>
          <cell r="C135">
            <v>-39303398</v>
          </cell>
          <cell r="D135">
            <v>1</v>
          </cell>
          <cell r="E135" t="str">
            <v xml:space="preserve"> </v>
          </cell>
          <cell r="H135">
            <v>-39303398</v>
          </cell>
        </row>
        <row r="136">
          <cell r="A136" t="str">
            <v>2205</v>
          </cell>
          <cell r="B136" t="str">
            <v>LONG TERM DEBT UDAG</v>
          </cell>
          <cell r="C136">
            <v>-5890715</v>
          </cell>
          <cell r="H136">
            <v>-5890715</v>
          </cell>
        </row>
        <row r="137">
          <cell r="C137" t="str">
            <v>-</v>
          </cell>
          <cell r="D137" t="str">
            <v>-</v>
          </cell>
          <cell r="E137" t="str">
            <v>-</v>
          </cell>
          <cell r="F137" t="str">
            <v>-</v>
          </cell>
          <cell r="G137" t="str">
            <v>-</v>
          </cell>
          <cell r="H137" t="str">
            <v>-------------------</v>
          </cell>
        </row>
        <row r="138">
          <cell r="B138" t="str">
            <v>SUB TOTAL NON-CURR LIAB.</v>
          </cell>
          <cell r="C138">
            <v>-45194113</v>
          </cell>
          <cell r="E138">
            <v>0</v>
          </cell>
          <cell r="G138">
            <v>0</v>
          </cell>
          <cell r="H138">
            <v>-45194113</v>
          </cell>
        </row>
        <row r="139">
          <cell r="C139" t="str">
            <v>-</v>
          </cell>
          <cell r="D139" t="str">
            <v>-</v>
          </cell>
          <cell r="E139" t="str">
            <v>-</v>
          </cell>
          <cell r="F139" t="str">
            <v>-</v>
          </cell>
          <cell r="G139" t="str">
            <v>-</v>
          </cell>
          <cell r="H139" t="str">
            <v>-------------------</v>
          </cell>
        </row>
        <row r="141">
          <cell r="B141" t="str">
            <v>TOTAL LIABILITIES</v>
          </cell>
          <cell r="C141">
            <v>-52889267</v>
          </cell>
          <cell r="E141">
            <v>0</v>
          </cell>
          <cell r="G141">
            <v>0</v>
          </cell>
          <cell r="H141">
            <v>-52889267</v>
          </cell>
        </row>
        <row r="142">
          <cell r="C142" t="str">
            <v>-</v>
          </cell>
          <cell r="D142" t="str">
            <v>-</v>
          </cell>
          <cell r="E142" t="str">
            <v>-</v>
          </cell>
          <cell r="F142" t="str">
            <v>-</v>
          </cell>
          <cell r="G142" t="str">
            <v>-</v>
          </cell>
          <cell r="H142" t="str">
            <v>-------------------</v>
          </cell>
        </row>
        <row r="144">
          <cell r="B144" t="str">
            <v>OWNER'S CONTROL</v>
          </cell>
        </row>
        <row r="145">
          <cell r="B145" t="str">
            <v>-------------------</v>
          </cell>
        </row>
        <row r="146">
          <cell r="A146" t="str">
            <v>2800</v>
          </cell>
          <cell r="B146" t="str">
            <v>OWNER'S CONTROL</v>
          </cell>
          <cell r="C146">
            <v>-40872199</v>
          </cell>
          <cell r="H146">
            <v>-40872199</v>
          </cell>
        </row>
        <row r="147">
          <cell r="B147" t="str">
            <v>RE DIST TO HBE(Current)</v>
          </cell>
          <cell r="C147">
            <v>1441211</v>
          </cell>
          <cell r="H147">
            <v>1441211</v>
          </cell>
        </row>
        <row r="148">
          <cell r="A148" t="str">
            <v>2905</v>
          </cell>
          <cell r="B148" t="str">
            <v>RE DIST TO HBE(Prior)</v>
          </cell>
          <cell r="C148">
            <v>9022243</v>
          </cell>
          <cell r="H148">
            <v>9022243</v>
          </cell>
        </row>
        <row r="149">
          <cell r="A149" t="str">
            <v>2900</v>
          </cell>
          <cell r="B149" t="str">
            <v>RETAINED EARNINGS</v>
          </cell>
          <cell r="C149">
            <v>25892138</v>
          </cell>
          <cell r="H149">
            <v>25892138</v>
          </cell>
        </row>
        <row r="150">
          <cell r="A150" t="str">
            <v xml:space="preserve">                                                                                                                                </v>
          </cell>
          <cell r="B150" t="str">
            <v>CURRENT YEAR INCOME</v>
          </cell>
          <cell r="C150">
            <v>-293348</v>
          </cell>
          <cell r="H150">
            <v>-293348</v>
          </cell>
        </row>
        <row r="151">
          <cell r="A151" t="str">
            <v xml:space="preserve">                                                                                                                                </v>
          </cell>
          <cell r="B151" t="str">
            <v xml:space="preserve">                                                                                                                                </v>
          </cell>
          <cell r="C151" t="str">
            <v>-</v>
          </cell>
          <cell r="D151" t="str">
            <v>-</v>
          </cell>
          <cell r="E151" t="str">
            <v>-</v>
          </cell>
          <cell r="F151" t="str">
            <v>-</v>
          </cell>
          <cell r="G151" t="str">
            <v>-</v>
          </cell>
          <cell r="H151" t="str">
            <v>-------------------</v>
          </cell>
        </row>
        <row r="152">
          <cell r="B152" t="str">
            <v>TOTAL SHAREHOLDERS EQUITY</v>
          </cell>
          <cell r="C152">
            <v>-4809955</v>
          </cell>
          <cell r="E152">
            <v>0</v>
          </cell>
          <cell r="G152">
            <v>0</v>
          </cell>
          <cell r="H152">
            <v>-4809955</v>
          </cell>
        </row>
        <row r="153">
          <cell r="C153" t="str">
            <v>-</v>
          </cell>
          <cell r="D153" t="str">
            <v>-</v>
          </cell>
          <cell r="E153" t="str">
            <v>-</v>
          </cell>
          <cell r="F153" t="str">
            <v>-</v>
          </cell>
          <cell r="G153" t="str">
            <v>-</v>
          </cell>
          <cell r="H153" t="str">
            <v>-------------------</v>
          </cell>
        </row>
        <row r="155">
          <cell r="A155" t="str">
            <v xml:space="preserve">                                                                                                                                </v>
          </cell>
          <cell r="B155" t="str">
            <v>TOTAL LIAB &amp; EQUITY</v>
          </cell>
          <cell r="C155">
            <v>-57699222</v>
          </cell>
          <cell r="E155">
            <v>0</v>
          </cell>
          <cell r="G155">
            <v>0</v>
          </cell>
          <cell r="H155">
            <v>-57699222</v>
          </cell>
        </row>
        <row r="156">
          <cell r="A156" t="str">
            <v xml:space="preserve">                                                                                                                                </v>
          </cell>
          <cell r="B156" t="str">
            <v xml:space="preserve">                                                                                                                                </v>
          </cell>
          <cell r="C156" t="str">
            <v>=</v>
          </cell>
          <cell r="D156" t="str">
            <v>=</v>
          </cell>
          <cell r="E156" t="str">
            <v>=</v>
          </cell>
          <cell r="F156" t="str">
            <v>=</v>
          </cell>
          <cell r="G156" t="str">
            <v>=</v>
          </cell>
          <cell r="H156" t="str">
            <v>===================</v>
          </cell>
        </row>
        <row r="157">
          <cell r="C157">
            <v>0</v>
          </cell>
          <cell r="H157">
            <v>0</v>
          </cell>
        </row>
        <row r="164">
          <cell r="A164" t="str">
            <v>717 HB MINNEAPOLIS (12 - BIDTEK)</v>
          </cell>
          <cell r="C164" t="str">
            <v>03/31/1999</v>
          </cell>
        </row>
        <row r="165">
          <cell r="A165" t="str">
            <v>---------------------------</v>
          </cell>
          <cell r="B165" t="str">
            <v>-----------------------------</v>
          </cell>
        </row>
        <row r="166">
          <cell r="C166" t="str">
            <v>GENERAL</v>
          </cell>
          <cell r="H166" t="str">
            <v>03/31/1999</v>
          </cell>
        </row>
        <row r="167">
          <cell r="C167" t="str">
            <v>LEDGER</v>
          </cell>
          <cell r="D167" t="str">
            <v xml:space="preserve">         DEBIT</v>
          </cell>
          <cell r="F167" t="str">
            <v xml:space="preserve">         CREDIT</v>
          </cell>
          <cell r="H167" t="str">
            <v>ADJUSTED</v>
          </cell>
        </row>
        <row r="168">
          <cell r="A168" t="str">
            <v>ACCOUNT CODE</v>
          </cell>
          <cell r="B168" t="str">
            <v>ACCOUNT DESCRIPTION</v>
          </cell>
          <cell r="C168" t="str">
            <v>BALANCE</v>
          </cell>
          <cell r="D168" t="str">
            <v>NUMBER</v>
          </cell>
          <cell r="E168" t="str">
            <v>AMOUNT</v>
          </cell>
          <cell r="F168" t="str">
            <v>NUMBER</v>
          </cell>
          <cell r="G168" t="str">
            <v>AMOUNT</v>
          </cell>
          <cell r="H168" t="str">
            <v>BALANCE</v>
          </cell>
        </row>
        <row r="169">
          <cell r="A169" t="str">
            <v>-</v>
          </cell>
          <cell r="B169" t="str">
            <v>-</v>
          </cell>
          <cell r="C169" t="str">
            <v>-</v>
          </cell>
          <cell r="D169" t="str">
            <v>-</v>
          </cell>
          <cell r="E169" t="str">
            <v>-</v>
          </cell>
          <cell r="F169" t="str">
            <v>-</v>
          </cell>
          <cell r="G169" t="str">
            <v>-</v>
          </cell>
          <cell r="H169" t="str">
            <v>-------------------</v>
          </cell>
        </row>
        <row r="171">
          <cell r="A171" t="str">
            <v xml:space="preserve">                                                                                                                                </v>
          </cell>
          <cell r="B171" t="str">
            <v xml:space="preserve">PROFIT STATEMENT                                                                                                                </v>
          </cell>
          <cell r="G171" t="str">
            <v/>
          </cell>
        </row>
        <row r="172">
          <cell r="A172" t="str">
            <v xml:space="preserve">                                                                                                                                </v>
          </cell>
          <cell r="B172" t="str">
            <v xml:space="preserve">----------------                                                                                                                </v>
          </cell>
        </row>
        <row r="173">
          <cell r="A173" t="str">
            <v>3010</v>
          </cell>
          <cell r="B173" t="str">
            <v>DISCOUNTS EARNED</v>
          </cell>
          <cell r="C173">
            <v>0</v>
          </cell>
          <cell r="H173">
            <v>0</v>
          </cell>
        </row>
        <row r="174">
          <cell r="A174" t="str">
            <v>3100</v>
          </cell>
          <cell r="B174" t="str">
            <v>MANAGEMENT FEES HILTON</v>
          </cell>
          <cell r="C174">
            <v>-157900</v>
          </cell>
          <cell r="F174">
            <v>0</v>
          </cell>
          <cell r="H174">
            <v>-157900</v>
          </cell>
        </row>
        <row r="175">
          <cell r="A175" t="str">
            <v>3100</v>
          </cell>
          <cell r="B175" t="str">
            <v>INCENTIVE FEE HILTON</v>
          </cell>
          <cell r="C175">
            <v>0</v>
          </cell>
          <cell r="H175">
            <v>0</v>
          </cell>
        </row>
        <row r="176">
          <cell r="A176" t="str">
            <v>3100</v>
          </cell>
          <cell r="B176" t="str">
            <v>MGMT FEE RETAIL</v>
          </cell>
          <cell r="C176">
            <v>0</v>
          </cell>
          <cell r="H176">
            <v>0</v>
          </cell>
        </row>
        <row r="177">
          <cell r="A177" t="str">
            <v>3200</v>
          </cell>
          <cell r="B177" t="str">
            <v>MISC INCOME</v>
          </cell>
          <cell r="C177">
            <v>-96753</v>
          </cell>
          <cell r="H177">
            <v>-96753</v>
          </cell>
        </row>
        <row r="178">
          <cell r="A178" t="str">
            <v>3201</v>
          </cell>
          <cell r="B178" t="str">
            <v>TENANT REIMBURSEMENT</v>
          </cell>
          <cell r="C178">
            <v>0</v>
          </cell>
          <cell r="H178">
            <v>0</v>
          </cell>
        </row>
        <row r="179">
          <cell r="A179" t="str">
            <v>3250</v>
          </cell>
          <cell r="B179" t="str">
            <v>(GAIN)LOSS SALE OF ASSET</v>
          </cell>
          <cell r="C179">
            <v>0</v>
          </cell>
          <cell r="H179">
            <v>0</v>
          </cell>
        </row>
        <row r="180">
          <cell r="A180" t="str">
            <v>3450</v>
          </cell>
          <cell r="B180" t="str">
            <v>BOILER/CHILLER RENT</v>
          </cell>
          <cell r="C180">
            <v>-309006</v>
          </cell>
          <cell r="H180">
            <v>-309006</v>
          </cell>
        </row>
        <row r="181">
          <cell r="C181" t="str">
            <v>-</v>
          </cell>
          <cell r="D181" t="str">
            <v>-</v>
          </cell>
          <cell r="E181" t="str">
            <v>-</v>
          </cell>
          <cell r="F181" t="str">
            <v>-</v>
          </cell>
          <cell r="G181" t="str">
            <v>-</v>
          </cell>
          <cell r="H181" t="str">
            <v>-</v>
          </cell>
        </row>
        <row r="182">
          <cell r="B182" t="str">
            <v>SUB TOTAL REVENUE</v>
          </cell>
          <cell r="C182">
            <v>-563659</v>
          </cell>
          <cell r="E182">
            <v>0</v>
          </cell>
          <cell r="G182">
            <v>0</v>
          </cell>
          <cell r="H182">
            <v>-563659</v>
          </cell>
        </row>
        <row r="183">
          <cell r="C183" t="str">
            <v>-</v>
          </cell>
          <cell r="D183" t="str">
            <v>-</v>
          </cell>
          <cell r="E183" t="str">
            <v>-</v>
          </cell>
          <cell r="F183" t="str">
            <v>-</v>
          </cell>
          <cell r="G183" t="str">
            <v>-</v>
          </cell>
          <cell r="H183" t="str">
            <v>-------------------</v>
          </cell>
        </row>
        <row r="185">
          <cell r="A185" t="str">
            <v>4020</v>
          </cell>
          <cell r="B185" t="str">
            <v xml:space="preserve">           - SUBCONTRACTS</v>
          </cell>
          <cell r="C185">
            <v>0</v>
          </cell>
          <cell r="H185">
            <v>0</v>
          </cell>
        </row>
        <row r="186">
          <cell r="A186">
            <v>4160</v>
          </cell>
          <cell r="B186" t="str">
            <v xml:space="preserve">          -MISC DIR COSTS</v>
          </cell>
          <cell r="C186">
            <v>502</v>
          </cell>
          <cell r="H186">
            <v>502</v>
          </cell>
        </row>
        <row r="187">
          <cell r="A187" t="str">
            <v>4050</v>
          </cell>
          <cell r="B187" t="str">
            <v>MATERIALS SUBCONTRACTS</v>
          </cell>
          <cell r="C187">
            <v>0</v>
          </cell>
          <cell r="H187">
            <v>0</v>
          </cell>
        </row>
        <row r="188">
          <cell r="C188" t="str">
            <v>-</v>
          </cell>
          <cell r="D188" t="str">
            <v>-</v>
          </cell>
          <cell r="E188" t="str">
            <v>-</v>
          </cell>
          <cell r="F188" t="str">
            <v>-</v>
          </cell>
          <cell r="G188" t="str">
            <v>-</v>
          </cell>
          <cell r="H188" t="str">
            <v>-</v>
          </cell>
        </row>
        <row r="189">
          <cell r="C189">
            <v>502</v>
          </cell>
          <cell r="E189">
            <v>0</v>
          </cell>
          <cell r="G189">
            <v>0</v>
          </cell>
          <cell r="H189">
            <v>502</v>
          </cell>
        </row>
        <row r="190">
          <cell r="C190" t="str">
            <v>-</v>
          </cell>
          <cell r="D190" t="str">
            <v>-</v>
          </cell>
          <cell r="E190" t="str">
            <v>-</v>
          </cell>
          <cell r="F190" t="str">
            <v>-</v>
          </cell>
          <cell r="G190" t="str">
            <v>-</v>
          </cell>
          <cell r="H190" t="str">
            <v>-------------------</v>
          </cell>
        </row>
        <row r="192">
          <cell r="A192" t="str">
            <v>5020</v>
          </cell>
          <cell r="B192" t="str">
            <v>AIR TRAVEL</v>
          </cell>
          <cell r="C192">
            <v>0</v>
          </cell>
          <cell r="H192">
            <v>0</v>
          </cell>
        </row>
        <row r="193">
          <cell r="A193" t="str">
            <v>5030</v>
          </cell>
          <cell r="B193" t="str">
            <v>AUTO RENTAL</v>
          </cell>
          <cell r="C193">
            <v>0</v>
          </cell>
          <cell r="H193">
            <v>0</v>
          </cell>
        </row>
        <row r="194">
          <cell r="A194">
            <v>500006</v>
          </cell>
          <cell r="B194" t="str">
            <v>DATA PROCESSING</v>
          </cell>
          <cell r="C194">
            <v>270</v>
          </cell>
          <cell r="H194">
            <v>270</v>
          </cell>
        </row>
        <row r="195">
          <cell r="A195" t="str">
            <v>5110</v>
          </cell>
          <cell r="B195" t="str">
            <v>MEALS &amp; ENTERTAINMENT</v>
          </cell>
          <cell r="C195">
            <v>0</v>
          </cell>
          <cell r="H195">
            <v>0</v>
          </cell>
        </row>
        <row r="196">
          <cell r="A196" t="str">
            <v>5125</v>
          </cell>
          <cell r="B196" t="str">
            <v>CONSTRUCT INTEREST REIMB</v>
          </cell>
          <cell r="C196">
            <v>0</v>
          </cell>
          <cell r="H196">
            <v>0</v>
          </cell>
        </row>
        <row r="197">
          <cell r="A197" t="str">
            <v>5140</v>
          </cell>
          <cell r="B197" t="str">
            <v xml:space="preserve">EMPLOYEE TRAVEL EXPENSE                                                                                                    </v>
          </cell>
          <cell r="C197">
            <v>0</v>
          </cell>
          <cell r="H197">
            <v>0</v>
          </cell>
        </row>
        <row r="198">
          <cell r="A198" t="str">
            <v>5180</v>
          </cell>
          <cell r="B198" t="str">
            <v xml:space="preserve">INSURANCE                                                                                                                       </v>
          </cell>
          <cell r="C198">
            <v>0</v>
          </cell>
          <cell r="H198">
            <v>0</v>
          </cell>
        </row>
        <row r="199">
          <cell r="A199">
            <v>580001</v>
          </cell>
          <cell r="B199" t="str">
            <v>LEGAL</v>
          </cell>
          <cell r="C199">
            <v>33245</v>
          </cell>
          <cell r="H199">
            <v>33245</v>
          </cell>
        </row>
        <row r="200">
          <cell r="A200" t="str">
            <v>5240</v>
          </cell>
          <cell r="B200" t="str">
            <v xml:space="preserve">MISC EXPENSE                                                                                                                    </v>
          </cell>
          <cell r="C200">
            <v>0</v>
          </cell>
          <cell r="H200">
            <v>0</v>
          </cell>
        </row>
        <row r="201">
          <cell r="A201" t="str">
            <v>5280</v>
          </cell>
          <cell r="B201" t="str">
            <v xml:space="preserve">SALARIES                                                                                                                       </v>
          </cell>
          <cell r="C201">
            <v>0</v>
          </cell>
          <cell r="H201">
            <v>0</v>
          </cell>
        </row>
        <row r="202">
          <cell r="A202">
            <v>500029</v>
          </cell>
          <cell r="B202" t="str">
            <v>TAXES &amp; LICENSES</v>
          </cell>
          <cell r="C202">
            <v>0</v>
          </cell>
          <cell r="H202">
            <v>0</v>
          </cell>
        </row>
        <row r="203">
          <cell r="A203" t="str">
            <v>5390</v>
          </cell>
          <cell r="B203" t="str">
            <v>PAYROLL TAXES</v>
          </cell>
          <cell r="C203">
            <v>0</v>
          </cell>
          <cell r="H203">
            <v>0</v>
          </cell>
        </row>
        <row r="204">
          <cell r="A204" t="str">
            <v>5480</v>
          </cell>
          <cell r="B204" t="str">
            <v>PROFESSIONAL FEES</v>
          </cell>
          <cell r="C204">
            <v>15280</v>
          </cell>
          <cell r="H204">
            <v>15280</v>
          </cell>
        </row>
        <row r="205">
          <cell r="A205" t="str">
            <v>5740</v>
          </cell>
          <cell r="B205" t="str">
            <v xml:space="preserve">ADMIN - OPERATING                                                                                                               </v>
          </cell>
          <cell r="C205">
            <v>0</v>
          </cell>
          <cell r="H205">
            <v>0</v>
          </cell>
        </row>
        <row r="206">
          <cell r="A206" t="str">
            <v>5851</v>
          </cell>
          <cell r="B206" t="str">
            <v>TENENT UPFITS</v>
          </cell>
          <cell r="C206">
            <v>0</v>
          </cell>
          <cell r="H206">
            <v>0</v>
          </cell>
        </row>
        <row r="207">
          <cell r="A207" t="str">
            <v>5995</v>
          </cell>
          <cell r="B207" t="str">
            <v>LOC FEES</v>
          </cell>
          <cell r="C207">
            <v>0</v>
          </cell>
          <cell r="H207">
            <v>0</v>
          </cell>
        </row>
        <row r="208">
          <cell r="A208" t="str">
            <v xml:space="preserve">                                                                                                                                </v>
          </cell>
          <cell r="B208" t="str">
            <v xml:space="preserve">                                                                                                                                </v>
          </cell>
          <cell r="C208" t="str">
            <v>-</v>
          </cell>
          <cell r="D208" t="str">
            <v>-</v>
          </cell>
          <cell r="E208" t="str">
            <v>-</v>
          </cell>
          <cell r="F208" t="str">
            <v>-</v>
          </cell>
          <cell r="G208" t="str">
            <v>-</v>
          </cell>
          <cell r="H208" t="str">
            <v>-</v>
          </cell>
        </row>
        <row r="209">
          <cell r="A209" t="str">
            <v xml:space="preserve">                                                                                                                                </v>
          </cell>
          <cell r="B209" t="str">
            <v>TOTAL SG &amp; A</v>
          </cell>
          <cell r="C209">
            <v>48795</v>
          </cell>
          <cell r="E209">
            <v>0</v>
          </cell>
          <cell r="G209">
            <v>0</v>
          </cell>
          <cell r="H209">
            <v>48795</v>
          </cell>
        </row>
        <row r="211">
          <cell r="A211">
            <v>900006</v>
          </cell>
          <cell r="B211" t="str">
            <v>INTEREST EXP</v>
          </cell>
          <cell r="C211">
            <v>181705</v>
          </cell>
          <cell r="H211">
            <v>181705</v>
          </cell>
        </row>
        <row r="212">
          <cell r="A212">
            <v>900001</v>
          </cell>
          <cell r="B212" t="str">
            <v>DEPRECIATION</v>
          </cell>
          <cell r="C212">
            <v>49050</v>
          </cell>
          <cell r="H212">
            <v>49050</v>
          </cell>
        </row>
        <row r="213">
          <cell r="A213">
            <v>900003</v>
          </cell>
          <cell r="B213" t="str">
            <v>CONTRA DEPRECIATION</v>
          </cell>
          <cell r="C213">
            <v>-2065486</v>
          </cell>
          <cell r="H213">
            <v>-2065486</v>
          </cell>
        </row>
        <row r="214">
          <cell r="C214" t="str">
            <v>-</v>
          </cell>
          <cell r="D214" t="str">
            <v>-</v>
          </cell>
          <cell r="E214" t="str">
            <v>-</v>
          </cell>
          <cell r="F214" t="str">
            <v>-</v>
          </cell>
          <cell r="G214" t="str">
            <v>-</v>
          </cell>
          <cell r="H214" t="str">
            <v>-</v>
          </cell>
        </row>
        <row r="215">
          <cell r="B215" t="str">
            <v>SUBTOTAL DEPR &amp; INTEREST</v>
          </cell>
          <cell r="C215">
            <v>-1834731</v>
          </cell>
          <cell r="E215">
            <v>0</v>
          </cell>
          <cell r="G215">
            <v>0</v>
          </cell>
          <cell r="H215">
            <v>-1834731</v>
          </cell>
        </row>
        <row r="216">
          <cell r="C216" t="str">
            <v>-</v>
          </cell>
          <cell r="D216" t="str">
            <v>-</v>
          </cell>
          <cell r="E216" t="str">
            <v>-</v>
          </cell>
          <cell r="F216" t="str">
            <v>-</v>
          </cell>
          <cell r="G216" t="str">
            <v>-</v>
          </cell>
          <cell r="H216" t="str">
            <v>-</v>
          </cell>
        </row>
        <row r="218">
          <cell r="A218" t="str">
            <v xml:space="preserve">                                                                                                                                </v>
          </cell>
          <cell r="B218" t="str">
            <v xml:space="preserve">CURRENT YEAR EARNINGS                                                                                                           </v>
          </cell>
          <cell r="C218">
            <v>-2349093</v>
          </cell>
          <cell r="E218">
            <v>0</v>
          </cell>
          <cell r="G218">
            <v>0</v>
          </cell>
          <cell r="H218">
            <v>-2349093</v>
          </cell>
        </row>
        <row r="219">
          <cell r="A219" t="str">
            <v xml:space="preserve">                                                                                                                                </v>
          </cell>
          <cell r="B219" t="str">
            <v xml:space="preserve">                                                                                                                                </v>
          </cell>
          <cell r="C219" t="str">
            <v>=</v>
          </cell>
          <cell r="D219" t="str">
            <v>=</v>
          </cell>
          <cell r="E219" t="str">
            <v>=</v>
          </cell>
          <cell r="F219" t="str">
            <v>=</v>
          </cell>
          <cell r="G219" t="str">
            <v>=</v>
          </cell>
          <cell r="H219" t="str">
            <v>===================</v>
          </cell>
        </row>
        <row r="221">
          <cell r="A221" t="str">
            <v xml:space="preserve">                                                                                                                                </v>
          </cell>
          <cell r="B221" t="str">
            <v xml:space="preserve">ASSETS                                                                                                                          </v>
          </cell>
        </row>
        <row r="222">
          <cell r="A222" t="str">
            <v xml:space="preserve">                                                                                                                                </v>
          </cell>
          <cell r="B222" t="str">
            <v xml:space="preserve">------                                                                                                                          </v>
          </cell>
        </row>
        <row r="223">
          <cell r="A223" t="str">
            <v>1000</v>
          </cell>
          <cell r="B223" t="str">
            <v xml:space="preserve">CASH                                                                                                                            </v>
          </cell>
          <cell r="C223">
            <v>0</v>
          </cell>
          <cell r="H223">
            <v>0</v>
          </cell>
        </row>
        <row r="224">
          <cell r="A224">
            <v>113000</v>
          </cell>
          <cell r="B224" t="str">
            <v>A/R HILTON MGMT FEES</v>
          </cell>
          <cell r="C224">
            <v>0</v>
          </cell>
          <cell r="E224">
            <v>0</v>
          </cell>
          <cell r="H224">
            <v>0</v>
          </cell>
        </row>
        <row r="225">
          <cell r="B225" t="str">
            <v>Distribution Receivable</v>
          </cell>
          <cell r="C225">
            <v>0</v>
          </cell>
          <cell r="H225">
            <v>0</v>
          </cell>
        </row>
        <row r="226">
          <cell r="B226" t="str">
            <v>A/R TENANTS</v>
          </cell>
          <cell r="C226">
            <v>0</v>
          </cell>
          <cell r="H226">
            <v>0</v>
          </cell>
        </row>
        <row r="227">
          <cell r="B227" t="str">
            <v>INVENTORY</v>
          </cell>
          <cell r="C227">
            <v>0</v>
          </cell>
          <cell r="H227">
            <v>0</v>
          </cell>
        </row>
        <row r="228">
          <cell r="A228" t="str">
            <v xml:space="preserve">                                                                                                                                </v>
          </cell>
          <cell r="B228" t="str">
            <v xml:space="preserve">                                                                                                                                </v>
          </cell>
          <cell r="C228" t="str">
            <v>-</v>
          </cell>
          <cell r="D228" t="str">
            <v>-</v>
          </cell>
          <cell r="E228" t="str">
            <v>-</v>
          </cell>
          <cell r="F228" t="str">
            <v>-</v>
          </cell>
          <cell r="G228" t="str">
            <v>-</v>
          </cell>
          <cell r="H228" t="str">
            <v>-</v>
          </cell>
        </row>
        <row r="229">
          <cell r="A229" t="str">
            <v xml:space="preserve">                                                                                                                                </v>
          </cell>
          <cell r="B229" t="str">
            <v>SUB TOTAL CURRENT ASSETS</v>
          </cell>
          <cell r="C229">
            <v>0</v>
          </cell>
          <cell r="E229">
            <v>0</v>
          </cell>
          <cell r="G229">
            <v>0</v>
          </cell>
          <cell r="H229">
            <v>0</v>
          </cell>
        </row>
        <row r="230">
          <cell r="A230" t="str">
            <v xml:space="preserve">                                                                                                                                </v>
          </cell>
          <cell r="B230" t="str">
            <v xml:space="preserve">                                                                                                                                </v>
          </cell>
          <cell r="C230" t="str">
            <v>-</v>
          </cell>
          <cell r="D230" t="str">
            <v>-</v>
          </cell>
          <cell r="E230" t="str">
            <v>-</v>
          </cell>
          <cell r="F230" t="str">
            <v>-</v>
          </cell>
          <cell r="G230" t="str">
            <v>-</v>
          </cell>
          <cell r="H230" t="str">
            <v>-------------------</v>
          </cell>
        </row>
        <row r="232">
          <cell r="A232" t="str">
            <v>1450-01</v>
          </cell>
          <cell r="B232" t="str">
            <v xml:space="preserve">INTERCO </v>
          </cell>
          <cell r="H232">
            <v>0</v>
          </cell>
        </row>
        <row r="233">
          <cell r="A233" t="str">
            <v>1450-01</v>
          </cell>
          <cell r="B233" t="str">
            <v>INTERCO - HDI</v>
          </cell>
          <cell r="C233">
            <v>0</v>
          </cell>
          <cell r="H233">
            <v>0</v>
          </cell>
        </row>
        <row r="234">
          <cell r="A234" t="str">
            <v>1450-02</v>
          </cell>
          <cell r="B234" t="str">
            <v xml:space="preserve">          DESIGN/BUILD</v>
          </cell>
          <cell r="C234">
            <v>0</v>
          </cell>
          <cell r="H234">
            <v>0</v>
          </cell>
        </row>
        <row r="235">
          <cell r="A235" t="str">
            <v>1450-03</v>
          </cell>
          <cell r="B235" t="str">
            <v xml:space="preserve">          HOSPITALS</v>
          </cell>
          <cell r="C235">
            <v>0</v>
          </cell>
          <cell r="H235">
            <v>0</v>
          </cell>
        </row>
        <row r="236">
          <cell r="A236">
            <v>145007</v>
          </cell>
          <cell r="B236" t="str">
            <v xml:space="preserve">          CORPORATE</v>
          </cell>
          <cell r="C236">
            <v>19092258</v>
          </cell>
          <cell r="H236">
            <v>19092258</v>
          </cell>
        </row>
        <row r="237">
          <cell r="B237" t="str">
            <v xml:space="preserve">          MN RETAIL</v>
          </cell>
          <cell r="C237">
            <v>0</v>
          </cell>
          <cell r="H237">
            <v>0</v>
          </cell>
        </row>
        <row r="238">
          <cell r="A238" t="str">
            <v xml:space="preserve">                                                                                                                                </v>
          </cell>
          <cell r="B238" t="str">
            <v xml:space="preserve">                                                                                                                                </v>
          </cell>
          <cell r="C238" t="str">
            <v>-</v>
          </cell>
          <cell r="D238" t="str">
            <v>-</v>
          </cell>
          <cell r="E238" t="str">
            <v>-</v>
          </cell>
          <cell r="F238" t="str">
            <v>-</v>
          </cell>
          <cell r="G238" t="str">
            <v>-</v>
          </cell>
          <cell r="H238" t="str">
            <v>-</v>
          </cell>
        </row>
        <row r="239">
          <cell r="A239" t="str">
            <v xml:space="preserve">                                                                                                                                </v>
          </cell>
          <cell r="B239" t="str">
            <v xml:space="preserve">SUB TOTAL I/C                                                                                                                   </v>
          </cell>
          <cell r="C239">
            <v>19092258</v>
          </cell>
          <cell r="E239">
            <v>0</v>
          </cell>
          <cell r="G239">
            <v>0</v>
          </cell>
          <cell r="H239">
            <v>19092258</v>
          </cell>
        </row>
        <row r="240">
          <cell r="C240" t="str">
            <v>-</v>
          </cell>
          <cell r="D240" t="str">
            <v>-</v>
          </cell>
          <cell r="E240" t="str">
            <v>-</v>
          </cell>
          <cell r="F240" t="str">
            <v>-</v>
          </cell>
          <cell r="G240" t="str">
            <v>-</v>
          </cell>
          <cell r="H240" t="str">
            <v>-------------------</v>
          </cell>
        </row>
        <row r="242">
          <cell r="A242" t="str">
            <v>1461</v>
          </cell>
          <cell r="B242" t="str">
            <v>CONSTRUCTION IN PROGRESS</v>
          </cell>
          <cell r="C242">
            <v>0</v>
          </cell>
          <cell r="H242">
            <v>0</v>
          </cell>
        </row>
        <row r="243">
          <cell r="A243">
            <v>172000</v>
          </cell>
          <cell r="B243" t="str">
            <v>BOILER/CHILLERS</v>
          </cell>
          <cell r="C243">
            <v>1635000</v>
          </cell>
          <cell r="H243">
            <v>1635000</v>
          </cell>
        </row>
        <row r="244">
          <cell r="A244" t="str">
            <v>1610</v>
          </cell>
          <cell r="B244" t="str">
            <v>RETAIL MALL</v>
          </cell>
          <cell r="C244">
            <v>0</v>
          </cell>
          <cell r="H244">
            <v>0</v>
          </cell>
        </row>
        <row r="245">
          <cell r="A245" t="str">
            <v>1540</v>
          </cell>
          <cell r="B245" t="str">
            <v>FF&amp;E</v>
          </cell>
          <cell r="C245">
            <v>0</v>
          </cell>
          <cell r="H245">
            <v>0</v>
          </cell>
        </row>
        <row r="246">
          <cell r="A246">
            <v>151500</v>
          </cell>
          <cell r="B246" t="str">
            <v>DATA PROCESSING EQUIP</v>
          </cell>
          <cell r="C246">
            <v>0</v>
          </cell>
          <cell r="H246">
            <v>0</v>
          </cell>
        </row>
        <row r="247">
          <cell r="C247" t="str">
            <v>-</v>
          </cell>
          <cell r="D247" t="str">
            <v>-</v>
          </cell>
          <cell r="E247" t="str">
            <v>-</v>
          </cell>
          <cell r="F247" t="str">
            <v>-</v>
          </cell>
          <cell r="G247" t="str">
            <v>-</v>
          </cell>
          <cell r="H247" t="str">
            <v>-</v>
          </cell>
        </row>
        <row r="248">
          <cell r="B248" t="str">
            <v>SUB TOTAL FIXED ASSETS</v>
          </cell>
          <cell r="C248">
            <v>1635000</v>
          </cell>
          <cell r="E248">
            <v>0</v>
          </cell>
          <cell r="G248">
            <v>0</v>
          </cell>
          <cell r="H248">
            <v>1635000</v>
          </cell>
        </row>
        <row r="249">
          <cell r="C249" t="str">
            <v>-</v>
          </cell>
          <cell r="D249" t="str">
            <v>-</v>
          </cell>
          <cell r="E249" t="str">
            <v>-</v>
          </cell>
          <cell r="F249" t="str">
            <v>-</v>
          </cell>
          <cell r="G249" t="str">
            <v>-</v>
          </cell>
          <cell r="H249" t="str">
            <v>-------------------</v>
          </cell>
        </row>
        <row r="251">
          <cell r="A251">
            <v>172500</v>
          </cell>
          <cell r="B251" t="str">
            <v>ACCUM. DEPR - BOILER/CHILLER</v>
          </cell>
          <cell r="C251">
            <v>-452350</v>
          </cell>
          <cell r="H251">
            <v>-452350</v>
          </cell>
        </row>
        <row r="252">
          <cell r="A252" t="str">
            <v>1880</v>
          </cell>
          <cell r="B252" t="str">
            <v>ACCUM. DEPR -BLDG &amp; IMPROVEMENTS</v>
          </cell>
          <cell r="C252">
            <v>0</v>
          </cell>
          <cell r="H252">
            <v>0</v>
          </cell>
        </row>
        <row r="253">
          <cell r="A253">
            <v>160015</v>
          </cell>
          <cell r="B253" t="str">
            <v>ACCUM. DEPR -DP EQUIP</v>
          </cell>
          <cell r="C253">
            <v>0</v>
          </cell>
          <cell r="H253">
            <v>0</v>
          </cell>
        </row>
        <row r="254">
          <cell r="C254" t="str">
            <v>-</v>
          </cell>
          <cell r="D254" t="str">
            <v>-</v>
          </cell>
          <cell r="E254" t="str">
            <v>-</v>
          </cell>
          <cell r="F254" t="str">
            <v>-</v>
          </cell>
          <cell r="G254" t="str">
            <v>-</v>
          </cell>
          <cell r="H254" t="str">
            <v>-</v>
          </cell>
        </row>
        <row r="255">
          <cell r="C255">
            <v>-452350</v>
          </cell>
          <cell r="E255">
            <v>0</v>
          </cell>
          <cell r="G255">
            <v>0</v>
          </cell>
          <cell r="H255">
            <v>-452350</v>
          </cell>
        </row>
        <row r="256">
          <cell r="C256" t="str">
            <v>-</v>
          </cell>
          <cell r="D256" t="str">
            <v>-</v>
          </cell>
          <cell r="E256" t="str">
            <v>-</v>
          </cell>
          <cell r="F256" t="str">
            <v>-</v>
          </cell>
          <cell r="G256" t="str">
            <v>-</v>
          </cell>
          <cell r="H256" t="str">
            <v>-------------------</v>
          </cell>
        </row>
        <row r="257">
          <cell r="A257">
            <v>173000</v>
          </cell>
          <cell r="B257" t="str">
            <v>NON-EQUITY SHARHLDR CONTR</v>
          </cell>
          <cell r="C257">
            <v>0</v>
          </cell>
          <cell r="H257">
            <v>0</v>
          </cell>
        </row>
        <row r="258">
          <cell r="B258" t="str">
            <v>- BUILDING</v>
          </cell>
          <cell r="C258">
            <v>-25081196</v>
          </cell>
          <cell r="H258">
            <v>-25081196</v>
          </cell>
        </row>
        <row r="259">
          <cell r="B259" t="str">
            <v>- FF&amp;E</v>
          </cell>
          <cell r="C259">
            <v>-14876279</v>
          </cell>
          <cell r="H259">
            <v>-14876279</v>
          </cell>
        </row>
        <row r="260">
          <cell r="B260" t="str">
            <v>-TOOLS &amp; EQUIPMENT</v>
          </cell>
          <cell r="C260">
            <v>-3381111</v>
          </cell>
          <cell r="H260">
            <v>-3381111</v>
          </cell>
        </row>
        <row r="261">
          <cell r="B261" t="str">
            <v>-HEAVY EQUIMENT</v>
          </cell>
          <cell r="C261">
            <v>-567049</v>
          </cell>
          <cell r="H261">
            <v>-567049</v>
          </cell>
        </row>
        <row r="262">
          <cell r="B262" t="str">
            <v>- RETAIL MALL</v>
          </cell>
          <cell r="C262">
            <v>-773080</v>
          </cell>
          <cell r="H262">
            <v>-773080</v>
          </cell>
        </row>
        <row r="263">
          <cell r="A263" t="str">
            <v xml:space="preserve">                                                                                                                                </v>
          </cell>
          <cell r="C263" t="str">
            <v>-</v>
          </cell>
          <cell r="D263" t="str">
            <v>-</v>
          </cell>
          <cell r="E263" t="str">
            <v>-</v>
          </cell>
          <cell r="F263" t="str">
            <v>-</v>
          </cell>
          <cell r="G263" t="str">
            <v>-</v>
          </cell>
          <cell r="H263" t="str">
            <v>-</v>
          </cell>
        </row>
        <row r="264">
          <cell r="A264" t="str">
            <v xml:space="preserve">                                                                                                                                </v>
          </cell>
          <cell r="B264" t="str">
            <v>NET NESC</v>
          </cell>
          <cell r="C264">
            <v>-44678715</v>
          </cell>
          <cell r="E264">
            <v>0</v>
          </cell>
          <cell r="G264">
            <v>0</v>
          </cell>
          <cell r="H264">
            <v>-44678715</v>
          </cell>
        </row>
        <row r="265">
          <cell r="C265" t="str">
            <v>-</v>
          </cell>
          <cell r="D265" t="str">
            <v>-</v>
          </cell>
          <cell r="E265" t="str">
            <v>-</v>
          </cell>
          <cell r="F265" t="str">
            <v>-</v>
          </cell>
          <cell r="G265" t="str">
            <v>-</v>
          </cell>
          <cell r="H265" t="str">
            <v>-</v>
          </cell>
        </row>
        <row r="267">
          <cell r="A267">
            <v>173500</v>
          </cell>
          <cell r="B267" t="str">
            <v>CONTRA NESC (accum amort)</v>
          </cell>
          <cell r="C267">
            <v>19033874</v>
          </cell>
          <cell r="H267">
            <v>19033874</v>
          </cell>
        </row>
        <row r="268">
          <cell r="A268" t="str">
            <v xml:space="preserve">                                                                                                                                </v>
          </cell>
          <cell r="B268" t="str">
            <v xml:space="preserve">                                                                                                                                </v>
          </cell>
          <cell r="C268" t="str">
            <v>-</v>
          </cell>
          <cell r="D268" t="str">
            <v>-</v>
          </cell>
          <cell r="E268" t="str">
            <v>-</v>
          </cell>
          <cell r="F268" t="str">
            <v>-</v>
          </cell>
          <cell r="G268" t="str">
            <v>-</v>
          </cell>
          <cell r="H268" t="str">
            <v>-</v>
          </cell>
        </row>
        <row r="269">
          <cell r="C269">
            <v>19033874</v>
          </cell>
          <cell r="E269">
            <v>0</v>
          </cell>
          <cell r="G269">
            <v>0</v>
          </cell>
          <cell r="H269">
            <v>19033874</v>
          </cell>
        </row>
        <row r="270">
          <cell r="C270" t="str">
            <v>-</v>
          </cell>
          <cell r="D270" t="str">
            <v>-</v>
          </cell>
          <cell r="E270" t="str">
            <v>-</v>
          </cell>
          <cell r="F270" t="str">
            <v>-</v>
          </cell>
          <cell r="G270" t="str">
            <v>-</v>
          </cell>
          <cell r="H270" t="str">
            <v>-</v>
          </cell>
        </row>
        <row r="272">
          <cell r="A272" t="str">
            <v xml:space="preserve">                                                                                                                                </v>
          </cell>
          <cell r="B272" t="str">
            <v xml:space="preserve">TOTAL ASSETS                                                                                                                    </v>
          </cell>
          <cell r="C272">
            <v>-5369933</v>
          </cell>
          <cell r="E272">
            <v>0</v>
          </cell>
          <cell r="G272">
            <v>0</v>
          </cell>
          <cell r="H272">
            <v>-5369933</v>
          </cell>
        </row>
        <row r="273">
          <cell r="A273" t="str">
            <v xml:space="preserve">                                                                                                                                </v>
          </cell>
          <cell r="B273" t="str">
            <v xml:space="preserve">                                                                                                                                </v>
          </cell>
          <cell r="C273" t="str">
            <v>=</v>
          </cell>
          <cell r="D273" t="str">
            <v>=</v>
          </cell>
          <cell r="E273" t="str">
            <v>=</v>
          </cell>
          <cell r="F273" t="str">
            <v>=</v>
          </cell>
          <cell r="G273" t="str">
            <v>=</v>
          </cell>
          <cell r="H273" t="str">
            <v>===================</v>
          </cell>
        </row>
        <row r="274">
          <cell r="A274" t="str">
            <v xml:space="preserve">                                                                                                                                </v>
          </cell>
          <cell r="B274" t="str">
            <v xml:space="preserve">                                                                                                                                </v>
          </cell>
        </row>
        <row r="275">
          <cell r="A275" t="str">
            <v xml:space="preserve">                                                                                                                                </v>
          </cell>
          <cell r="B275" t="str">
            <v xml:space="preserve">LIABILITIES &amp; EQUITY                                                                                                            </v>
          </cell>
        </row>
        <row r="276">
          <cell r="A276" t="str">
            <v xml:space="preserve">                                                                                                                                </v>
          </cell>
          <cell r="B276" t="str">
            <v xml:space="preserve">--------------------                                                                                                            </v>
          </cell>
        </row>
        <row r="278">
          <cell r="B278" t="str">
            <v xml:space="preserve">LIABILITIES                                                                                                             </v>
          </cell>
        </row>
        <row r="279">
          <cell r="B279" t="str">
            <v xml:space="preserve">-----------                                                                                                            </v>
          </cell>
        </row>
        <row r="280">
          <cell r="B280" t="str">
            <v>CURR MAT L.T. DEBT</v>
          </cell>
          <cell r="C280">
            <v>0</v>
          </cell>
          <cell r="H280">
            <v>0</v>
          </cell>
        </row>
        <row r="281">
          <cell r="A281">
            <v>210007</v>
          </cell>
          <cell r="B281" t="str">
            <v xml:space="preserve">ACCOUNTS PAYABLE                                                                                                                </v>
          </cell>
          <cell r="C281">
            <v>-1334399</v>
          </cell>
          <cell r="H281">
            <v>-1334399</v>
          </cell>
        </row>
        <row r="282">
          <cell r="A282">
            <v>203000</v>
          </cell>
          <cell r="B282" t="str">
            <v>PAYABLE TO Hilton</v>
          </cell>
          <cell r="H282">
            <v>0</v>
          </cell>
        </row>
        <row r="283">
          <cell r="A283" t="str">
            <v>2170</v>
          </cell>
          <cell r="B283" t="str">
            <v>REFUNDABLE SECURITY DEPOSITS</v>
          </cell>
          <cell r="C283">
            <v>0</v>
          </cell>
          <cell r="H283">
            <v>0</v>
          </cell>
        </row>
        <row r="284">
          <cell r="A284" t="str">
            <v>2010</v>
          </cell>
          <cell r="B284" t="str">
            <v>DISTRIBUTION PAYABLE</v>
          </cell>
          <cell r="C284">
            <v>0</v>
          </cell>
          <cell r="H284">
            <v>0</v>
          </cell>
        </row>
        <row r="285">
          <cell r="A285">
            <v>260001</v>
          </cell>
          <cell r="B285" t="str">
            <v>PREPAID BOILER/CHILLER</v>
          </cell>
          <cell r="C285">
            <v>182869</v>
          </cell>
          <cell r="H285">
            <v>182869</v>
          </cell>
        </row>
        <row r="286">
          <cell r="C286" t="str">
            <v>-</v>
          </cell>
          <cell r="D286" t="str">
            <v>-</v>
          </cell>
          <cell r="E286" t="str">
            <v>-</v>
          </cell>
          <cell r="F286" t="str">
            <v>-</v>
          </cell>
          <cell r="G286" t="str">
            <v>-</v>
          </cell>
          <cell r="H286" t="str">
            <v>-------------------</v>
          </cell>
        </row>
        <row r="287">
          <cell r="B287" t="str">
            <v>SUB TOTAL CURRENT LIAB.</v>
          </cell>
          <cell r="C287">
            <v>-1151530</v>
          </cell>
          <cell r="E287">
            <v>0</v>
          </cell>
          <cell r="G287">
            <v>0</v>
          </cell>
          <cell r="H287">
            <v>-1151530</v>
          </cell>
        </row>
        <row r="288">
          <cell r="C288" t="str">
            <v>-</v>
          </cell>
          <cell r="D288" t="str">
            <v>-</v>
          </cell>
          <cell r="E288" t="str">
            <v>-</v>
          </cell>
          <cell r="F288" t="str">
            <v>-</v>
          </cell>
          <cell r="G288" t="str">
            <v>-</v>
          </cell>
          <cell r="H288" t="str">
            <v>-------------------</v>
          </cell>
        </row>
        <row r="290">
          <cell r="A290">
            <v>282000</v>
          </cell>
          <cell r="B290" t="str">
            <v>OBLIGATN CAP LSE BOIL/CHL</v>
          </cell>
          <cell r="C290">
            <v>-756320</v>
          </cell>
          <cell r="H290">
            <v>-756320</v>
          </cell>
        </row>
        <row r="291">
          <cell r="A291" t="str">
            <v>2205</v>
          </cell>
          <cell r="B291" t="str">
            <v>LONG TERM DEBT UDAG</v>
          </cell>
          <cell r="C291">
            <v>0</v>
          </cell>
          <cell r="H291">
            <v>0</v>
          </cell>
        </row>
        <row r="292">
          <cell r="B292" t="str">
            <v>LONG TERM DEBT MITSUI BNK</v>
          </cell>
          <cell r="C292">
            <v>0</v>
          </cell>
          <cell r="H292">
            <v>0</v>
          </cell>
        </row>
        <row r="293">
          <cell r="C293" t="str">
            <v>-</v>
          </cell>
          <cell r="D293" t="str">
            <v>-</v>
          </cell>
          <cell r="E293" t="str">
            <v>-</v>
          </cell>
          <cell r="F293" t="str">
            <v>-</v>
          </cell>
          <cell r="G293" t="str">
            <v>-</v>
          </cell>
          <cell r="H293" t="str">
            <v>-------------------</v>
          </cell>
        </row>
        <row r="294">
          <cell r="B294" t="str">
            <v>SUB TOTAL NON-CURR LIAB</v>
          </cell>
          <cell r="C294">
            <v>-756320</v>
          </cell>
          <cell r="E294">
            <v>0</v>
          </cell>
          <cell r="G294">
            <v>0</v>
          </cell>
          <cell r="H294">
            <v>-756320</v>
          </cell>
        </row>
        <row r="295">
          <cell r="C295" t="str">
            <v>-</v>
          </cell>
          <cell r="D295" t="str">
            <v>-</v>
          </cell>
          <cell r="E295" t="str">
            <v>-</v>
          </cell>
          <cell r="F295" t="str">
            <v>-</v>
          </cell>
          <cell r="G295" t="str">
            <v>-</v>
          </cell>
          <cell r="H295" t="str">
            <v>-------------------</v>
          </cell>
        </row>
        <row r="297">
          <cell r="B297" t="str">
            <v>TOTAL LIABILITES</v>
          </cell>
          <cell r="C297">
            <v>-1907850</v>
          </cell>
          <cell r="E297">
            <v>0</v>
          </cell>
          <cell r="G297">
            <v>0</v>
          </cell>
          <cell r="H297">
            <v>-1907850</v>
          </cell>
        </row>
        <row r="298">
          <cell r="C298" t="str">
            <v>-</v>
          </cell>
          <cell r="D298" t="str">
            <v>-</v>
          </cell>
          <cell r="E298" t="str">
            <v>-</v>
          </cell>
          <cell r="F298" t="str">
            <v>-</v>
          </cell>
          <cell r="G298" t="str">
            <v>-</v>
          </cell>
          <cell r="H298" t="str">
            <v>-------------------</v>
          </cell>
        </row>
        <row r="299">
          <cell r="C299">
            <v>-1907850</v>
          </cell>
          <cell r="H299">
            <v>-27304112</v>
          </cell>
        </row>
        <row r="300">
          <cell r="B300" t="str">
            <v>SHAREHOLDERS EQUITY</v>
          </cell>
        </row>
        <row r="301">
          <cell r="B301" t="str">
            <v>-------------------</v>
          </cell>
        </row>
        <row r="302">
          <cell r="A302">
            <v>292000</v>
          </cell>
          <cell r="B302" t="str">
            <v>OPERATING CONTROL</v>
          </cell>
          <cell r="C302">
            <v>40872198.619999997</v>
          </cell>
          <cell r="H302">
            <v>40872198.619999997</v>
          </cell>
        </row>
        <row r="303">
          <cell r="A303">
            <v>291000</v>
          </cell>
          <cell r="B303" t="str">
            <v xml:space="preserve">COMMON STOCK                                                                                                                    </v>
          </cell>
          <cell r="C303">
            <v>-10</v>
          </cell>
          <cell r="H303">
            <v>-10</v>
          </cell>
        </row>
        <row r="304">
          <cell r="A304">
            <v>294000</v>
          </cell>
          <cell r="B304" t="str">
            <v>ADDITIONAL PD-IN CAPITAL</v>
          </cell>
          <cell r="C304">
            <v>-2499990</v>
          </cell>
          <cell r="H304">
            <v>-2499990</v>
          </cell>
        </row>
        <row r="305">
          <cell r="A305" t="str">
            <v>2905</v>
          </cell>
          <cell r="B305" t="str">
            <v>DISTRIBUTIONS(current)</v>
          </cell>
          <cell r="C305">
            <v>-1441211</v>
          </cell>
          <cell r="H305">
            <v>-1441211</v>
          </cell>
        </row>
        <row r="306">
          <cell r="B306" t="str">
            <v>DISTRIBUTIONS(prior)</v>
          </cell>
          <cell r="C306">
            <v>-9022243</v>
          </cell>
          <cell r="H306">
            <v>-9022243</v>
          </cell>
        </row>
        <row r="307">
          <cell r="A307">
            <v>299000</v>
          </cell>
          <cell r="B307" t="str">
            <v>RETAINED EARNINGS                                                                                                               f1</v>
          </cell>
          <cell r="C307">
            <v>-18281869</v>
          </cell>
          <cell r="H307">
            <v>-18281869</v>
          </cell>
        </row>
        <row r="308">
          <cell r="A308" t="str">
            <v xml:space="preserve">                                                                                                                                </v>
          </cell>
          <cell r="B308" t="str">
            <v xml:space="preserve">CURRENT YEAR EARNINGS                                                                                                           </v>
          </cell>
          <cell r="C308">
            <v>-2349093</v>
          </cell>
          <cell r="H308">
            <v>-2349093</v>
          </cell>
        </row>
        <row r="309">
          <cell r="A309" t="str">
            <v xml:space="preserve">                                                                                                                                </v>
          </cell>
          <cell r="B309" t="str">
            <v xml:space="preserve">                                                                                                                                </v>
          </cell>
          <cell r="C309" t="str">
            <v>-</v>
          </cell>
          <cell r="D309" t="str">
            <v>-</v>
          </cell>
          <cell r="E309" t="str">
            <v>-</v>
          </cell>
          <cell r="F309" t="str">
            <v>-</v>
          </cell>
          <cell r="G309" t="str">
            <v>-</v>
          </cell>
          <cell r="H309" t="str">
            <v>-------------------</v>
          </cell>
        </row>
        <row r="310">
          <cell r="B310" t="str">
            <v>TOTAL SHAREHOLDERS EQUITY</v>
          </cell>
          <cell r="C310">
            <v>7277782.6199999973</v>
          </cell>
          <cell r="E310">
            <v>0</v>
          </cell>
          <cell r="G310">
            <v>0</v>
          </cell>
          <cell r="H310">
            <v>7277782.6199999973</v>
          </cell>
        </row>
        <row r="311">
          <cell r="C311" t="str">
            <v>-</v>
          </cell>
          <cell r="D311" t="str">
            <v>-</v>
          </cell>
          <cell r="E311" t="str">
            <v>-</v>
          </cell>
          <cell r="F311" t="str">
            <v>-</v>
          </cell>
          <cell r="G311" t="str">
            <v>-</v>
          </cell>
          <cell r="H311" t="str">
            <v>-------------------</v>
          </cell>
        </row>
        <row r="313">
          <cell r="A313" t="str">
            <v xml:space="preserve">                                                                                                                                </v>
          </cell>
          <cell r="B313" t="str">
            <v xml:space="preserve">TOTAL LIAB &amp; EQUITY                                                                                                             </v>
          </cell>
          <cell r="C313">
            <v>5369932.6199999973</v>
          </cell>
          <cell r="E313">
            <v>0</v>
          </cell>
          <cell r="G313">
            <v>0</v>
          </cell>
          <cell r="H313">
            <v>5369932.6199999973</v>
          </cell>
        </row>
        <row r="314">
          <cell r="A314" t="str">
            <v xml:space="preserve">                                                                                                                                </v>
          </cell>
          <cell r="B314" t="str">
            <v xml:space="preserve">                                                                                                                                </v>
          </cell>
          <cell r="C314" t="str">
            <v>=</v>
          </cell>
          <cell r="D314" t="str">
            <v>=</v>
          </cell>
          <cell r="E314" t="str">
            <v>=</v>
          </cell>
          <cell r="F314" t="str">
            <v>=</v>
          </cell>
          <cell r="G314" t="str">
            <v>=</v>
          </cell>
          <cell r="H314" t="str">
            <v>===================</v>
          </cell>
        </row>
        <row r="315">
          <cell r="C315">
            <v>-0.38000000268220901</v>
          </cell>
          <cell r="H315">
            <v>-0.38000000268220901</v>
          </cell>
        </row>
        <row r="318">
          <cell r="A318" t="str">
            <v>RETAIL RENTAL (SKYLINE)</v>
          </cell>
          <cell r="C318" t="str">
            <v>03/31/1999</v>
          </cell>
        </row>
        <row r="319">
          <cell r="A319" t="str">
            <v>---------------------------</v>
          </cell>
          <cell r="B319" t="str">
            <v>-----------------------------</v>
          </cell>
        </row>
        <row r="320">
          <cell r="C320" t="str">
            <v>GENERAL</v>
          </cell>
          <cell r="H320">
            <v>36525</v>
          </cell>
        </row>
        <row r="321">
          <cell r="C321" t="str">
            <v>LEDGER</v>
          </cell>
          <cell r="D321" t="str">
            <v xml:space="preserve">         DEBIT</v>
          </cell>
          <cell r="F321" t="str">
            <v xml:space="preserve">         CREDIT</v>
          </cell>
          <cell r="H321" t="str">
            <v>ADJUSTED</v>
          </cell>
        </row>
        <row r="322">
          <cell r="A322" t="str">
            <v>ACCOUNT CODE</v>
          </cell>
          <cell r="B322" t="str">
            <v>ACCOUNT DESCRIPTION</v>
          </cell>
          <cell r="C322" t="str">
            <v>BALANCE</v>
          </cell>
          <cell r="D322" t="str">
            <v>NUMBER</v>
          </cell>
          <cell r="E322" t="str">
            <v>AMOUNT</v>
          </cell>
          <cell r="F322" t="str">
            <v>NUMBER</v>
          </cell>
          <cell r="G322" t="str">
            <v>AMOUNT</v>
          </cell>
          <cell r="H322" t="str">
            <v>BALANCE</v>
          </cell>
        </row>
        <row r="323">
          <cell r="A323" t="str">
            <v>-</v>
          </cell>
          <cell r="B323" t="str">
            <v>-</v>
          </cell>
          <cell r="C323" t="str">
            <v>-</v>
          </cell>
          <cell r="D323" t="str">
            <v>-</v>
          </cell>
          <cell r="E323" t="str">
            <v>-</v>
          </cell>
          <cell r="F323" t="str">
            <v>-</v>
          </cell>
          <cell r="G323" t="str">
            <v>-</v>
          </cell>
          <cell r="H323" t="str">
            <v>-------------------</v>
          </cell>
        </row>
        <row r="325">
          <cell r="A325" t="str">
            <v xml:space="preserve">                                                                                                                                </v>
          </cell>
          <cell r="B325" t="str">
            <v xml:space="preserve">PROFIT STATEMENT                                                                                                                </v>
          </cell>
        </row>
        <row r="326">
          <cell r="A326" t="str">
            <v xml:space="preserve">                                                                                                                                </v>
          </cell>
          <cell r="B326" t="str">
            <v xml:space="preserve">----------------                                                                                                                </v>
          </cell>
        </row>
        <row r="327">
          <cell r="B327" t="str">
            <v>RENTAL INCOME -BASE</v>
          </cell>
          <cell r="C327">
            <v>-95032</v>
          </cell>
          <cell r="H327">
            <v>-95032</v>
          </cell>
        </row>
        <row r="328">
          <cell r="B328" t="str">
            <v>RENTAL INCOME -ESCALATION</v>
          </cell>
          <cell r="C328">
            <v>0</v>
          </cell>
          <cell r="H328">
            <v>0</v>
          </cell>
        </row>
        <row r="329">
          <cell r="B329" t="str">
            <v>RENT-UPFIT INCOME</v>
          </cell>
          <cell r="C329">
            <v>-41663</v>
          </cell>
          <cell r="H329">
            <v>-41663</v>
          </cell>
        </row>
        <row r="330">
          <cell r="B330" t="str">
            <v>MANAGEMENT FEES</v>
          </cell>
          <cell r="C330">
            <v>0</v>
          </cell>
          <cell r="H330">
            <v>0</v>
          </cell>
        </row>
        <row r="331">
          <cell r="B331" t="str">
            <v>INTEREST INCOME</v>
          </cell>
          <cell r="C331">
            <v>0</v>
          </cell>
          <cell r="H331">
            <v>0</v>
          </cell>
        </row>
        <row r="332">
          <cell r="B332" t="str">
            <v>Reclass to tenant inprovements</v>
          </cell>
          <cell r="C332">
            <v>0</v>
          </cell>
          <cell r="H332">
            <v>0</v>
          </cell>
        </row>
        <row r="333">
          <cell r="B333" t="str">
            <v>MISC INCOME</v>
          </cell>
          <cell r="C333">
            <v>-3475</v>
          </cell>
          <cell r="E333">
            <v>-26966.130000000005</v>
          </cell>
          <cell r="H333">
            <v>-30441.130000000005</v>
          </cell>
        </row>
        <row r="334">
          <cell r="B334" t="str">
            <v>COMMON AREA MAINTENANCE</v>
          </cell>
          <cell r="C334">
            <v>-107398</v>
          </cell>
          <cell r="H334">
            <v>-107398</v>
          </cell>
        </row>
        <row r="335">
          <cell r="B335" t="str">
            <v>(GAIN)LOSS SALE OF ASSET</v>
          </cell>
          <cell r="C335">
            <v>0</v>
          </cell>
          <cell r="H335">
            <v>0</v>
          </cell>
        </row>
        <row r="336">
          <cell r="C336" t="str">
            <v>-</v>
          </cell>
          <cell r="D336" t="str">
            <v>-</v>
          </cell>
          <cell r="E336" t="str">
            <v>-</v>
          </cell>
          <cell r="F336" t="str">
            <v>-</v>
          </cell>
          <cell r="G336" t="str">
            <v>-</v>
          </cell>
          <cell r="H336" t="str">
            <v>-</v>
          </cell>
        </row>
        <row r="337">
          <cell r="B337" t="str">
            <v>SUB TOTAL REVENUE</v>
          </cell>
          <cell r="C337">
            <v>-247568</v>
          </cell>
          <cell r="E337">
            <v>-26966.130000000005</v>
          </cell>
          <cell r="G337">
            <v>0</v>
          </cell>
          <cell r="H337">
            <v>-274534.13</v>
          </cell>
        </row>
        <row r="338">
          <cell r="C338" t="str">
            <v>-</v>
          </cell>
          <cell r="D338" t="str">
            <v>-</v>
          </cell>
          <cell r="E338" t="str">
            <v>-</v>
          </cell>
          <cell r="F338" t="str">
            <v>-</v>
          </cell>
          <cell r="G338" t="str">
            <v>-</v>
          </cell>
          <cell r="H338" t="str">
            <v>-------------------</v>
          </cell>
        </row>
        <row r="340">
          <cell r="B340" t="str">
            <v>CLEANING CONTRACTED SERVICES</v>
          </cell>
          <cell r="C340">
            <v>3981</v>
          </cell>
          <cell r="H340">
            <v>3981</v>
          </cell>
        </row>
        <row r="341">
          <cell r="B341" t="str">
            <v>TRASH REMOVAL</v>
          </cell>
          <cell r="C341">
            <v>797</v>
          </cell>
          <cell r="H341">
            <v>797</v>
          </cell>
        </row>
        <row r="342">
          <cell r="B342" t="str">
            <v>R&amp;M ELECTRICAL</v>
          </cell>
          <cell r="C342">
            <v>0</v>
          </cell>
          <cell r="H342">
            <v>0</v>
          </cell>
        </row>
        <row r="343">
          <cell r="B343" t="str">
            <v>R&amp;M FIRE &amp; SAFETY</v>
          </cell>
          <cell r="C343">
            <v>0</v>
          </cell>
          <cell r="H343">
            <v>0</v>
          </cell>
        </row>
        <row r="344">
          <cell r="B344" t="str">
            <v>OTHER BLDG REPAIR &amp; MAINT</v>
          </cell>
          <cell r="C344">
            <v>1372</v>
          </cell>
          <cell r="H344">
            <v>1372</v>
          </cell>
        </row>
        <row r="345">
          <cell r="B345" t="str">
            <v>ELECTRICITY</v>
          </cell>
          <cell r="C345">
            <v>1833</v>
          </cell>
          <cell r="H345">
            <v>1833</v>
          </cell>
        </row>
        <row r="346">
          <cell r="B346" t="str">
            <v>GAS/FUEL OIL</v>
          </cell>
          <cell r="C346">
            <v>808</v>
          </cell>
          <cell r="H346">
            <v>808</v>
          </cell>
        </row>
        <row r="347">
          <cell r="B347" t="str">
            <v>HEAT PUMP LOOP</v>
          </cell>
          <cell r="C347">
            <v>1703</v>
          </cell>
          <cell r="H347">
            <v>1703</v>
          </cell>
        </row>
        <row r="348">
          <cell r="B348" t="str">
            <v>BUILDING SECURITY SERVICE</v>
          </cell>
          <cell r="C348">
            <v>4321</v>
          </cell>
          <cell r="H348">
            <v>4321</v>
          </cell>
        </row>
        <row r="349">
          <cell r="B349" t="str">
            <v>ADMIN ALLOCATION</v>
          </cell>
          <cell r="C349">
            <v>456</v>
          </cell>
          <cell r="H349">
            <v>456</v>
          </cell>
        </row>
        <row r="350">
          <cell r="B350" t="str">
            <v>COMPUTER SOFTWARE/SUPPLIES</v>
          </cell>
          <cell r="C350">
            <v>87</v>
          </cell>
          <cell r="H350">
            <v>87</v>
          </cell>
        </row>
        <row r="351">
          <cell r="B351" t="str">
            <v>MANAGEMENT FEES</v>
          </cell>
          <cell r="C351">
            <v>0</v>
          </cell>
          <cell r="H351">
            <v>0</v>
          </cell>
        </row>
        <row r="352">
          <cell r="B352" t="str">
            <v>LEGAL EXPENSE</v>
          </cell>
          <cell r="C352">
            <v>0</v>
          </cell>
          <cell r="H352">
            <v>0</v>
          </cell>
        </row>
        <row r="353">
          <cell r="B353" t="str">
            <v>REAL ESTATE TAXES</v>
          </cell>
          <cell r="C353">
            <v>40916</v>
          </cell>
          <cell r="H353">
            <v>40916</v>
          </cell>
        </row>
        <row r="354">
          <cell r="B354" t="str">
            <v>INSURANCE</v>
          </cell>
          <cell r="C354">
            <v>607</v>
          </cell>
          <cell r="H354">
            <v>607</v>
          </cell>
        </row>
        <row r="355">
          <cell r="B355" t="str">
            <v>COMMISSION-OUTSIDE BROKERS</v>
          </cell>
          <cell r="C355">
            <v>1700</v>
          </cell>
          <cell r="H355">
            <v>1700</v>
          </cell>
        </row>
        <row r="356">
          <cell r="B356" t="str">
            <v>OTHER LEASING EXPENSE</v>
          </cell>
          <cell r="C356">
            <v>0</v>
          </cell>
          <cell r="H356">
            <v>0</v>
          </cell>
        </row>
        <row r="357">
          <cell r="B357" t="str">
            <v>TO BALANCE BS/INCOME STMT</v>
          </cell>
          <cell r="C357">
            <v>0</v>
          </cell>
          <cell r="H357">
            <v>0</v>
          </cell>
        </row>
        <row r="358">
          <cell r="A358" t="str">
            <v xml:space="preserve">                                                                                                                                </v>
          </cell>
          <cell r="B358" t="str">
            <v xml:space="preserve">                                                                                                                                </v>
          </cell>
          <cell r="C358" t="str">
            <v>-</v>
          </cell>
          <cell r="D358" t="str">
            <v>-</v>
          </cell>
          <cell r="E358" t="str">
            <v>-</v>
          </cell>
          <cell r="F358" t="str">
            <v>-</v>
          </cell>
          <cell r="G358" t="str">
            <v>-</v>
          </cell>
          <cell r="H358" t="str">
            <v>-</v>
          </cell>
        </row>
        <row r="359">
          <cell r="A359" t="str">
            <v xml:space="preserve">                                                                                                                                </v>
          </cell>
          <cell r="B359" t="str">
            <v>TOTAL SG &amp; A</v>
          </cell>
          <cell r="C359">
            <v>58581</v>
          </cell>
          <cell r="E359">
            <v>0</v>
          </cell>
          <cell r="G359">
            <v>0</v>
          </cell>
          <cell r="H359">
            <v>58581</v>
          </cell>
        </row>
        <row r="361">
          <cell r="B361" t="str">
            <v>INTEREST EXP</v>
          </cell>
          <cell r="C361">
            <v>0</v>
          </cell>
          <cell r="H361">
            <v>0</v>
          </cell>
        </row>
        <row r="362">
          <cell r="A362" t="str">
            <v>5500</v>
          </cell>
          <cell r="B362" t="str">
            <v>DEPRECIATION</v>
          </cell>
          <cell r="C362">
            <v>27290</v>
          </cell>
          <cell r="H362">
            <v>27290</v>
          </cell>
        </row>
        <row r="363">
          <cell r="C363" t="str">
            <v>-</v>
          </cell>
          <cell r="D363" t="str">
            <v>-</v>
          </cell>
          <cell r="E363" t="str">
            <v>-</v>
          </cell>
          <cell r="F363" t="str">
            <v>-</v>
          </cell>
          <cell r="G363" t="str">
            <v>-</v>
          </cell>
          <cell r="H363" t="str">
            <v>-</v>
          </cell>
        </row>
        <row r="364">
          <cell r="B364" t="str">
            <v>SUBTOTAL DEPR &amp; INTEREST</v>
          </cell>
          <cell r="C364">
            <v>27290</v>
          </cell>
          <cell r="E364">
            <v>0</v>
          </cell>
          <cell r="G364">
            <v>0</v>
          </cell>
          <cell r="H364">
            <v>27290</v>
          </cell>
        </row>
        <row r="365">
          <cell r="C365" t="str">
            <v>-</v>
          </cell>
          <cell r="D365" t="str">
            <v>-</v>
          </cell>
          <cell r="E365" t="str">
            <v>-</v>
          </cell>
          <cell r="F365" t="str">
            <v>-</v>
          </cell>
          <cell r="G365" t="str">
            <v>-</v>
          </cell>
          <cell r="H365" t="str">
            <v>-</v>
          </cell>
        </row>
        <row r="367">
          <cell r="A367" t="str">
            <v xml:space="preserve">                                                                                                                                </v>
          </cell>
          <cell r="B367" t="str">
            <v xml:space="preserve">CURRENT YEAR EARNINGS                                                                                                           </v>
          </cell>
          <cell r="C367">
            <v>-161697</v>
          </cell>
          <cell r="E367">
            <v>-26966.130000000005</v>
          </cell>
          <cell r="G367">
            <v>0</v>
          </cell>
          <cell r="H367">
            <v>-188663.13</v>
          </cell>
        </row>
        <row r="368">
          <cell r="A368" t="str">
            <v xml:space="preserve">                                                                                                                                </v>
          </cell>
          <cell r="B368" t="str">
            <v xml:space="preserve">                                                                                                                                </v>
          </cell>
          <cell r="C368" t="str">
            <v>=</v>
          </cell>
          <cell r="D368" t="str">
            <v>=</v>
          </cell>
          <cell r="E368" t="str">
            <v>=</v>
          </cell>
          <cell r="F368" t="str">
            <v>=</v>
          </cell>
          <cell r="G368" t="str">
            <v>=</v>
          </cell>
          <cell r="H368" t="str">
            <v>===================</v>
          </cell>
        </row>
        <row r="370">
          <cell r="A370" t="str">
            <v xml:space="preserve">                                                                                                                                </v>
          </cell>
          <cell r="B370" t="str">
            <v xml:space="preserve">ASSETS                                                                                                                          </v>
          </cell>
        </row>
        <row r="371">
          <cell r="A371" t="str">
            <v xml:space="preserve">                                                                                                                                </v>
          </cell>
          <cell r="B371" t="str">
            <v xml:space="preserve">------                                                                                                                          </v>
          </cell>
        </row>
        <row r="372">
          <cell r="A372" t="str">
            <v>1000</v>
          </cell>
          <cell r="B372" t="str">
            <v xml:space="preserve">CASH                                                                                                                            </v>
          </cell>
          <cell r="C372">
            <v>0</v>
          </cell>
          <cell r="H372">
            <v>0</v>
          </cell>
        </row>
        <row r="373">
          <cell r="B373" t="str">
            <v>Dividends in transit</v>
          </cell>
          <cell r="C373">
            <v>0</v>
          </cell>
          <cell r="H373">
            <v>0</v>
          </cell>
        </row>
        <row r="374">
          <cell r="B374" t="str">
            <v>A/R TENANTS</v>
          </cell>
          <cell r="C374">
            <v>4068</v>
          </cell>
          <cell r="H374">
            <v>4068</v>
          </cell>
        </row>
        <row r="375">
          <cell r="A375" t="str">
            <v xml:space="preserve">                                                                                                                                </v>
          </cell>
          <cell r="B375" t="str">
            <v xml:space="preserve">                                                                                                                                </v>
          </cell>
          <cell r="C375" t="str">
            <v>-</v>
          </cell>
          <cell r="D375" t="str">
            <v>-</v>
          </cell>
          <cell r="E375" t="str">
            <v>-</v>
          </cell>
          <cell r="F375" t="str">
            <v>-</v>
          </cell>
          <cell r="G375" t="str">
            <v>-</v>
          </cell>
          <cell r="H375" t="str">
            <v>-</v>
          </cell>
        </row>
        <row r="376">
          <cell r="A376" t="str">
            <v xml:space="preserve">                                                                                                                                </v>
          </cell>
          <cell r="B376" t="str">
            <v>SUB TOTAL CURRENT ASSETS</v>
          </cell>
          <cell r="C376">
            <v>4068</v>
          </cell>
          <cell r="E376">
            <v>0</v>
          </cell>
          <cell r="G376">
            <v>0</v>
          </cell>
          <cell r="H376">
            <v>4068</v>
          </cell>
        </row>
        <row r="377">
          <cell r="A377" t="str">
            <v xml:space="preserve">                                                                                                                                </v>
          </cell>
          <cell r="B377" t="str">
            <v xml:space="preserve">                                                                                                                                </v>
          </cell>
          <cell r="C377" t="str">
            <v>-</v>
          </cell>
          <cell r="D377" t="str">
            <v>-</v>
          </cell>
          <cell r="E377" t="str">
            <v>-</v>
          </cell>
          <cell r="F377" t="str">
            <v>-</v>
          </cell>
          <cell r="G377" t="str">
            <v>-</v>
          </cell>
          <cell r="H377" t="str">
            <v>-------------------</v>
          </cell>
        </row>
        <row r="379">
          <cell r="A379" t="str">
            <v>1450-07</v>
          </cell>
          <cell r="B379" t="str">
            <v xml:space="preserve">          CORPORATE INTERCOMPANY</v>
          </cell>
          <cell r="C379">
            <v>-1638340</v>
          </cell>
          <cell r="G379">
            <v>-26966.130000000005</v>
          </cell>
          <cell r="H379">
            <v>-1611373.87</v>
          </cell>
        </row>
        <row r="380">
          <cell r="B380" t="str">
            <v xml:space="preserve">          MN OTHER</v>
          </cell>
          <cell r="C380">
            <v>631431</v>
          </cell>
          <cell r="H380">
            <v>631431</v>
          </cell>
        </row>
        <row r="381">
          <cell r="A381" t="str">
            <v xml:space="preserve">                                                                                                                                </v>
          </cell>
          <cell r="B381" t="str">
            <v xml:space="preserve">                                                                                                                                </v>
          </cell>
          <cell r="C381" t="str">
            <v>-</v>
          </cell>
          <cell r="D381" t="str">
            <v>-</v>
          </cell>
          <cell r="E381" t="str">
            <v>-</v>
          </cell>
          <cell r="F381" t="str">
            <v>-</v>
          </cell>
          <cell r="G381" t="str">
            <v>-</v>
          </cell>
          <cell r="H381" t="str">
            <v>-</v>
          </cell>
        </row>
        <row r="382">
          <cell r="A382" t="str">
            <v xml:space="preserve">                                                                                                                                </v>
          </cell>
          <cell r="B382" t="str">
            <v xml:space="preserve">SUB TOTAL I/C                                                                                                                   </v>
          </cell>
          <cell r="C382">
            <v>-1006909</v>
          </cell>
          <cell r="E382">
            <v>0</v>
          </cell>
          <cell r="G382">
            <v>-26966.130000000005</v>
          </cell>
          <cell r="H382">
            <v>-979942.87000000011</v>
          </cell>
        </row>
        <row r="383">
          <cell r="C383" t="str">
            <v>-</v>
          </cell>
          <cell r="D383" t="str">
            <v>-</v>
          </cell>
          <cell r="E383" t="str">
            <v>-</v>
          </cell>
          <cell r="F383" t="str">
            <v>-</v>
          </cell>
          <cell r="G383" t="str">
            <v>-</v>
          </cell>
          <cell r="H383" t="str">
            <v>-------------------</v>
          </cell>
        </row>
        <row r="385">
          <cell r="A385" t="str">
            <v>1461</v>
          </cell>
          <cell r="B385" t="str">
            <v>CONSTRUCTION IN PROGRESS</v>
          </cell>
          <cell r="C385">
            <v>0</v>
          </cell>
          <cell r="H385">
            <v>0</v>
          </cell>
        </row>
        <row r="386">
          <cell r="A386" t="str">
            <v>1610</v>
          </cell>
          <cell r="B386" t="str">
            <v>RETAIL MALL</v>
          </cell>
          <cell r="C386">
            <v>1455009</v>
          </cell>
          <cell r="H386">
            <v>1455009</v>
          </cell>
        </row>
        <row r="387">
          <cell r="A387" t="str">
            <v>1540</v>
          </cell>
          <cell r="B387" t="str">
            <v>FF&amp;E</v>
          </cell>
          <cell r="C387">
            <v>0</v>
          </cell>
          <cell r="H387">
            <v>0</v>
          </cell>
        </row>
        <row r="388">
          <cell r="A388" t="str">
            <v>1940</v>
          </cell>
          <cell r="B388" t="str">
            <v>DATA PROCESSING EQUIP</v>
          </cell>
          <cell r="C388">
            <v>0</v>
          </cell>
          <cell r="H388">
            <v>0</v>
          </cell>
        </row>
        <row r="389">
          <cell r="C389" t="str">
            <v>-</v>
          </cell>
          <cell r="D389" t="str">
            <v>-</v>
          </cell>
          <cell r="E389" t="str">
            <v>-</v>
          </cell>
          <cell r="F389" t="str">
            <v>-</v>
          </cell>
          <cell r="G389" t="str">
            <v>-</v>
          </cell>
          <cell r="H389" t="str">
            <v>-</v>
          </cell>
        </row>
        <row r="390">
          <cell r="B390" t="str">
            <v>SUB TOTAL FIXED ASSETS</v>
          </cell>
          <cell r="C390">
            <v>1455009</v>
          </cell>
          <cell r="E390">
            <v>0</v>
          </cell>
          <cell r="G390">
            <v>0</v>
          </cell>
          <cell r="H390">
            <v>1455009</v>
          </cell>
        </row>
        <row r="391">
          <cell r="C391" t="str">
            <v>-</v>
          </cell>
          <cell r="D391" t="str">
            <v>-</v>
          </cell>
          <cell r="E391" t="str">
            <v>-</v>
          </cell>
          <cell r="F391" t="str">
            <v>-</v>
          </cell>
          <cell r="G391" t="str">
            <v>-</v>
          </cell>
          <cell r="H391" t="str">
            <v>-------------------</v>
          </cell>
        </row>
        <row r="393">
          <cell r="A393" t="str">
            <v>1880</v>
          </cell>
          <cell r="B393" t="str">
            <v>DEPR -BLDG &amp; IMPROVEMENTS</v>
          </cell>
          <cell r="C393">
            <v>-225991</v>
          </cell>
          <cell r="H393">
            <v>-225991</v>
          </cell>
        </row>
        <row r="394">
          <cell r="A394" t="str">
            <v>1890</v>
          </cell>
          <cell r="B394" t="str">
            <v>DEPR -DP EQUIP</v>
          </cell>
          <cell r="C394">
            <v>0</v>
          </cell>
          <cell r="H394">
            <v>0</v>
          </cell>
        </row>
        <row r="395">
          <cell r="C395" t="str">
            <v>-</v>
          </cell>
          <cell r="D395" t="str">
            <v>-</v>
          </cell>
          <cell r="E395" t="str">
            <v>-</v>
          </cell>
          <cell r="F395" t="str">
            <v>-</v>
          </cell>
          <cell r="G395" t="str">
            <v>-</v>
          </cell>
          <cell r="H395" t="str">
            <v>-</v>
          </cell>
        </row>
        <row r="396">
          <cell r="C396">
            <v>-225991</v>
          </cell>
          <cell r="E396">
            <v>0</v>
          </cell>
          <cell r="G396">
            <v>0</v>
          </cell>
          <cell r="H396">
            <v>-225991</v>
          </cell>
        </row>
        <row r="397">
          <cell r="C397" t="str">
            <v>-</v>
          </cell>
          <cell r="D397" t="str">
            <v>-</v>
          </cell>
          <cell r="E397" t="str">
            <v>-</v>
          </cell>
          <cell r="F397" t="str">
            <v>-</v>
          </cell>
          <cell r="G397" t="str">
            <v>-</v>
          </cell>
          <cell r="H397" t="str">
            <v>-------------------</v>
          </cell>
        </row>
        <row r="399">
          <cell r="B399" t="str">
            <v>A/R TENANT IMPROVEMENTS</v>
          </cell>
          <cell r="C399">
            <v>0</v>
          </cell>
          <cell r="E399">
            <v>0</v>
          </cell>
          <cell r="H399">
            <v>0</v>
          </cell>
        </row>
        <row r="400">
          <cell r="C400" t="str">
            <v>-</v>
          </cell>
          <cell r="D400" t="str">
            <v>-</v>
          </cell>
          <cell r="E400" t="str">
            <v>-</v>
          </cell>
          <cell r="F400" t="str">
            <v>-</v>
          </cell>
          <cell r="G400" t="str">
            <v>-</v>
          </cell>
          <cell r="H400" t="str">
            <v>-</v>
          </cell>
        </row>
        <row r="401">
          <cell r="C401">
            <v>0</v>
          </cell>
          <cell r="E401">
            <v>0</v>
          </cell>
          <cell r="G401">
            <v>0</v>
          </cell>
          <cell r="H401">
            <v>0</v>
          </cell>
        </row>
        <row r="402">
          <cell r="C402" t="str">
            <v>-</v>
          </cell>
          <cell r="D402" t="str">
            <v>-</v>
          </cell>
          <cell r="E402" t="str">
            <v>-</v>
          </cell>
          <cell r="F402" t="str">
            <v>-</v>
          </cell>
          <cell r="G402" t="str">
            <v>-</v>
          </cell>
          <cell r="H402" t="str">
            <v>-</v>
          </cell>
        </row>
        <row r="404">
          <cell r="A404" t="str">
            <v xml:space="preserve">                                                                                                                                </v>
          </cell>
          <cell r="B404" t="str">
            <v xml:space="preserve">TOTAL ASSETS                                                                                                                    </v>
          </cell>
          <cell r="C404">
            <v>226177</v>
          </cell>
          <cell r="E404">
            <v>0</v>
          </cell>
          <cell r="G404">
            <v>-26966.130000000005</v>
          </cell>
          <cell r="H404">
            <v>253143.12999999989</v>
          </cell>
        </row>
        <row r="405">
          <cell r="A405" t="str">
            <v xml:space="preserve">                                                                                                                                </v>
          </cell>
          <cell r="B405" t="str">
            <v xml:space="preserve">                                                                                                                                </v>
          </cell>
          <cell r="C405" t="str">
            <v>=</v>
          </cell>
          <cell r="D405" t="str">
            <v>=</v>
          </cell>
          <cell r="E405" t="str">
            <v>=</v>
          </cell>
          <cell r="F405" t="str">
            <v>=</v>
          </cell>
          <cell r="G405" t="str">
            <v>=</v>
          </cell>
          <cell r="H405" t="str">
            <v>===================</v>
          </cell>
        </row>
        <row r="406">
          <cell r="A406" t="str">
            <v xml:space="preserve">                                                                                                                                </v>
          </cell>
          <cell r="B406" t="str">
            <v xml:space="preserve">                                                                                                                                </v>
          </cell>
        </row>
        <row r="407">
          <cell r="A407" t="str">
            <v xml:space="preserve">                                                                                                                                </v>
          </cell>
          <cell r="B407" t="str">
            <v xml:space="preserve">LIABILITIES &amp; EQUITY                                                                                                            </v>
          </cell>
        </row>
        <row r="408">
          <cell r="A408" t="str">
            <v xml:space="preserve">                                                                                                                                </v>
          </cell>
          <cell r="B408" t="str">
            <v xml:space="preserve">--------------------                                                                                                            </v>
          </cell>
        </row>
        <row r="410">
          <cell r="B410" t="str">
            <v xml:space="preserve">LIABILITIES                                                                                                             </v>
          </cell>
        </row>
        <row r="411">
          <cell r="B411" t="str">
            <v xml:space="preserve">-----------                                                                                                            </v>
          </cell>
        </row>
        <row r="412">
          <cell r="B412" t="str">
            <v>CURR MAT L.T. DEBT</v>
          </cell>
          <cell r="C412">
            <v>0</v>
          </cell>
          <cell r="H412">
            <v>0</v>
          </cell>
        </row>
        <row r="413">
          <cell r="A413" t="str">
            <v>2100</v>
          </cell>
          <cell r="B413" t="str">
            <v xml:space="preserve">ACCOUNTS PAYABLE                                                                                                                </v>
          </cell>
          <cell r="C413">
            <v>-4590</v>
          </cell>
          <cell r="H413">
            <v>-4590</v>
          </cell>
        </row>
        <row r="414">
          <cell r="B414" t="str">
            <v>ACCRUED EXPENSES</v>
          </cell>
          <cell r="C414">
            <v>-40587</v>
          </cell>
          <cell r="H414">
            <v>-40587</v>
          </cell>
        </row>
        <row r="415">
          <cell r="A415" t="str">
            <v>2170</v>
          </cell>
          <cell r="B415" t="str">
            <v>REFUNDABLE SECURITY DEPOSITS</v>
          </cell>
          <cell r="C415">
            <v>-24046</v>
          </cell>
          <cell r="H415">
            <v>-24046</v>
          </cell>
        </row>
        <row r="416">
          <cell r="A416" t="str">
            <v>2010</v>
          </cell>
          <cell r="B416" t="str">
            <v>PREPAID RENT</v>
          </cell>
          <cell r="C416">
            <v>-2324</v>
          </cell>
          <cell r="H416">
            <v>-2324</v>
          </cell>
        </row>
        <row r="417">
          <cell r="C417" t="str">
            <v>-</v>
          </cell>
          <cell r="D417" t="str">
            <v>-</v>
          </cell>
          <cell r="E417" t="str">
            <v>-</v>
          </cell>
          <cell r="F417" t="str">
            <v>-</v>
          </cell>
          <cell r="G417" t="str">
            <v>-</v>
          </cell>
          <cell r="H417" t="str">
            <v>-------------------</v>
          </cell>
        </row>
        <row r="418">
          <cell r="B418" t="str">
            <v>TOTAL CURRENT LIAB.</v>
          </cell>
          <cell r="C418">
            <v>-71547</v>
          </cell>
          <cell r="E418">
            <v>0</v>
          </cell>
          <cell r="G418">
            <v>0</v>
          </cell>
          <cell r="H418">
            <v>-71547</v>
          </cell>
        </row>
        <row r="419">
          <cell r="C419" t="str">
            <v>-</v>
          </cell>
          <cell r="D419" t="str">
            <v>-</v>
          </cell>
          <cell r="E419" t="str">
            <v>-</v>
          </cell>
          <cell r="F419" t="str">
            <v>-</v>
          </cell>
          <cell r="G419" t="str">
            <v>-</v>
          </cell>
          <cell r="H419" t="str">
            <v>-------------------</v>
          </cell>
        </row>
        <row r="422">
          <cell r="B422" t="str">
            <v>SHAREHOLDERS EQUITY</v>
          </cell>
        </row>
        <row r="423">
          <cell r="B423" t="str">
            <v>-------------------</v>
          </cell>
        </row>
        <row r="424">
          <cell r="B424" t="str">
            <v>OWNER'S CONTROL</v>
          </cell>
          <cell r="C424">
            <v>0</v>
          </cell>
          <cell r="H424">
            <v>0</v>
          </cell>
        </row>
        <row r="425">
          <cell r="A425" t="str">
            <v>2800</v>
          </cell>
          <cell r="B425" t="str">
            <v xml:space="preserve">COMMON STOCK                                                                                                                    </v>
          </cell>
          <cell r="C425">
            <v>0</v>
          </cell>
          <cell r="H425">
            <v>0</v>
          </cell>
        </row>
        <row r="426">
          <cell r="A426" t="str">
            <v>2791</v>
          </cell>
          <cell r="B426" t="str">
            <v>ADDITIONAL PD-IN CAPITAL</v>
          </cell>
          <cell r="C426">
            <v>0</v>
          </cell>
          <cell r="H426">
            <v>0</v>
          </cell>
        </row>
        <row r="427">
          <cell r="A427" t="str">
            <v>2905</v>
          </cell>
          <cell r="B427" t="str">
            <v>DIVIDENDS PAYABLE</v>
          </cell>
          <cell r="C427">
            <v>0</v>
          </cell>
          <cell r="H427">
            <v>0</v>
          </cell>
        </row>
        <row r="428">
          <cell r="A428" t="str">
            <v>2900</v>
          </cell>
          <cell r="B428" t="str">
            <v xml:space="preserve">RETAINED EARNINGS                                                                                                               </v>
          </cell>
          <cell r="C428">
            <v>7067</v>
          </cell>
          <cell r="H428">
            <v>7067</v>
          </cell>
        </row>
        <row r="429">
          <cell r="A429" t="str">
            <v xml:space="preserve">                                                                                                                                </v>
          </cell>
          <cell r="B429" t="str">
            <v xml:space="preserve">CURRENT YEAR EARNINGS                                                                                                           </v>
          </cell>
          <cell r="C429">
            <v>-161697</v>
          </cell>
          <cell r="D429">
            <v>0</v>
          </cell>
          <cell r="E429">
            <v>-26966.130000000005</v>
          </cell>
          <cell r="H429">
            <v>-188663.13</v>
          </cell>
        </row>
        <row r="430">
          <cell r="A430" t="str">
            <v xml:space="preserve">                                                                                                                                </v>
          </cell>
          <cell r="B430" t="str">
            <v xml:space="preserve">                                                                                                                                </v>
          </cell>
          <cell r="C430" t="str">
            <v>-</v>
          </cell>
          <cell r="D430" t="str">
            <v>-</v>
          </cell>
          <cell r="E430" t="str">
            <v>-</v>
          </cell>
          <cell r="F430" t="str">
            <v>-</v>
          </cell>
          <cell r="G430" t="str">
            <v>-</v>
          </cell>
          <cell r="H430" t="str">
            <v>-------------------</v>
          </cell>
        </row>
        <row r="431">
          <cell r="B431" t="str">
            <v>TOTAL SHAREHOLDERS EQUITY</v>
          </cell>
          <cell r="C431">
            <v>-154630</v>
          </cell>
          <cell r="E431">
            <v>-26966.130000000005</v>
          </cell>
          <cell r="G431">
            <v>0</v>
          </cell>
          <cell r="H431">
            <v>-181596.13</v>
          </cell>
        </row>
        <row r="432">
          <cell r="C432" t="str">
            <v>-</v>
          </cell>
          <cell r="D432" t="str">
            <v>-</v>
          </cell>
          <cell r="E432" t="str">
            <v>-</v>
          </cell>
          <cell r="F432" t="str">
            <v>-</v>
          </cell>
          <cell r="G432" t="str">
            <v>-</v>
          </cell>
          <cell r="H432" t="str">
            <v>-------------------</v>
          </cell>
        </row>
        <row r="434">
          <cell r="A434" t="str">
            <v xml:space="preserve">                                                                                                                                </v>
          </cell>
          <cell r="B434" t="str">
            <v xml:space="preserve">TOTAL LIAB &amp; EQUITY                                                                                                             </v>
          </cell>
          <cell r="C434">
            <v>-226177</v>
          </cell>
          <cell r="E434">
            <v>-26966.130000000005</v>
          </cell>
          <cell r="G434">
            <v>0</v>
          </cell>
          <cell r="H434">
            <v>-253143.13</v>
          </cell>
        </row>
        <row r="435">
          <cell r="A435" t="str">
            <v xml:space="preserve">                                                                                                                                </v>
          </cell>
          <cell r="B435" t="str">
            <v xml:space="preserve">                                                                                                                                </v>
          </cell>
          <cell r="C435" t="str">
            <v>=</v>
          </cell>
          <cell r="D435" t="str">
            <v>=</v>
          </cell>
          <cell r="E435" t="str">
            <v>=</v>
          </cell>
          <cell r="F435" t="str">
            <v>=</v>
          </cell>
          <cell r="G435" t="str">
            <v>=</v>
          </cell>
          <cell r="H435" t="str">
            <v>===================</v>
          </cell>
        </row>
        <row r="436">
          <cell r="C436">
            <v>0</v>
          </cell>
          <cell r="E436">
            <v>-26966.130000000005</v>
          </cell>
          <cell r="G436">
            <v>-26966.130000000005</v>
          </cell>
          <cell r="H436">
            <v>0</v>
          </cell>
        </row>
      </sheetData>
      <sheetData sheetId="1">
        <row r="5">
          <cell r="H5" t="str">
            <v/>
          </cell>
        </row>
      </sheetData>
      <sheetData sheetId="2">
        <row r="5">
          <cell r="H5" t="str">
            <v/>
          </cell>
        </row>
      </sheetData>
      <sheetData sheetId="3">
        <row r="5">
          <cell r="H5"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5">
          <cell r="H5" t="str">
            <v xml:space="preserve"> </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ults"/>
      <sheetName val="p-2  (WEXTRA)"/>
      <sheetName val="p-2 "/>
      <sheetName val="p-2 (OLD)"/>
      <sheetName val="p-2 (2)"/>
      <sheetName val="P-3 (2)"/>
      <sheetName val="PAGE-3"/>
      <sheetName val="P-1 (2)"/>
      <sheetName val="P-1"/>
      <sheetName val="P-4 (2)"/>
      <sheetName val="P-4"/>
      <sheetName val="P-5F"/>
      <sheetName val="SHARE"/>
      <sheetName val="P-6 (2)"/>
      <sheetName val="P-6"/>
      <sheetName val="P-10(2)"/>
      <sheetName val="P-7"/>
      <sheetName val="P-8 (1)"/>
      <sheetName val="P-8"/>
      <sheetName val="P-9 (1)"/>
      <sheetName val="P-9"/>
      <sheetName val="P-10(1)"/>
      <sheetName val="P-10"/>
      <sheetName val="Ratio (2)"/>
      <sheetName val="P-11"/>
      <sheetName val="DIVIDEND"/>
      <sheetName val="2003-04"/>
      <sheetName val="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s"/>
      <sheetName val="HAN888"/>
    </sheetNames>
    <definedNames>
      <definedName name="GoCallbackImpact"/>
      <definedName name="GoDCFValuation"/>
      <definedName name="GoFixedTelAcqCosts"/>
      <definedName name="GoFixedTelBusMarket"/>
      <definedName name="GoFixedTelHanMarket"/>
      <definedName name="GoFixedTelHanRev"/>
      <definedName name="GoFixedTelMarketAss"/>
      <definedName name="GoFixedTelPrices"/>
      <definedName name="GoFixedTelResMarket"/>
      <definedName name="GoHanADCRev"/>
      <definedName name="GoHanComputerRev"/>
      <definedName name="GoHanDataRev"/>
      <definedName name="GoHanFinancials"/>
      <definedName name="GoHanIMSRev"/>
      <definedName name="GoHanINSRev"/>
      <definedName name="GoHanInternetRev"/>
      <definedName name="GoHanLLRev"/>
      <definedName name="GoHanPagingRev"/>
      <definedName name="GoHanSettlementRev"/>
      <definedName name="GoHanTotalRev"/>
      <definedName name="GoHanVASRev"/>
      <definedName name="GoIntercoHanCosts"/>
      <definedName name="GoIntercoHanRev"/>
      <definedName name="GoIntercoHanVolume"/>
      <definedName name="GoMobileOne"/>
      <definedName name="GoMobTelBusMarket"/>
      <definedName name="GoMobTelHanMarket"/>
      <definedName name="GoMobTelHanMarketShare"/>
      <definedName name="GoMobTelHanPriceAss"/>
      <definedName name="GoMobTelHanRev"/>
      <definedName name="GoMobTelMarketAss"/>
      <definedName name="GoMobTelPrices"/>
      <definedName name="GoMobTelResMarket"/>
      <definedName name="GoScenarios"/>
      <definedName name="GoTelMarketShareAss"/>
      <definedName name="GoTotalCosts"/>
      <definedName name="PrintHanBusinessModel"/>
    </definedNames>
    <sheetDataSet>
      <sheetData sheetId="0" refreshError="1"/>
      <sheetData sheetId="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right"/>
      <sheetName val="Assume"/>
      <sheetName val="Print Menu"/>
      <sheetName val="ResetModule"/>
      <sheetName val="Adjustments"/>
      <sheetName val="Export"/>
      <sheetName val="Income Statement Input"/>
      <sheetName val="Balance Sheet Input"/>
      <sheetName val="Support Schedules"/>
      <sheetName val="Income Statement"/>
      <sheetName val="Balance Sheet"/>
      <sheetName val="NOPAT"/>
      <sheetName val="NOPAT-SBS"/>
      <sheetName val="Capital"/>
      <sheetName val="Capital-SBS"/>
      <sheetName val="Cum Unusual"/>
      <sheetName val="COT"/>
      <sheetName val="CET"/>
      <sheetName val="EVA"/>
      <sheetName val="MVA"/>
      <sheetName val="Graphs-MVA"/>
      <sheetName val="EVA-MVA"/>
      <sheetName val="Graphs-EVA"/>
      <sheetName val="PerfSum"/>
      <sheetName val="SixPanel"/>
      <sheetName val="Forecast-Input"/>
      <sheetName val="Engine NOPAT"/>
      <sheetName val="Engine CAPITAL"/>
      <sheetName val="Valuation"/>
      <sheetName val="Charts"/>
      <sheetName val="Validation"/>
      <sheetName val="Leases"/>
      <sheetName val="Capitalized Expense"/>
      <sheetName val="wwww"/>
      <sheetName val="HideModule"/>
      <sheetName val="ruSureModule"/>
      <sheetName val="PrintModule"/>
      <sheetName val="Reset-Module"/>
      <sheetName val="Hide-Module"/>
      <sheetName val="ruSure-Module"/>
      <sheetName val="Print Module"/>
      <sheetName val="TB"/>
      <sheetName val="oresreqsum"/>
      <sheetName val="TB9899"/>
      <sheetName val="Capital_by_Years_Valuation"/>
      <sheetName val="ReportsParameters"/>
      <sheetName val="Nopat_by_Years_Valuation"/>
      <sheetName val="Data"/>
      <sheetName val="factors"/>
      <sheetName val="PARTY"/>
      <sheetName val="prg"/>
      <sheetName val="prod"/>
      <sheetName val="COA_20040726"/>
      <sheetName val="coa_ramco_168"/>
      <sheetName val="Forecast_Input"/>
      <sheetName val="INV"/>
      <sheetName val="Copy of AAsamtel"/>
      <sheetName val="PE CHARGES"/>
      <sheetName val="inc rec"/>
      <sheetName val="Total Machine Cost"/>
      <sheetName val="discounts_XP140"/>
      <sheetName val="FLASH"/>
      <sheetName val="Print_Menu"/>
      <sheetName val="Income_Statement_Input"/>
      <sheetName val="Balance_Sheet_Input"/>
      <sheetName val="Support_Schedules"/>
      <sheetName val="Income_Statement"/>
      <sheetName val="Balance_Sheet"/>
      <sheetName val="Cum_Unusual"/>
      <sheetName val="Engine_NOPAT"/>
      <sheetName val="Engine_CAPITAL"/>
      <sheetName val="Capitalized_Expense"/>
      <sheetName val="Print_Module"/>
      <sheetName val="Copy_of_AAsamtel"/>
      <sheetName val="PE_CHARGES"/>
      <sheetName val="inc_rec"/>
      <sheetName val="Total_Machine_Cost"/>
      <sheetName val="HI-TARGE"/>
      <sheetName val="Print_Menu1"/>
      <sheetName val="Income_Statement_Input1"/>
      <sheetName val="Balance_Sheet_Input1"/>
      <sheetName val="Support_Schedules1"/>
      <sheetName val="Income_Statement1"/>
      <sheetName val="Balance_Sheet1"/>
      <sheetName val="Cum_Unusual1"/>
      <sheetName val="Engine_NOPAT1"/>
      <sheetName val="Engine_CAPITAL1"/>
      <sheetName val="Capitalized_Expense1"/>
      <sheetName val="Print_Menu2"/>
      <sheetName val="Income_Statement_Input2"/>
      <sheetName val="Balance_Sheet_Input2"/>
      <sheetName val="Support_Schedules2"/>
      <sheetName val="Income_Statement2"/>
      <sheetName val="Balance_Sheet2"/>
      <sheetName val="Cum_Unusual2"/>
      <sheetName val="Engine_NOPAT2"/>
      <sheetName val="Engine_CAPITAL2"/>
      <sheetName val="Capitalized_Expense2"/>
      <sheetName val="CF"/>
      <sheetName val="Print_Module1"/>
      <sheetName val="LOB_TABLE"/>
      <sheetName val="Hid_x0000__x0000_odule"/>
      <sheetName val="FORM-16"/>
      <sheetName val="CBDGT979"/>
      <sheetName val="TGT"/>
      <sheetName val="tbc"/>
      <sheetName val="Controls"/>
      <sheetName val="Print Controls"/>
      <sheetName val="MODEL"/>
      <sheetName val="Print_Module2"/>
      <sheetName val="USER"/>
      <sheetName val="HP Inv"/>
      <sheetName val="Parameters"/>
      <sheetName val="Timeoffice"/>
      <sheetName val="Int - Cum02"/>
      <sheetName val="Summry Sheet"/>
      <sheetName val="UK"/>
      <sheetName val="sdrs_mar"/>
      <sheetName val="index"/>
      <sheetName val="Input"/>
      <sheetName val="Hid_x005f_x0000__x005f_x0000_odule"/>
      <sheetName val="SOLUT001"/>
      <sheetName val="#REF!"/>
      <sheetName val="Hid_x005f_x005f_x005f_x0000__x005f_x005f_x005f_x0000_od"/>
      <sheetName val="Assum SG&amp;A-ROW"/>
      <sheetName val="Assumptions US-Rev"/>
      <sheetName val="Hid"/>
      <sheetName val="Print_Menu3"/>
      <sheetName val="Income_Statement_Input3"/>
      <sheetName val="Balance_Sheet_Input3"/>
      <sheetName val="Support_Schedules3"/>
      <sheetName val="Income_Statement3"/>
      <sheetName val="Balance_Sheet3"/>
      <sheetName val="Cum_Unusual3"/>
      <sheetName val="Engine_NOPAT3"/>
      <sheetName val="Engine_CAPITAL3"/>
      <sheetName val="Capitalized_Expense3"/>
      <sheetName val="Print_Module3"/>
      <sheetName val="Copy_of_AAsamtel1"/>
      <sheetName val="PE_CHARGES1"/>
      <sheetName val="inc_rec1"/>
      <sheetName val="Total_Machine_Cost1"/>
      <sheetName val="Hidodule"/>
      <sheetName val="HP_Inv"/>
      <sheetName val="Int_-_Cum02"/>
      <sheetName val="Cancel &amp; Rollover"/>
      <sheetName val="Report"/>
      <sheetName val="Cancel_&amp;_Rollover"/>
      <sheetName val="SAP code"/>
      <sheetName val="Bathinda"/>
      <sheetName val="export-PM"/>
      <sheetName val="export-TN"/>
      <sheetName val="himachal"/>
      <sheetName val="ludhiana"/>
      <sheetName val="orissa"/>
      <sheetName val="PM"/>
      <sheetName val="Power &amp; Fuel(SMS)"/>
      <sheetName val="Options"/>
      <sheetName val="Financials Forecast"/>
      <sheetName val="Admin &amp; Assumptions"/>
      <sheetName val="Print Tables - Financials"/>
      <sheetName val="Recast of Comparable P&amp;L's "/>
      <sheetName val="Market Demand Forecast"/>
      <sheetName val="Market Print Tables"/>
      <sheetName val="Accts Blk'd for Posting3-21-05"/>
      <sheetName val="additions to fixed assets"/>
      <sheetName val="10A"/>
      <sheetName val="CFL"/>
      <sheetName val="CYLA BFLA"/>
      <sheetName val="CG_OS"/>
      <sheetName val="GENERAL"/>
      <sheetName val="DDT_TDS_TCS"/>
      <sheetName val="FRINGE_BENEFIT_INFO"/>
      <sheetName val="HOUSE_PROPERTY"/>
      <sheetName val="NATUREOFBUSINESS"/>
      <sheetName val="OTHER_INFORMATION"/>
      <sheetName val="GENERAL2"/>
      <sheetName val="SUBSIDIARY DETAILS"/>
      <sheetName val="80G"/>
      <sheetName val="QUANTITATIVE_DETAILS"/>
      <sheetName val="SI"/>
      <sheetName val="IT_FBT_DDTP"/>
      <sheetName val="DEP_DCG"/>
      <sheetName val="80_"/>
      <sheetName val="PART_C"/>
      <sheetName val="BP"/>
      <sheetName val="PART_B"/>
      <sheetName val="Aug 03"/>
      <sheetName val="SALE&amp;COST"/>
      <sheetName val="Jul 96 Worksheet"/>
      <sheetName val="Turnover"/>
      <sheetName val="Breadown"/>
      <sheetName val="Nasik"/>
      <sheetName val="List_ratios"/>
      <sheetName val="Interest rates"/>
      <sheetName val="Depletion and abandonment rates"/>
      <sheetName val="Royalties, cess and bonus rates"/>
      <sheetName val="A"/>
      <sheetName val="Setup Variables"/>
      <sheetName val="C_flow 95"/>
      <sheetName val="BS PNL"/>
      <sheetName val="Links"/>
      <sheetName val="DAILY"/>
      <sheetName val="Alok"/>
      <sheetName val="Amol"/>
      <sheetName val="Anand"/>
      <sheetName val="Anindya "/>
      <sheetName val="Chetan"/>
      <sheetName val="Chitnis"/>
      <sheetName val="Deepak"/>
      <sheetName val="R. Devarajan"/>
      <sheetName val="Girish"/>
      <sheetName val="Harry"/>
      <sheetName val="Jeetu"/>
      <sheetName val="Kuldeepak"/>
      <sheetName val="Mahesh "/>
      <sheetName val="Mandar"/>
      <sheetName val="Manoj"/>
      <sheetName val="Milind Acharya"/>
      <sheetName val="Milind Pande"/>
      <sheetName val="MLMahindra"/>
      <sheetName val="Mohan"/>
      <sheetName val="Navjit"/>
      <sheetName val="Nozer"/>
      <sheetName val="Ram Pattabhi"/>
      <sheetName val="Prabhanjan"/>
      <sheetName val="Revati"/>
      <sheetName val="R Chatterjee"/>
      <sheetName val="Roy"/>
      <sheetName val="Sagar"/>
      <sheetName val="salaj"/>
      <sheetName val="Sameer"/>
      <sheetName val="Sandeep C"/>
      <sheetName val="Sandeep Tulshyan"/>
      <sheetName val="Sanjay"/>
      <sheetName val="Santosh"/>
      <sheetName val="Shardul"/>
      <sheetName val="Shivkumar"/>
      <sheetName val="Subir "/>
      <sheetName val="Suman"/>
      <sheetName val="Swami"/>
      <sheetName val="Vighnesh"/>
      <sheetName val="Vishal"/>
      <sheetName val="FIND THE PART"/>
      <sheetName val="PL"/>
      <sheetName val="Masters"/>
      <sheetName val="P &amp; l "/>
    </sheetNames>
    <sheetDataSet>
      <sheetData sheetId="0" refreshError="1"/>
      <sheetData sheetId="1" refreshError="1">
        <row r="4">
          <cell r="A4">
            <v>8</v>
          </cell>
        </row>
        <row r="6">
          <cell r="D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v>8</v>
          </cell>
        </row>
        <row r="82">
          <cell r="Q82">
            <v>0</v>
          </cell>
        </row>
        <row r="83">
          <cell r="Q83">
            <v>0</v>
          </cell>
        </row>
        <row r="84">
          <cell r="Q84">
            <v>0</v>
          </cell>
        </row>
        <row r="85">
          <cell r="Q85">
            <v>0</v>
          </cell>
        </row>
        <row r="86">
          <cell r="Q86">
            <v>297.91000000000003</v>
          </cell>
        </row>
        <row r="87">
          <cell r="Q87">
            <v>831.28</v>
          </cell>
        </row>
        <row r="88">
          <cell r="Q88">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4">
          <cell r="A4">
            <v>8</v>
          </cell>
        </row>
        <row r="13">
          <cell r="U13">
            <v>5633.1400999999996</v>
          </cell>
        </row>
      </sheetData>
      <sheetData sheetId="29" refreshError="1"/>
      <sheetData sheetId="30" refreshError="1">
        <row r="10">
          <cell r="D10" t="b">
            <v>1</v>
          </cell>
          <cell r="E10" t="b">
            <v>1</v>
          </cell>
          <cell r="F10" t="b">
            <v>1</v>
          </cell>
          <cell r="G10" t="b">
            <v>1</v>
          </cell>
          <cell r="H10" t="b">
            <v>1</v>
          </cell>
          <cell r="I10" t="b">
            <v>1</v>
          </cell>
          <cell r="J10" t="b">
            <v>1</v>
          </cell>
          <cell r="K10" t="b">
            <v>1</v>
          </cell>
          <cell r="L10" t="b">
            <v>1</v>
          </cell>
          <cell r="M10" t="b">
            <v>1</v>
          </cell>
          <cell r="N10" t="b">
            <v>1</v>
          </cell>
          <cell r="O10" t="b">
            <v>1</v>
          </cell>
        </row>
        <row r="17">
          <cell r="C17" t="b">
            <v>1</v>
          </cell>
          <cell r="D17" t="b">
            <v>1</v>
          </cell>
          <cell r="E17" t="b">
            <v>1</v>
          </cell>
          <cell r="F17" t="b">
            <v>1</v>
          </cell>
          <cell r="G17" t="b">
            <v>1</v>
          </cell>
          <cell r="H17" t="b">
            <v>1</v>
          </cell>
          <cell r="I17" t="b">
            <v>1</v>
          </cell>
          <cell r="J17" t="b">
            <v>1</v>
          </cell>
          <cell r="K17" t="b">
            <v>1</v>
          </cell>
          <cell r="L17" t="b">
            <v>1</v>
          </cell>
          <cell r="M17" t="b">
            <v>0</v>
          </cell>
          <cell r="N17" t="b">
            <v>0</v>
          </cell>
          <cell r="O17" t="b">
            <v>0</v>
          </cell>
        </row>
        <row r="22">
          <cell r="D22" t="b">
            <v>1</v>
          </cell>
          <cell r="E22" t="b">
            <v>1</v>
          </cell>
          <cell r="F22" t="b">
            <v>1</v>
          </cell>
          <cell r="G22" t="b">
            <v>1</v>
          </cell>
          <cell r="H22" t="b">
            <v>1</v>
          </cell>
          <cell r="I22" t="b">
            <v>1</v>
          </cell>
          <cell r="J22" t="b">
            <v>1</v>
          </cell>
          <cell r="K22" t="b">
            <v>1</v>
          </cell>
          <cell r="L22" t="b">
            <v>1</v>
          </cell>
          <cell r="M22" t="b">
            <v>0</v>
          </cell>
          <cell r="N22" t="b">
            <v>0</v>
          </cell>
          <cell r="O22" t="b">
            <v>0</v>
          </cell>
        </row>
        <row r="27">
          <cell r="C27" t="b">
            <v>1</v>
          </cell>
          <cell r="D27" t="b">
            <v>1</v>
          </cell>
          <cell r="E27" t="b">
            <v>1</v>
          </cell>
          <cell r="F27" t="b">
            <v>1</v>
          </cell>
          <cell r="G27" t="b">
            <v>1</v>
          </cell>
          <cell r="H27" t="b">
            <v>1</v>
          </cell>
          <cell r="I27" t="b">
            <v>1</v>
          </cell>
          <cell r="J27" t="b">
            <v>1</v>
          </cell>
          <cell r="K27" t="b">
            <v>1</v>
          </cell>
          <cell r="L27" t="b">
            <v>1</v>
          </cell>
          <cell r="M27" t="b">
            <v>0</v>
          </cell>
          <cell r="N27" t="b">
            <v>0</v>
          </cell>
          <cell r="O27" t="b">
            <v>0</v>
          </cell>
        </row>
      </sheetData>
      <sheetData sheetId="31" refreshError="1"/>
      <sheetData sheetId="32" refreshError="1"/>
      <sheetData sheetId="33" refreshError="1">
        <row r="64">
          <cell r="D64" t="b">
            <v>1</v>
          </cell>
          <cell r="F64">
            <v>1</v>
          </cell>
        </row>
        <row r="67">
          <cell r="E67">
            <v>0</v>
          </cell>
          <cell r="F67">
            <v>0</v>
          </cell>
          <cell r="G67">
            <v>0</v>
          </cell>
          <cell r="H67">
            <v>0</v>
          </cell>
          <cell r="I67">
            <v>0</v>
          </cell>
          <cell r="J67">
            <v>0</v>
          </cell>
          <cell r="K67">
            <v>0</v>
          </cell>
          <cell r="L67">
            <v>0</v>
          </cell>
          <cell r="M67">
            <v>0</v>
          </cell>
          <cell r="N67">
            <v>1376.2280000000019</v>
          </cell>
          <cell r="O67">
            <v>1067.4921999999999</v>
          </cell>
          <cell r="P67">
            <v>1532.1284999999998</v>
          </cell>
        </row>
        <row r="69">
          <cell r="E69">
            <v>0</v>
          </cell>
          <cell r="F69">
            <v>0</v>
          </cell>
          <cell r="G69">
            <v>0</v>
          </cell>
          <cell r="H69">
            <v>0</v>
          </cell>
          <cell r="I69">
            <v>0</v>
          </cell>
          <cell r="J69">
            <v>0</v>
          </cell>
          <cell r="K69">
            <v>0</v>
          </cell>
          <cell r="L69">
            <v>0</v>
          </cell>
          <cell r="M69">
            <v>0</v>
          </cell>
          <cell r="N69">
            <v>-471.0813999999981</v>
          </cell>
          <cell r="O69">
            <v>-1482.4250000000031</v>
          </cell>
          <cell r="P69">
            <v>-1332.4639999999986</v>
          </cell>
        </row>
        <row r="70">
          <cell r="E70">
            <v>0</v>
          </cell>
          <cell r="F70">
            <v>0</v>
          </cell>
          <cell r="G70">
            <v>0</v>
          </cell>
          <cell r="H70">
            <v>0</v>
          </cell>
          <cell r="I70">
            <v>0</v>
          </cell>
          <cell r="J70">
            <v>0</v>
          </cell>
          <cell r="K70">
            <v>0</v>
          </cell>
          <cell r="L70">
            <v>0</v>
          </cell>
          <cell r="M70">
            <v>0</v>
          </cell>
          <cell r="N70">
            <v>-471.0813999999981</v>
          </cell>
          <cell r="O70">
            <v>-1482.4250000000031</v>
          </cell>
          <cell r="P70">
            <v>-1332.4639999999986</v>
          </cell>
        </row>
        <row r="77">
          <cell r="P77">
            <v>1.9172729373953573E-3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refreshError="1"/>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data - Industries-size"/>
      <sheetName val="consumer vl est"/>
      <sheetName val="Subs"/>
      <sheetName val="Kolkata"/>
      <sheetName val="Bangalore"/>
      <sheetName val="Ahd"/>
      <sheetName val="Chennai"/>
      <sheetName val="Delhi"/>
      <sheetName val="Hyderabad"/>
      <sheetName val="Mumbai"/>
      <sheetName val="Pune"/>
      <sheetName val="Surat"/>
      <sheetName val="Vadodara"/>
      <sheetName val="Subs - 10 cities"/>
      <sheetName val="Infocom scope"/>
      <sheetName val="Reliance subs"/>
      <sheetName val="IRR&amp;EV write up"/>
      <sheetName val="Sheet1"/>
      <sheetName val="Usage"/>
      <sheetName val="WLL addressable mkt"/>
      <sheetName val="CDMA-Capex prices"/>
      <sheetName val="CDMA-CAPEX"/>
      <sheetName val="Capex-fixed"/>
      <sheetName val="NLD- Capex"/>
      <sheetName val="Staff-fixed"/>
      <sheetName val="Assumptions-fixed"/>
      <sheetName val="CDMA-Assumptions"/>
      <sheetName val="NLD - Assum"/>
      <sheetName val="P&amp;L-fixed"/>
      <sheetName val="CDMA-BENCHMARKS"/>
      <sheetName val="CDMA-VALUATIONS"/>
      <sheetName val="CDMA-P&amp;L"/>
      <sheetName val="NLD - P&amp;L"/>
      <sheetName val="CDMA-ratios"/>
      <sheetName val="RCPL-P&amp;L"/>
      <sheetName val="RCPL EV"/>
      <sheetName val="EV-WLL"/>
      <sheetName val="EV-fixed"/>
      <sheetName val="EV-NLD"/>
      <sheetName val="TRAI Tariffs"/>
      <sheetName val="MC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ravel"/>
      <sheetName val="MATERIAL"/>
      <sheetName val="Summary"/>
      <sheetName val="Actual Input"/>
      <sheetName val="PECVD"/>
      <sheetName val="Bus Mgmt"/>
      <sheetName val="commit"/>
      <sheetName val="Disruptive "/>
      <sheetName val="ELK"/>
      <sheetName val="ECURE"/>
      <sheetName val="HDP"/>
      <sheetName val="HQ"/>
      <sheetName val="LowK"/>
      <sheetName val="Module"/>
      <sheetName val="Ops"/>
      <sheetName val="Support"/>
      <sheetName val="TPS"/>
      <sheetName val="97-98"/>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S_Bud"/>
      <sheetName val="BS_Bud"/>
      <sheetName val="TB_Bud"/>
      <sheetName val="BL_Bud"/>
      <sheetName val="TM_Bud"/>
      <sheetName val="MS_Bud"/>
      <sheetName val="GW_Bud"/>
      <sheetName val="PL_Bud"/>
      <sheetName val="Head Office_Bud"/>
      <sheetName val="Input"/>
      <sheetName val="YS"/>
      <sheetName val="BS"/>
      <sheetName val="TB"/>
      <sheetName val="BL"/>
      <sheetName val="TM"/>
      <sheetName val="MS"/>
      <sheetName val="GW"/>
      <sheetName val="PL"/>
      <sheetName val="EP"/>
      <sheetName val="Head Office"/>
      <sheetName val="Consolidated"/>
      <sheetName val="Summary"/>
      <sheetName val="Bal.Sheet"/>
      <sheetName val="Bal.Sheet(2)"/>
      <sheetName val="Balance Sheet"/>
      <sheetName val="Cash Flow"/>
      <sheetName val="Capex"/>
      <sheetName val="Facilities4Funding"/>
      <sheetName val="Loan details"/>
      <sheetName val="YS-Bud"/>
      <sheetName val="BS-Bud"/>
      <sheetName val="TB-Bud"/>
      <sheetName val="BL-Bud"/>
      <sheetName val="TM-Bud"/>
      <sheetName val="MS-Bud"/>
      <sheetName val="GW-Bud"/>
      <sheetName val="PL-Bud"/>
      <sheetName val="EP-Bud"/>
      <sheetName val="Head Office-Bud"/>
      <sheetName val="Excise on RM"/>
      <sheetName val="Power&amp;Fuel"/>
      <sheetName val="MFG-EXP"/>
      <sheetName val="Debtor Ageing_31.12.2010"/>
      <sheetName val="#REF"/>
      <sheetName val="BRP&amp;L"/>
      <sheetName val="Cap"/>
      <sheetName val="NEW O.S. 06-07"/>
      <sheetName val="Masters"/>
      <sheetName val="Macrow"/>
      <sheetName val="working"/>
      <sheetName val="sales "/>
      <sheetName val="Stock"/>
      <sheetName val="liability"/>
      <sheetName val="Do not delete"/>
      <sheetName val="Sch"/>
      <sheetName val="SALES-VAL"/>
      <sheetName val="chiet tinh"/>
      <sheetName val="Sheet1"/>
      <sheetName val="BS Summary"/>
      <sheetName val="Head_Office"/>
      <sheetName val="Bal_Sheet"/>
      <sheetName val="Bal_Sheet(2)"/>
      <sheetName val="Balance_Sheet"/>
      <sheetName val="Cash_Flow"/>
      <sheetName val="Loan_details"/>
      <sheetName val="Head_Office-Bud"/>
      <sheetName val="Head_Office_Bud"/>
      <sheetName val="Excise_on_RM"/>
      <sheetName val="Debtor_Ageing_31_12_2010"/>
      <sheetName val="ADDNS"/>
      <sheetName val="dhlrates (AOP 2008)"/>
      <sheetName val="dhlrates (NER 2009)"/>
      <sheetName val="UNIDADES"/>
      <sheetName val="spares"/>
      <sheetName val="Nskveh"/>
      <sheetName val="Support - US"/>
      <sheetName val="Dropdowns"/>
      <sheetName val="Revenue-Invoicewise"/>
      <sheetName val="Pr.-hist."/>
    </sheetNames>
    <sheetDataSet>
      <sheetData sheetId="0">
        <row r="11">
          <cell r="A11">
            <v>1</v>
          </cell>
        </row>
      </sheetData>
      <sheetData sheetId="1">
        <row r="11">
          <cell r="A11">
            <v>1</v>
          </cell>
        </row>
      </sheetData>
      <sheetData sheetId="2">
        <row r="11">
          <cell r="A11">
            <v>1</v>
          </cell>
        </row>
      </sheetData>
      <sheetData sheetId="3">
        <row r="11">
          <cell r="A11">
            <v>1</v>
          </cell>
        </row>
      </sheetData>
      <sheetData sheetId="4">
        <row r="11">
          <cell r="A11">
            <v>1</v>
          </cell>
        </row>
      </sheetData>
      <sheetData sheetId="5">
        <row r="11">
          <cell r="A11">
            <v>1</v>
          </cell>
        </row>
      </sheetData>
      <sheetData sheetId="6">
        <row r="11">
          <cell r="A11">
            <v>1</v>
          </cell>
        </row>
      </sheetData>
      <sheetData sheetId="7"/>
      <sheetData sheetId="8">
        <row r="11">
          <cell r="A11">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1">
          <cell r="A11">
            <v>1</v>
          </cell>
          <cell r="B11" t="str">
            <v>Net Film Revenue</v>
          </cell>
          <cell r="E11">
            <v>428.8</v>
          </cell>
          <cell r="F11">
            <v>435.5</v>
          </cell>
          <cell r="G11">
            <v>569.5</v>
          </cell>
          <cell r="H11">
            <v>428.8</v>
          </cell>
          <cell r="I11">
            <v>455.6</v>
          </cell>
          <cell r="J11">
            <v>643.20000000000005</v>
          </cell>
          <cell r="K11">
            <v>442.2</v>
          </cell>
          <cell r="L11">
            <v>502.5</v>
          </cell>
          <cell r="M11">
            <v>569.5</v>
          </cell>
          <cell r="N11">
            <v>428.8</v>
          </cell>
          <cell r="O11">
            <v>562.79999999999995</v>
          </cell>
          <cell r="P11">
            <v>515.9</v>
          </cell>
          <cell r="Q11">
            <v>0</v>
          </cell>
          <cell r="T11">
            <v>0</v>
          </cell>
          <cell r="U11">
            <v>5983.1</v>
          </cell>
          <cell r="V11">
            <v>6314.3334699999987</v>
          </cell>
          <cell r="W11">
            <v>8724.0589999999993</v>
          </cell>
          <cell r="X11">
            <v>-331.23346999999922</v>
          </cell>
          <cell r="Y11">
            <v>-2740.9589999999998</v>
          </cell>
        </row>
        <row r="12">
          <cell r="A12">
            <v>2</v>
          </cell>
          <cell r="B12" t="str">
            <v>Concession Sales</v>
          </cell>
          <cell r="E12">
            <v>73.599999999999994</v>
          </cell>
          <cell r="F12">
            <v>74.75</v>
          </cell>
          <cell r="G12">
            <v>97.75</v>
          </cell>
          <cell r="H12">
            <v>73.599999999999994</v>
          </cell>
          <cell r="I12">
            <v>78.2</v>
          </cell>
          <cell r="J12">
            <v>110.4</v>
          </cell>
          <cell r="K12">
            <v>75.900000000000006</v>
          </cell>
          <cell r="L12">
            <v>86.25</v>
          </cell>
          <cell r="M12">
            <v>97.75</v>
          </cell>
          <cell r="N12">
            <v>73.599999999999994</v>
          </cell>
          <cell r="O12">
            <v>96.6</v>
          </cell>
          <cell r="P12">
            <v>88.55</v>
          </cell>
          <cell r="T12">
            <v>0</v>
          </cell>
          <cell r="U12">
            <v>1026.95</v>
          </cell>
          <cell r="V12">
            <v>1061.2433399999998</v>
          </cell>
          <cell r="W12">
            <v>1287.2809999999999</v>
          </cell>
          <cell r="X12">
            <v>-34.293339999999716</v>
          </cell>
          <cell r="Y12">
            <v>-260.3309999999999</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32.5</v>
          </cell>
          <cell r="F15">
            <v>32.5</v>
          </cell>
          <cell r="G15">
            <v>32.5</v>
          </cell>
          <cell r="H15">
            <v>32.5</v>
          </cell>
          <cell r="I15">
            <v>32.5</v>
          </cell>
          <cell r="J15">
            <v>32.5</v>
          </cell>
          <cell r="K15">
            <v>32.5</v>
          </cell>
          <cell r="L15">
            <v>32.5</v>
          </cell>
          <cell r="M15">
            <v>32.5</v>
          </cell>
          <cell r="N15">
            <v>32.5</v>
          </cell>
          <cell r="O15">
            <v>32.5</v>
          </cell>
          <cell r="P15">
            <v>32.5</v>
          </cell>
          <cell r="T15">
            <v>0</v>
          </cell>
          <cell r="U15">
            <v>390</v>
          </cell>
          <cell r="V15">
            <v>355.49998999999997</v>
          </cell>
          <cell r="W15">
            <v>274.60199999999998</v>
          </cell>
          <cell r="X15">
            <v>34.500010000000032</v>
          </cell>
          <cell r="Y15">
            <v>115.39800000000002</v>
          </cell>
        </row>
        <row r="16">
          <cell r="A16">
            <v>6</v>
          </cell>
          <cell r="B16" t="str">
            <v>Other Income</v>
          </cell>
          <cell r="C16">
            <v>0</v>
          </cell>
          <cell r="E16">
            <v>9.4376250000000006</v>
          </cell>
          <cell r="F16">
            <v>9.4376250000000006</v>
          </cell>
          <cell r="G16">
            <v>9.4376250000000006</v>
          </cell>
          <cell r="H16">
            <v>9.4376250000000006</v>
          </cell>
          <cell r="I16">
            <v>9.4376250000000006</v>
          </cell>
          <cell r="J16">
            <v>9.4376250000000006</v>
          </cell>
          <cell r="K16">
            <v>9.4376250000000006</v>
          </cell>
          <cell r="L16">
            <v>9.4376250000000006</v>
          </cell>
          <cell r="M16">
            <v>9.4376250000000006</v>
          </cell>
          <cell r="N16">
            <v>9.4376250000000006</v>
          </cell>
          <cell r="O16">
            <v>9.4376250000000006</v>
          </cell>
          <cell r="P16">
            <v>9.4376250000000006</v>
          </cell>
          <cell r="R16">
            <v>0</v>
          </cell>
          <cell r="S16">
            <v>0</v>
          </cell>
          <cell r="T16">
            <v>0</v>
          </cell>
          <cell r="U16">
            <v>113.25149999999998</v>
          </cell>
          <cell r="V16">
            <v>140.56952999999999</v>
          </cell>
          <cell r="W16">
            <v>79.453000000000003</v>
          </cell>
          <cell r="X16">
            <v>-27.318030000000007</v>
          </cell>
          <cell r="Y16">
            <v>33.798499999999976</v>
          </cell>
        </row>
        <row r="17">
          <cell r="B17" t="str">
            <v>TOTAL REVENUE</v>
          </cell>
          <cell r="C17">
            <v>0</v>
          </cell>
          <cell r="E17">
            <v>544.337625</v>
          </cell>
          <cell r="F17">
            <v>552.18762500000003</v>
          </cell>
          <cell r="G17">
            <v>709.18762500000003</v>
          </cell>
          <cell r="H17">
            <v>544.337625</v>
          </cell>
          <cell r="I17">
            <v>575.73762499999998</v>
          </cell>
          <cell r="J17">
            <v>795.53762500000005</v>
          </cell>
          <cell r="K17">
            <v>560.03762500000005</v>
          </cell>
          <cell r="L17">
            <v>630.68762500000003</v>
          </cell>
          <cell r="M17">
            <v>709.18762500000003</v>
          </cell>
          <cell r="N17">
            <v>544.337625</v>
          </cell>
          <cell r="O17">
            <v>701.33762500000012</v>
          </cell>
          <cell r="P17">
            <v>646.38762499999996</v>
          </cell>
          <cell r="R17">
            <v>0</v>
          </cell>
          <cell r="S17">
            <v>0</v>
          </cell>
          <cell r="T17">
            <v>0</v>
          </cell>
          <cell r="U17">
            <v>7513.3015000000005</v>
          </cell>
          <cell r="V17">
            <v>7871.6463299999987</v>
          </cell>
          <cell r="W17">
            <v>10365.395</v>
          </cell>
          <cell r="X17">
            <v>-358.34482999999818</v>
          </cell>
          <cell r="Y17">
            <v>-2852.0934999999999</v>
          </cell>
        </row>
        <row r="19">
          <cell r="A19">
            <v>7</v>
          </cell>
          <cell r="B19" t="str">
            <v>Film Hire</v>
          </cell>
          <cell r="E19">
            <v>199.39200000000002</v>
          </cell>
          <cell r="F19">
            <v>202.50749999999999</v>
          </cell>
          <cell r="G19">
            <v>264.8175</v>
          </cell>
          <cell r="H19">
            <v>199.39200000000002</v>
          </cell>
          <cell r="I19">
            <v>211.85400000000001</v>
          </cell>
          <cell r="J19">
            <v>299.08800000000002</v>
          </cell>
          <cell r="K19">
            <v>205.62300000000002</v>
          </cell>
          <cell r="L19">
            <v>233.66249999999999</v>
          </cell>
          <cell r="M19">
            <v>264.8175</v>
          </cell>
          <cell r="N19">
            <v>199.39200000000002</v>
          </cell>
          <cell r="O19">
            <v>261.70200000000006</v>
          </cell>
          <cell r="P19">
            <v>239.89349999999999</v>
          </cell>
          <cell r="U19">
            <v>2782.1415000000006</v>
          </cell>
          <cell r="V19">
            <v>2918.7243400000002</v>
          </cell>
          <cell r="W19">
            <v>3991.942</v>
          </cell>
          <cell r="X19">
            <v>-136.58283999999958</v>
          </cell>
          <cell r="Y19">
            <v>-1209.8004999999994</v>
          </cell>
        </row>
        <row r="20">
          <cell r="A20">
            <v>8</v>
          </cell>
          <cell r="B20" t="str">
            <v>Concession Cost</v>
          </cell>
          <cell r="E20">
            <v>16.192</v>
          </cell>
          <cell r="F20">
            <v>16.445</v>
          </cell>
          <cell r="G20">
            <v>21.504999999999999</v>
          </cell>
          <cell r="H20">
            <v>16.192</v>
          </cell>
          <cell r="I20">
            <v>17.203999999999997</v>
          </cell>
          <cell r="J20">
            <v>24.287999999999997</v>
          </cell>
          <cell r="K20">
            <v>16.697999999999997</v>
          </cell>
          <cell r="L20">
            <v>18.975000000000001</v>
          </cell>
          <cell r="M20">
            <v>21.504999999999999</v>
          </cell>
          <cell r="N20">
            <v>16.192</v>
          </cell>
          <cell r="O20">
            <v>21.251999999999999</v>
          </cell>
          <cell r="P20">
            <v>19.480999999999998</v>
          </cell>
          <cell r="T20">
            <v>0</v>
          </cell>
          <cell r="U20">
            <v>225.929</v>
          </cell>
          <cell r="V20">
            <v>222.33358999999999</v>
          </cell>
          <cell r="W20">
            <v>332.161</v>
          </cell>
          <cell r="X20">
            <v>3.5954100000000153</v>
          </cell>
          <cell r="Y20">
            <v>-106.232</v>
          </cell>
        </row>
        <row r="21">
          <cell r="A21">
            <v>9</v>
          </cell>
          <cell r="B21" t="str">
            <v>Less Concession Rebates</v>
          </cell>
          <cell r="E21">
            <v>-1.84</v>
          </cell>
          <cell r="F21">
            <v>-1.8687499999999999</v>
          </cell>
          <cell r="G21">
            <v>-2.4437500000000001</v>
          </cell>
          <cell r="H21">
            <v>-1.84</v>
          </cell>
          <cell r="I21">
            <v>-1.9550000000000001</v>
          </cell>
          <cell r="J21">
            <v>-2.76</v>
          </cell>
          <cell r="K21">
            <v>-1.8975</v>
          </cell>
          <cell r="L21">
            <v>-2.15625</v>
          </cell>
          <cell r="M21">
            <v>-2.4437500000000001</v>
          </cell>
          <cell r="N21">
            <v>-1.84</v>
          </cell>
          <cell r="O21">
            <v>-2.415</v>
          </cell>
          <cell r="P21">
            <v>-2.2137500000000001</v>
          </cell>
          <cell r="U21">
            <v>-25.673749999999998</v>
          </cell>
          <cell r="V21">
            <v>-32.79</v>
          </cell>
          <cell r="W21">
            <v>-54.335999999999999</v>
          </cell>
          <cell r="X21">
            <v>7.11625</v>
          </cell>
          <cell r="Y21">
            <v>28.66225</v>
          </cell>
        </row>
        <row r="22">
          <cell r="A22">
            <v>10</v>
          </cell>
          <cell r="B22" t="str">
            <v>Advertising Cost</v>
          </cell>
          <cell r="E22">
            <v>9.8624000000000009</v>
          </cell>
          <cell r="F22">
            <v>10.016500000000001</v>
          </cell>
          <cell r="G22">
            <v>13.0985</v>
          </cell>
          <cell r="H22">
            <v>9.8624000000000009</v>
          </cell>
          <cell r="I22">
            <v>10.4788</v>
          </cell>
          <cell r="J22">
            <v>14.793600000000001</v>
          </cell>
          <cell r="K22">
            <v>10.1706</v>
          </cell>
          <cell r="L22">
            <v>11.557499999999999</v>
          </cell>
          <cell r="M22">
            <v>13.0985</v>
          </cell>
          <cell r="N22">
            <v>9.8624000000000009</v>
          </cell>
          <cell r="O22">
            <v>12.944400000000002</v>
          </cell>
          <cell r="P22">
            <v>11.865699999999999</v>
          </cell>
          <cell r="T22">
            <v>0</v>
          </cell>
          <cell r="U22">
            <v>137.61130000000003</v>
          </cell>
          <cell r="V22">
            <v>157.63596999999999</v>
          </cell>
          <cell r="W22">
            <v>206.21799999999999</v>
          </cell>
          <cell r="X22">
            <v>-20.024669999999958</v>
          </cell>
          <cell r="Y22">
            <v>-68.606699999999961</v>
          </cell>
        </row>
        <row r="23">
          <cell r="A23">
            <v>11</v>
          </cell>
          <cell r="B23" t="str">
            <v>Other Cost</v>
          </cell>
          <cell r="C23">
            <v>0</v>
          </cell>
          <cell r="E23">
            <v>0.85760000000000003</v>
          </cell>
          <cell r="F23">
            <v>0.871</v>
          </cell>
          <cell r="G23">
            <v>1.139</v>
          </cell>
          <cell r="H23">
            <v>0.85760000000000003</v>
          </cell>
          <cell r="I23">
            <v>0.91120000000000001</v>
          </cell>
          <cell r="J23">
            <v>1.2864000000000002</v>
          </cell>
          <cell r="K23">
            <v>0.88439999999999996</v>
          </cell>
          <cell r="L23">
            <v>1.0049999999999999</v>
          </cell>
          <cell r="M23">
            <v>1.139</v>
          </cell>
          <cell r="N23">
            <v>0.85760000000000003</v>
          </cell>
          <cell r="O23">
            <v>1.1256000000000002</v>
          </cell>
          <cell r="P23">
            <v>1.0318000000000001</v>
          </cell>
          <cell r="R23">
            <v>0</v>
          </cell>
          <cell r="S23">
            <v>0</v>
          </cell>
          <cell r="T23">
            <v>0</v>
          </cell>
          <cell r="U23">
            <v>11.966200000000001</v>
          </cell>
          <cell r="V23">
            <v>12.628666939999997</v>
          </cell>
          <cell r="W23">
            <v>17.448117999999997</v>
          </cell>
          <cell r="X23">
            <v>-0.66246693999999628</v>
          </cell>
          <cell r="Y23">
            <v>-5.4819179999999967</v>
          </cell>
        </row>
        <row r="24">
          <cell r="A24">
            <v>12</v>
          </cell>
          <cell r="B24" t="str">
            <v>Direct Payroll</v>
          </cell>
          <cell r="C24">
            <v>0</v>
          </cell>
          <cell r="E24">
            <v>37.290862671494246</v>
          </cell>
          <cell r="F24">
            <v>37.290862671494246</v>
          </cell>
          <cell r="G24">
            <v>38.390862671494247</v>
          </cell>
          <cell r="H24">
            <v>37.290862671494246</v>
          </cell>
          <cell r="I24">
            <v>37.290862671494246</v>
          </cell>
          <cell r="J24">
            <v>38.390862671494247</v>
          </cell>
          <cell r="K24">
            <v>38.091679218794241</v>
          </cell>
          <cell r="L24">
            <v>38.091679218794241</v>
          </cell>
          <cell r="M24">
            <v>39.191679218794242</v>
          </cell>
          <cell r="N24">
            <v>38.091679218794241</v>
          </cell>
          <cell r="O24">
            <v>39.191679218794242</v>
          </cell>
          <cell r="P24">
            <v>39.191679218794242</v>
          </cell>
          <cell r="R24">
            <v>0</v>
          </cell>
          <cell r="S24">
            <v>0</v>
          </cell>
          <cell r="T24">
            <v>0</v>
          </cell>
          <cell r="U24">
            <v>457.79525134173099</v>
          </cell>
          <cell r="V24">
            <v>597.6969049999999</v>
          </cell>
          <cell r="W24">
            <v>827.36200000000008</v>
          </cell>
          <cell r="X24">
            <v>-139.90165365826891</v>
          </cell>
          <cell r="Y24">
            <v>-369.56674865826909</v>
          </cell>
        </row>
        <row r="25">
          <cell r="B25" t="str">
            <v>TOTAL COST</v>
          </cell>
          <cell r="C25">
            <v>0</v>
          </cell>
          <cell r="E25">
            <v>261.75486267149427</v>
          </cell>
          <cell r="F25">
            <v>265.26211267149426</v>
          </cell>
          <cell r="G25">
            <v>336.50711267149421</v>
          </cell>
          <cell r="H25">
            <v>261.75486267149427</v>
          </cell>
          <cell r="I25">
            <v>275.78386267149426</v>
          </cell>
          <cell r="J25">
            <v>375.08686267149432</v>
          </cell>
          <cell r="K25">
            <v>269.57017921879424</v>
          </cell>
          <cell r="L25">
            <v>301.13542921879423</v>
          </cell>
          <cell r="M25">
            <v>337.30792921879424</v>
          </cell>
          <cell r="N25">
            <v>262.55567921879424</v>
          </cell>
          <cell r="O25">
            <v>333.80067921879436</v>
          </cell>
          <cell r="P25">
            <v>309.24992921879425</v>
          </cell>
          <cell r="R25">
            <v>0</v>
          </cell>
          <cell r="S25">
            <v>0</v>
          </cell>
          <cell r="T25">
            <v>0</v>
          </cell>
          <cell r="U25">
            <v>3589.7695013417315</v>
          </cell>
          <cell r="V25">
            <v>3876.2294719400002</v>
          </cell>
          <cell r="W25">
            <v>5320.795118</v>
          </cell>
          <cell r="X25">
            <v>-286.45997059826868</v>
          </cell>
          <cell r="Y25">
            <v>-1731.0256166582685</v>
          </cell>
        </row>
        <row r="27">
          <cell r="B27" t="str">
            <v>GROSS MARGIN</v>
          </cell>
          <cell r="C27">
            <v>0</v>
          </cell>
          <cell r="E27">
            <v>282.58276232850574</v>
          </cell>
          <cell r="F27">
            <v>286.92551232850576</v>
          </cell>
          <cell r="G27">
            <v>372.68051232850581</v>
          </cell>
          <cell r="H27">
            <v>282.58276232850574</v>
          </cell>
          <cell r="I27">
            <v>299.95376232850572</v>
          </cell>
          <cell r="J27">
            <v>420.45076232850573</v>
          </cell>
          <cell r="K27">
            <v>290.46744578120581</v>
          </cell>
          <cell r="L27">
            <v>329.5521957812058</v>
          </cell>
          <cell r="M27">
            <v>371.87969578120578</v>
          </cell>
          <cell r="N27">
            <v>281.78194578120576</v>
          </cell>
          <cell r="O27">
            <v>367.53694578120576</v>
          </cell>
          <cell r="P27">
            <v>337.13769578120571</v>
          </cell>
          <cell r="R27">
            <v>0</v>
          </cell>
          <cell r="S27">
            <v>0</v>
          </cell>
          <cell r="T27">
            <v>0</v>
          </cell>
          <cell r="U27">
            <v>3923.5319986582695</v>
          </cell>
          <cell r="V27">
            <v>3995.4168580599985</v>
          </cell>
          <cell r="W27">
            <v>5044.5998820000004</v>
          </cell>
          <cell r="X27">
            <v>-71.884859401729045</v>
          </cell>
          <cell r="Y27">
            <v>-1121.067883341731</v>
          </cell>
        </row>
        <row r="28">
          <cell r="X28" t="str">
            <v/>
          </cell>
          <cell r="Y28" t="str">
            <v/>
          </cell>
        </row>
        <row r="29">
          <cell r="A29">
            <v>13</v>
          </cell>
          <cell r="B29" t="str">
            <v>Direct Rent</v>
          </cell>
          <cell r="E29">
            <v>0</v>
          </cell>
          <cell r="F29">
            <v>0</v>
          </cell>
          <cell r="G29">
            <v>0</v>
          </cell>
          <cell r="H29">
            <v>0</v>
          </cell>
          <cell r="I29">
            <v>0</v>
          </cell>
          <cell r="J29">
            <v>0</v>
          </cell>
          <cell r="K29">
            <v>0</v>
          </cell>
          <cell r="L29">
            <v>0</v>
          </cell>
          <cell r="M29">
            <v>0</v>
          </cell>
          <cell r="N29">
            <v>0</v>
          </cell>
          <cell r="O29">
            <v>0</v>
          </cell>
          <cell r="P29">
            <v>0</v>
          </cell>
          <cell r="T29">
            <v>0</v>
          </cell>
          <cell r="U29">
            <v>0</v>
          </cell>
          <cell r="V29">
            <v>0</v>
          </cell>
          <cell r="W29">
            <v>0</v>
          </cell>
          <cell r="X29">
            <v>0</v>
          </cell>
          <cell r="Y29">
            <v>0</v>
          </cell>
        </row>
        <row r="30">
          <cell r="A30">
            <v>14</v>
          </cell>
          <cell r="B30" t="str">
            <v>Light, Heat and Power</v>
          </cell>
          <cell r="E30">
            <v>20.2</v>
          </cell>
          <cell r="F30">
            <v>20.2</v>
          </cell>
          <cell r="G30">
            <v>20.2</v>
          </cell>
          <cell r="H30">
            <v>20.2</v>
          </cell>
          <cell r="I30">
            <v>20.2</v>
          </cell>
          <cell r="J30">
            <v>20.2</v>
          </cell>
          <cell r="K30">
            <v>20.2</v>
          </cell>
          <cell r="L30">
            <v>20.2</v>
          </cell>
          <cell r="M30">
            <v>20.2</v>
          </cell>
          <cell r="N30">
            <v>20.2</v>
          </cell>
          <cell r="O30">
            <v>20.2</v>
          </cell>
          <cell r="P30">
            <v>20.2</v>
          </cell>
          <cell r="T30">
            <v>0</v>
          </cell>
          <cell r="U30">
            <v>242.4</v>
          </cell>
          <cell r="V30">
            <v>246.33176000000003</v>
          </cell>
          <cell r="W30">
            <v>271.14699999999999</v>
          </cell>
          <cell r="X30">
            <v>-3.9317600000000823</v>
          </cell>
          <cell r="Y30">
            <v>-28.747000000000043</v>
          </cell>
        </row>
        <row r="31">
          <cell r="A31">
            <v>15</v>
          </cell>
          <cell r="B31" t="str">
            <v>Repair &amp; Maintenance</v>
          </cell>
          <cell r="E31">
            <v>13.25</v>
          </cell>
          <cell r="F31">
            <v>13.25</v>
          </cell>
          <cell r="G31">
            <v>13.25</v>
          </cell>
          <cell r="H31">
            <v>18.25</v>
          </cell>
          <cell r="I31">
            <v>13.25</v>
          </cell>
          <cell r="J31">
            <v>13.25</v>
          </cell>
          <cell r="K31">
            <v>13.25</v>
          </cell>
          <cell r="L31">
            <v>13.25</v>
          </cell>
          <cell r="M31">
            <v>13.25</v>
          </cell>
          <cell r="N31">
            <v>13.25</v>
          </cell>
          <cell r="O31">
            <v>13.25</v>
          </cell>
          <cell r="P31">
            <v>13.25</v>
          </cell>
          <cell r="T31">
            <v>0</v>
          </cell>
          <cell r="U31">
            <v>164</v>
          </cell>
          <cell r="V31">
            <v>217.57400666666669</v>
          </cell>
          <cell r="W31">
            <v>328.58800000000002</v>
          </cell>
          <cell r="X31">
            <v>-53.574006666666691</v>
          </cell>
          <cell r="Y31">
            <v>-164.58800000000002</v>
          </cell>
        </row>
        <row r="32">
          <cell r="A32">
            <v>16</v>
          </cell>
          <cell r="B32" t="str">
            <v>Common Area Maintenance</v>
          </cell>
          <cell r="E32">
            <v>15.888</v>
          </cell>
          <cell r="F32">
            <v>15.888</v>
          </cell>
          <cell r="G32">
            <v>15.888</v>
          </cell>
          <cell r="H32">
            <v>15.888</v>
          </cell>
          <cell r="I32">
            <v>15.888</v>
          </cell>
          <cell r="J32">
            <v>15.888</v>
          </cell>
          <cell r="K32">
            <v>15.888</v>
          </cell>
          <cell r="L32">
            <v>15.888</v>
          </cell>
          <cell r="M32">
            <v>15.888</v>
          </cell>
          <cell r="N32">
            <v>15.888</v>
          </cell>
          <cell r="O32">
            <v>15.888</v>
          </cell>
          <cell r="P32">
            <v>15.888</v>
          </cell>
          <cell r="T32">
            <v>0</v>
          </cell>
          <cell r="U32">
            <v>190.65600000000003</v>
          </cell>
          <cell r="V32">
            <v>190.65660000000003</v>
          </cell>
          <cell r="W32">
            <v>186.501</v>
          </cell>
          <cell r="X32">
            <v>-5.9999999999149622E-4</v>
          </cell>
          <cell r="Y32">
            <v>4.1550000000000296</v>
          </cell>
        </row>
        <row r="33">
          <cell r="A33">
            <v>17</v>
          </cell>
          <cell r="B33" t="str">
            <v>Other Overhead Costs</v>
          </cell>
          <cell r="C33">
            <v>0</v>
          </cell>
          <cell r="E33">
            <v>22.180588626714943</v>
          </cell>
          <cell r="F33">
            <v>22.180188626714941</v>
          </cell>
          <cell r="G33">
            <v>22.01230862671494</v>
          </cell>
          <cell r="H33">
            <v>22.180188626714941</v>
          </cell>
          <cell r="I33">
            <v>24.501308626714941</v>
          </cell>
          <cell r="J33">
            <v>22.19118862671494</v>
          </cell>
          <cell r="K33">
            <v>22.188196792187941</v>
          </cell>
          <cell r="L33">
            <v>24.151556792187943</v>
          </cell>
          <cell r="M33">
            <v>22.199196792187941</v>
          </cell>
          <cell r="N33">
            <v>22.009316792187942</v>
          </cell>
          <cell r="O33">
            <v>22.199196792187941</v>
          </cell>
          <cell r="P33">
            <v>22.020316792187941</v>
          </cell>
          <cell r="R33">
            <v>0</v>
          </cell>
          <cell r="S33">
            <v>0</v>
          </cell>
          <cell r="T33">
            <v>0</v>
          </cell>
          <cell r="U33">
            <v>270.01355251341727</v>
          </cell>
          <cell r="V33">
            <v>334.65881855333333</v>
          </cell>
          <cell r="W33">
            <v>415.33888200000001</v>
          </cell>
          <cell r="X33">
            <v>-64.645266039916066</v>
          </cell>
          <cell r="Y33">
            <v>-145.32532948658275</v>
          </cell>
        </row>
        <row r="35">
          <cell r="B35" t="str">
            <v>Total Overhead Expenses</v>
          </cell>
          <cell r="C35">
            <v>0</v>
          </cell>
          <cell r="E35">
            <v>71.518588626714944</v>
          </cell>
          <cell r="F35">
            <v>71.518188626714945</v>
          </cell>
          <cell r="G35">
            <v>121.2987</v>
          </cell>
          <cell r="H35">
            <v>76.518188626714945</v>
          </cell>
          <cell r="I35">
            <v>73.839308626714939</v>
          </cell>
          <cell r="J35">
            <v>71.529188626714941</v>
          </cell>
          <cell r="K35">
            <v>71.526196792187946</v>
          </cell>
          <cell r="L35">
            <v>73.48955679218794</v>
          </cell>
          <cell r="M35">
            <v>71.537196792187942</v>
          </cell>
          <cell r="N35">
            <v>71.347316792187939</v>
          </cell>
          <cell r="O35">
            <v>71.537196792187942</v>
          </cell>
          <cell r="P35">
            <v>71.358316792187935</v>
          </cell>
          <cell r="R35">
            <v>0</v>
          </cell>
          <cell r="S35">
            <v>0</v>
          </cell>
          <cell r="T35">
            <v>0</v>
          </cell>
          <cell r="U35">
            <v>867.06955251341731</v>
          </cell>
          <cell r="V35">
            <v>989.22118522000005</v>
          </cell>
          <cell r="W35">
            <v>1201.5748819999999</v>
          </cell>
          <cell r="X35">
            <v>-122.15163270658275</v>
          </cell>
          <cell r="Y35">
            <v>-334.50532948658258</v>
          </cell>
        </row>
        <row r="37">
          <cell r="B37" t="str">
            <v>E.B.I.T.D.</v>
          </cell>
          <cell r="C37">
            <v>0</v>
          </cell>
          <cell r="E37">
            <v>211.06417370179079</v>
          </cell>
          <cell r="F37">
            <v>215.4073237017908</v>
          </cell>
          <cell r="G37">
            <v>251.38181232850582</v>
          </cell>
          <cell r="H37">
            <v>206.06457370179078</v>
          </cell>
          <cell r="I37">
            <v>226.11445370179078</v>
          </cell>
          <cell r="J37">
            <v>348.92157370179081</v>
          </cell>
          <cell r="K37">
            <v>218.94124898901788</v>
          </cell>
          <cell r="L37">
            <v>256.06263898901784</v>
          </cell>
          <cell r="M37">
            <v>300.34249898901783</v>
          </cell>
          <cell r="N37">
            <v>210.43462898901782</v>
          </cell>
          <cell r="O37">
            <v>295.9997489890178</v>
          </cell>
          <cell r="P37">
            <v>265.7793789890178</v>
          </cell>
          <cell r="R37">
            <v>0</v>
          </cell>
          <cell r="S37">
            <v>0</v>
          </cell>
          <cell r="T37">
            <v>0</v>
          </cell>
          <cell r="U37">
            <v>3056.462446144852</v>
          </cell>
          <cell r="V37">
            <v>3006.1956728399982</v>
          </cell>
          <cell r="W37">
            <v>3843.0250000000005</v>
          </cell>
          <cell r="X37">
            <v>50.2667733048537</v>
          </cell>
          <cell r="Y37">
            <v>-786.56255385514839</v>
          </cell>
        </row>
        <row r="39">
          <cell r="A39">
            <v>18</v>
          </cell>
          <cell r="B39" t="str">
            <v>Depreciation</v>
          </cell>
          <cell r="E39">
            <v>72.451840277777762</v>
          </cell>
          <cell r="F39">
            <v>72.451840277777762</v>
          </cell>
          <cell r="G39">
            <v>72.451840277777762</v>
          </cell>
          <cell r="H39">
            <v>72.451840277777762</v>
          </cell>
          <cell r="I39">
            <v>72.451840277777762</v>
          </cell>
          <cell r="J39">
            <v>72.451840277777762</v>
          </cell>
          <cell r="K39">
            <v>72.451840277777762</v>
          </cell>
          <cell r="L39">
            <v>72.451840277777762</v>
          </cell>
          <cell r="M39">
            <v>72.451840277777762</v>
          </cell>
          <cell r="N39">
            <v>72.451840277777762</v>
          </cell>
          <cell r="O39">
            <v>72.451840277777762</v>
          </cell>
          <cell r="P39">
            <v>72.451840277777762</v>
          </cell>
          <cell r="T39">
            <v>0</v>
          </cell>
          <cell r="U39">
            <v>869.42208333333338</v>
          </cell>
          <cell r="V39">
            <v>861.3788936574075</v>
          </cell>
          <cell r="W39">
            <v>838.29700000000003</v>
          </cell>
          <cell r="X39">
            <v>8.0431896759258734</v>
          </cell>
          <cell r="Y39">
            <v>31.12508333333335</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72.63</v>
          </cell>
          <cell r="W40">
            <v>226.50200000000001</v>
          </cell>
          <cell r="X40">
            <v>-72.63</v>
          </cell>
          <cell r="Y40">
            <v>-226.50200000000001</v>
          </cell>
        </row>
        <row r="41">
          <cell r="A41">
            <v>20</v>
          </cell>
          <cell r="B41" t="str">
            <v>External Interest</v>
          </cell>
          <cell r="E41">
            <v>127.83253424657536</v>
          </cell>
          <cell r="F41">
            <v>127.19554794520549</v>
          </cell>
          <cell r="G41">
            <v>122.47602739726027</v>
          </cell>
          <cell r="H41">
            <v>124.22294520547948</v>
          </cell>
          <cell r="I41">
            <v>119.59931506849318</v>
          </cell>
          <cell r="J41">
            <v>120.38510273972605</v>
          </cell>
          <cell r="K41">
            <v>118.3998287671233</v>
          </cell>
          <cell r="L41">
            <v>106.36643835616439</v>
          </cell>
          <cell r="M41">
            <v>117.12585616438356</v>
          </cell>
          <cell r="N41">
            <v>112.73116438356166</v>
          </cell>
          <cell r="O41">
            <v>114.04708904109589</v>
          </cell>
          <cell r="P41">
            <v>107.27054794520549</v>
          </cell>
          <cell r="T41">
            <v>0</v>
          </cell>
          <cell r="U41">
            <v>0</v>
          </cell>
          <cell r="V41">
            <v>99.225781369863014</v>
          </cell>
          <cell r="W41">
            <v>157.886</v>
          </cell>
          <cell r="X41">
            <v>-99.225781369863014</v>
          </cell>
          <cell r="Y41">
            <v>-157.886</v>
          </cell>
        </row>
        <row r="42">
          <cell r="A42">
            <v>21</v>
          </cell>
          <cell r="B42" t="str">
            <v>Intercompany Interest Income</v>
          </cell>
          <cell r="E42">
            <v>0</v>
          </cell>
          <cell r="F42">
            <v>0</v>
          </cell>
          <cell r="G42">
            <v>0</v>
          </cell>
          <cell r="H42">
            <v>0</v>
          </cell>
          <cell r="I42">
            <v>0</v>
          </cell>
          <cell r="J42">
            <v>0</v>
          </cell>
          <cell r="K42">
            <v>0</v>
          </cell>
          <cell r="L42">
            <v>0</v>
          </cell>
          <cell r="M42">
            <v>0</v>
          </cell>
          <cell r="N42">
            <v>0</v>
          </cell>
          <cell r="O42">
            <v>0</v>
          </cell>
          <cell r="P42">
            <v>0</v>
          </cell>
          <cell r="T42">
            <v>0</v>
          </cell>
          <cell r="U42">
            <v>0</v>
          </cell>
          <cell r="V42">
            <v>0</v>
          </cell>
          <cell r="W42">
            <v>0</v>
          </cell>
          <cell r="X42">
            <v>0</v>
          </cell>
          <cell r="Y42">
            <v>0</v>
          </cell>
        </row>
        <row r="43">
          <cell r="A43">
            <v>22</v>
          </cell>
          <cell r="B43" t="str">
            <v>External Interest Income</v>
          </cell>
          <cell r="E43">
            <v>0</v>
          </cell>
          <cell r="F43">
            <v>0</v>
          </cell>
          <cell r="G43">
            <v>0</v>
          </cell>
          <cell r="H43">
            <v>0</v>
          </cell>
          <cell r="I43">
            <v>0.16900000000000001</v>
          </cell>
          <cell r="J43">
            <v>0.222</v>
          </cell>
          <cell r="K43">
            <v>0</v>
          </cell>
          <cell r="L43">
            <v>0</v>
          </cell>
          <cell r="M43">
            <v>0</v>
          </cell>
          <cell r="N43">
            <v>0</v>
          </cell>
          <cell r="O43">
            <v>0</v>
          </cell>
          <cell r="P43">
            <v>0</v>
          </cell>
          <cell r="T43">
            <v>0</v>
          </cell>
          <cell r="U43">
            <v>0</v>
          </cell>
          <cell r="V43">
            <v>2.7231000000000001</v>
          </cell>
          <cell r="W43">
            <v>0.90700000000000003</v>
          </cell>
          <cell r="X43">
            <v>-2.7231000000000001</v>
          </cell>
          <cell r="Y43">
            <v>-0.90700000000000003</v>
          </cell>
        </row>
        <row r="44">
          <cell r="B44" t="str">
            <v>E.B.T.</v>
          </cell>
          <cell r="C44">
            <v>0</v>
          </cell>
          <cell r="E44">
            <v>138.61233342401303</v>
          </cell>
          <cell r="F44">
            <v>142.95548342401304</v>
          </cell>
          <cell r="G44">
            <v>178.92997205072805</v>
          </cell>
          <cell r="H44">
            <v>133.61273342401302</v>
          </cell>
          <cell r="I44">
            <v>153.66261342401302</v>
          </cell>
          <cell r="J44">
            <v>276.46973342401304</v>
          </cell>
          <cell r="K44">
            <v>146.48940871124012</v>
          </cell>
          <cell r="L44">
            <v>183.61079871124008</v>
          </cell>
          <cell r="M44">
            <v>227.89065871124006</v>
          </cell>
          <cell r="N44">
            <v>137.98278871124006</v>
          </cell>
          <cell r="O44">
            <v>223.54790871124004</v>
          </cell>
          <cell r="P44">
            <v>193.32753871124004</v>
          </cell>
          <cell r="Q44">
            <v>0</v>
          </cell>
          <cell r="R44">
            <v>0</v>
          </cell>
          <cell r="S44">
            <v>0</v>
          </cell>
          <cell r="T44">
            <v>0</v>
          </cell>
          <cell r="U44">
            <v>2187.0403628115187</v>
          </cell>
          <cell r="V44">
            <v>1975.6840978127277</v>
          </cell>
          <cell r="W44">
            <v>2621.2470000000008</v>
          </cell>
          <cell r="X44">
            <v>211.35626499879095</v>
          </cell>
          <cell r="Y44">
            <v>-434.20663718848209</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138.61233342401303</v>
          </cell>
          <cell r="F50">
            <v>142.95548342401304</v>
          </cell>
          <cell r="G50">
            <v>178.92997205072805</v>
          </cell>
          <cell r="H50">
            <v>133.61273342401302</v>
          </cell>
          <cell r="I50">
            <v>153.66261342401302</v>
          </cell>
          <cell r="J50">
            <v>276.46973342401304</v>
          </cell>
          <cell r="K50">
            <v>146.48940871124012</v>
          </cell>
          <cell r="L50">
            <v>183.61079871124008</v>
          </cell>
          <cell r="M50">
            <v>227.89065871124006</v>
          </cell>
          <cell r="N50">
            <v>137.98278871124006</v>
          </cell>
          <cell r="O50">
            <v>223.54790871124004</v>
          </cell>
          <cell r="P50">
            <v>193.32753871124004</v>
          </cell>
          <cell r="Q50">
            <v>0</v>
          </cell>
          <cell r="R50">
            <v>0</v>
          </cell>
          <cell r="S50">
            <v>0</v>
          </cell>
          <cell r="T50">
            <v>0</v>
          </cell>
          <cell r="U50">
            <v>2187.0403628115187</v>
          </cell>
          <cell r="V50">
            <v>1975.6840978127277</v>
          </cell>
          <cell r="W50">
            <v>2621.2470000000008</v>
          </cell>
          <cell r="X50">
            <v>211.35626499879095</v>
          </cell>
          <cell r="Y50">
            <v>-434.20663718848209</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62.72</v>
          </cell>
          <cell r="F54">
            <v>63.7</v>
          </cell>
          <cell r="G54">
            <v>83.3</v>
          </cell>
          <cell r="H54">
            <v>62.72</v>
          </cell>
          <cell r="I54">
            <v>66.64</v>
          </cell>
          <cell r="J54">
            <v>94.08</v>
          </cell>
          <cell r="K54">
            <v>64.680000000000007</v>
          </cell>
          <cell r="L54">
            <v>73.5</v>
          </cell>
          <cell r="M54">
            <v>83.3</v>
          </cell>
          <cell r="N54">
            <v>62.72</v>
          </cell>
          <cell r="O54">
            <v>82.32</v>
          </cell>
          <cell r="P54">
            <v>75.459999999999994</v>
          </cell>
          <cell r="T54">
            <v>0</v>
          </cell>
          <cell r="U54">
            <v>875.14</v>
          </cell>
          <cell r="V54">
            <v>946</v>
          </cell>
          <cell r="W54">
            <v>1285.933</v>
          </cell>
          <cell r="X54">
            <v>-70.860000000000127</v>
          </cell>
          <cell r="Y54">
            <v>-410.79300000000012</v>
          </cell>
        </row>
        <row r="55">
          <cell r="A55">
            <v>28</v>
          </cell>
          <cell r="B55" t="str">
            <v>Admissions</v>
          </cell>
          <cell r="E55">
            <v>64</v>
          </cell>
          <cell r="F55">
            <v>65</v>
          </cell>
          <cell r="G55">
            <v>85</v>
          </cell>
          <cell r="H55">
            <v>64</v>
          </cell>
          <cell r="I55">
            <v>68</v>
          </cell>
          <cell r="J55">
            <v>96</v>
          </cell>
          <cell r="K55">
            <v>66</v>
          </cell>
          <cell r="L55">
            <v>75</v>
          </cell>
          <cell r="M55">
            <v>85</v>
          </cell>
          <cell r="N55">
            <v>64</v>
          </cell>
          <cell r="O55">
            <v>84</v>
          </cell>
          <cell r="P55">
            <v>77</v>
          </cell>
          <cell r="T55">
            <v>0</v>
          </cell>
          <cell r="U55">
            <v>893</v>
          </cell>
          <cell r="V55">
            <v>946</v>
          </cell>
          <cell r="W55">
            <v>1285.933</v>
          </cell>
          <cell r="X55">
            <v>-53</v>
          </cell>
          <cell r="Y55">
            <v>-392.93299999999999</v>
          </cell>
        </row>
        <row r="56">
          <cell r="B56" t="str">
            <v>Utilisation Rate</v>
          </cell>
          <cell r="E56">
            <v>0.16498927569707969</v>
          </cell>
          <cell r="F56">
            <v>0.16756723312984656</v>
          </cell>
          <cell r="G56">
            <v>0.17530110542814717</v>
          </cell>
          <cell r="H56">
            <v>0.16498927569707969</v>
          </cell>
          <cell r="I56">
            <v>0.17530110542814717</v>
          </cell>
          <cell r="J56">
            <v>0.19798713083649563</v>
          </cell>
          <cell r="K56">
            <v>0.17014519056261343</v>
          </cell>
          <cell r="L56">
            <v>0.19334680745751526</v>
          </cell>
          <cell r="M56">
            <v>0.17530110542814717</v>
          </cell>
          <cell r="N56">
            <v>0.16498927569707969</v>
          </cell>
          <cell r="O56">
            <v>0.17323873948193366</v>
          </cell>
          <cell r="P56">
            <v>0.198502722323049</v>
          </cell>
          <cell r="U56">
            <v>0.17708584518929346</v>
          </cell>
          <cell r="V56">
            <v>0.18759597933826608</v>
          </cell>
          <cell r="W56">
            <v>0.23937873699729709</v>
          </cell>
          <cell r="X56">
            <v>-1.0510134148972616E-2</v>
          </cell>
          <cell r="Y56">
            <v>-6.2292891808003625E-2</v>
          </cell>
        </row>
        <row r="57">
          <cell r="B57" t="str">
            <v>Ave. Admission Price (S$)</v>
          </cell>
          <cell r="C57" t="str">
            <v>N.A.</v>
          </cell>
          <cell r="E57">
            <v>6.7</v>
          </cell>
          <cell r="F57">
            <v>6.7</v>
          </cell>
          <cell r="G57">
            <v>6.7</v>
          </cell>
          <cell r="H57">
            <v>6.7</v>
          </cell>
          <cell r="I57">
            <v>6.7</v>
          </cell>
          <cell r="J57">
            <v>6.7</v>
          </cell>
          <cell r="K57">
            <v>6.7</v>
          </cell>
          <cell r="L57">
            <v>6.7</v>
          </cell>
          <cell r="M57">
            <v>6.7</v>
          </cell>
          <cell r="N57">
            <v>6.7</v>
          </cell>
          <cell r="O57">
            <v>6.7</v>
          </cell>
          <cell r="P57">
            <v>6.7</v>
          </cell>
          <cell r="R57" t="str">
            <v>N.A.</v>
          </cell>
          <cell r="S57" t="str">
            <v>N.A.</v>
          </cell>
          <cell r="T57" t="str">
            <v>N.A.</v>
          </cell>
          <cell r="U57">
            <v>6.7</v>
          </cell>
          <cell r="V57">
            <v>6.6747711099365734</v>
          </cell>
          <cell r="W57">
            <v>6.7842251501439028</v>
          </cell>
          <cell r="X57">
            <v>2.5228890063425879E-2</v>
          </cell>
          <cell r="Y57">
            <v>-8.4225150143903527E-2</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2.3000000000000007E-2</v>
          </cell>
          <cell r="V58">
            <v>2.496478381272442E-2</v>
          </cell>
          <cell r="W58">
            <v>2.363785022545125E-2</v>
          </cell>
          <cell r="X58">
            <v>-1.9647838127244133E-3</v>
          </cell>
          <cell r="Y58">
            <v>-6.3785022545124331E-4</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R59" t="str">
            <v>N.A.</v>
          </cell>
          <cell r="S59" t="str">
            <v>N.A.</v>
          </cell>
          <cell r="T59" t="str">
            <v>N.A.</v>
          </cell>
          <cell r="U59">
            <v>0.19500000000000001</v>
          </cell>
          <cell r="V59">
            <v>0.17860521037521898</v>
          </cell>
          <cell r="W59">
            <v>0.21582311865086179</v>
          </cell>
          <cell r="X59">
            <v>1.6394789624780998E-2</v>
          </cell>
          <cell r="Y59">
            <v>-2.082311865086181E-2</v>
          </cell>
        </row>
        <row r="60">
          <cell r="B60" t="str">
            <v>Concess. Rev per Patron (S$)</v>
          </cell>
          <cell r="C60" t="str">
            <v>N.A.</v>
          </cell>
          <cell r="E60">
            <v>1.1499999999999999</v>
          </cell>
          <cell r="F60">
            <v>1.1499999999999999</v>
          </cell>
          <cell r="G60">
            <v>1.1499999999999999</v>
          </cell>
          <cell r="H60">
            <v>1.1499999999999999</v>
          </cell>
          <cell r="I60">
            <v>1.1499999999999999</v>
          </cell>
          <cell r="J60">
            <v>1.1499999999999999</v>
          </cell>
          <cell r="K60">
            <v>1.1499999999999999</v>
          </cell>
          <cell r="L60">
            <v>1.1499999999999999</v>
          </cell>
          <cell r="M60">
            <v>1.1499999999999999</v>
          </cell>
          <cell r="N60">
            <v>1.1499999999999999</v>
          </cell>
          <cell r="O60">
            <v>1.1499999999999999</v>
          </cell>
          <cell r="P60">
            <v>1.1499999999999999</v>
          </cell>
          <cell r="R60" t="str">
            <v>N.A.</v>
          </cell>
          <cell r="S60" t="str">
            <v>N.A.</v>
          </cell>
          <cell r="T60" t="str">
            <v>N.A.</v>
          </cell>
          <cell r="U60">
            <v>1.1499999999999999</v>
          </cell>
          <cell r="V60">
            <v>1.1218217124735728</v>
          </cell>
          <cell r="W60">
            <v>1.0010482661227296</v>
          </cell>
          <cell r="X60">
            <v>2.817828752642737E-2</v>
          </cell>
          <cell r="Y60">
            <v>0.14895173387727056</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T61" t="str">
            <v>N.A.</v>
          </cell>
          <cell r="U61">
            <v>0.46500000000000002</v>
          </cell>
          <cell r="V61">
            <v>0.46223791535039105</v>
          </cell>
          <cell r="W61">
            <v>0.45757851935664356</v>
          </cell>
          <cell r="X61">
            <v>2.7620846496090867E-3</v>
          </cell>
          <cell r="Y61">
            <v>7.4214806433565705E-3</v>
          </cell>
        </row>
        <row r="62">
          <cell r="B62" t="str">
            <v>Direct Payroll : Net Box</v>
          </cell>
          <cell r="C62" t="str">
            <v>N.A.</v>
          </cell>
          <cell r="E62">
            <v>8.696563123016382E-2</v>
          </cell>
          <cell r="F62">
            <v>8.5627698442007447E-2</v>
          </cell>
          <cell r="G62">
            <v>6.7411523567154075E-2</v>
          </cell>
          <cell r="H62">
            <v>8.696563123016382E-2</v>
          </cell>
          <cell r="I62">
            <v>8.1850005863683586E-2</v>
          </cell>
          <cell r="J62">
            <v>5.9687286491751E-2</v>
          </cell>
          <cell r="K62">
            <v>8.6141291765703842E-2</v>
          </cell>
          <cell r="L62">
            <v>7.5804336753819382E-2</v>
          </cell>
          <cell r="M62">
            <v>6.8817698364871366E-2</v>
          </cell>
          <cell r="N62">
            <v>8.8833207133382094E-2</v>
          </cell>
          <cell r="O62">
            <v>6.9636956678738871E-2</v>
          </cell>
          <cell r="P62">
            <v>7.5967589104078775E-2</v>
          </cell>
          <cell r="R62" t="str">
            <v>N.A.</v>
          </cell>
          <cell r="S62" t="str">
            <v>N.A.</v>
          </cell>
          <cell r="T62" t="str">
            <v>N.A.</v>
          </cell>
          <cell r="U62">
            <v>7.6514725032463274E-2</v>
          </cell>
          <cell r="V62">
            <v>9.465716497864976E-2</v>
          </cell>
          <cell r="W62">
            <v>9.4836818503863871E-2</v>
          </cell>
          <cell r="X62">
            <v>-1.8142439946186487E-2</v>
          </cell>
          <cell r="Y62">
            <v>-1.8322093471400597E-2</v>
          </cell>
        </row>
        <row r="63">
          <cell r="B63" t="str">
            <v>Direct Payroll : Net Box &amp; Conc.</v>
          </cell>
          <cell r="C63" t="str">
            <v>N.A.</v>
          </cell>
          <cell r="E63">
            <v>7.4225443215553841E-2</v>
          </cell>
          <cell r="F63">
            <v>7.3083513319929932E-2</v>
          </cell>
          <cell r="G63">
            <v>5.7535950050946791E-2</v>
          </cell>
          <cell r="H63">
            <v>7.4225443215553841E-2</v>
          </cell>
          <cell r="I63">
            <v>6.9859240673462442E-2</v>
          </cell>
          <cell r="J63">
            <v>5.094328910760914E-2</v>
          </cell>
          <cell r="K63">
            <v>7.3521866857352319E-2</v>
          </cell>
          <cell r="L63">
            <v>6.4699242834470053E-2</v>
          </cell>
          <cell r="M63">
            <v>5.8736124719062185E-2</v>
          </cell>
          <cell r="N63">
            <v>7.5819425196644585E-2</v>
          </cell>
          <cell r="O63">
            <v>5.9435364299051011E-2</v>
          </cell>
          <cell r="P63">
            <v>6.4838579235328389E-2</v>
          </cell>
          <cell r="Q63" t="str">
            <v/>
          </cell>
          <cell r="R63" t="str">
            <v>N.A.</v>
          </cell>
          <cell r="S63" t="str">
            <v>N.A.</v>
          </cell>
          <cell r="T63" t="str">
            <v>N.A.</v>
          </cell>
          <cell r="U63">
            <v>6.5305561492675662E-2</v>
          </cell>
          <cell r="V63">
            <v>8.1037310083955316E-2</v>
          </cell>
          <cell r="W63">
            <v>8.2642483423797417E-2</v>
          </cell>
          <cell r="X63">
            <v>-1.5731748591279654E-2</v>
          </cell>
          <cell r="Y63">
            <v>-1.7336921931121754E-2</v>
          </cell>
        </row>
        <row r="64">
          <cell r="B64" t="str">
            <v>Direct Payroll of Admissions (S$)</v>
          </cell>
          <cell r="C64" t="str">
            <v>N.A.</v>
          </cell>
          <cell r="E64">
            <v>0.58266972924209759</v>
          </cell>
          <cell r="F64">
            <v>0.57370557956144996</v>
          </cell>
          <cell r="G64">
            <v>0.4516572078999323</v>
          </cell>
          <cell r="H64">
            <v>0.58266972924209759</v>
          </cell>
          <cell r="I64">
            <v>0.5483950392866801</v>
          </cell>
          <cell r="J64">
            <v>0.39990481949473172</v>
          </cell>
          <cell r="K64">
            <v>0.57714665483021577</v>
          </cell>
          <cell r="L64">
            <v>0.50788905625058989</v>
          </cell>
          <cell r="M64">
            <v>0.46107857904463811</v>
          </cell>
          <cell r="N64">
            <v>0.59518248779366001</v>
          </cell>
          <cell r="O64">
            <v>0.46656760974755052</v>
          </cell>
          <cell r="P64">
            <v>0.50898284699732776</v>
          </cell>
          <cell r="Q64" t="str">
            <v/>
          </cell>
          <cell r="R64" t="str">
            <v>N.A.</v>
          </cell>
          <cell r="S64" t="str">
            <v>N.A.</v>
          </cell>
          <cell r="T64" t="str">
            <v>N.A.</v>
          </cell>
          <cell r="U64">
            <v>0.5126486577175039</v>
          </cell>
          <cell r="V64">
            <v>0.6318149101479914</v>
          </cell>
          <cell r="W64">
            <v>0.64339432925354589</v>
          </cell>
          <cell r="X64">
            <v>-0.11916625243048751</v>
          </cell>
          <cell r="Y64">
            <v>-0.130745671536042</v>
          </cell>
        </row>
        <row r="65">
          <cell r="B65" t="str">
            <v>Gross Margin :Total Rev</v>
          </cell>
          <cell r="C65" t="str">
            <v>N.A.</v>
          </cell>
          <cell r="E65">
            <v>0.51913141651471495</v>
          </cell>
          <cell r="F65">
            <v>0.51961597713912144</v>
          </cell>
          <cell r="G65">
            <v>0.52550340585611011</v>
          </cell>
          <cell r="H65">
            <v>0.51913141651471495</v>
          </cell>
          <cell r="I65">
            <v>0.52099037704632511</v>
          </cell>
          <cell r="J65">
            <v>0.52851147339323601</v>
          </cell>
          <cell r="K65">
            <v>0.51865702019789439</v>
          </cell>
          <cell r="L65">
            <v>0.52252840030150549</v>
          </cell>
          <cell r="M65">
            <v>0.52437420320356798</v>
          </cell>
          <cell r="N65">
            <v>0.51766024033559277</v>
          </cell>
          <cell r="O65">
            <v>0.52405137366073251</v>
          </cell>
          <cell r="P65">
            <v>0.5215720145960494</v>
          </cell>
          <cell r="Q65" t="str">
            <v/>
          </cell>
          <cell r="R65" t="str">
            <v>N.A.</v>
          </cell>
          <cell r="S65" t="str">
            <v>N.A.</v>
          </cell>
          <cell r="T65" t="str">
            <v>N.A.</v>
          </cell>
          <cell r="U65">
            <v>0.52221144042446177</v>
          </cell>
          <cell r="V65">
            <v>0.50757067715718873</v>
          </cell>
          <cell r="W65">
            <v>0.48667705205638573</v>
          </cell>
          <cell r="X65">
            <v>1.4640763267273038E-2</v>
          </cell>
          <cell r="Y65">
            <v>3.5534388368076042E-2</v>
          </cell>
        </row>
        <row r="66">
          <cell r="B66" t="str">
            <v>G&amp;A % of total revenue</v>
          </cell>
          <cell r="C66" t="str">
            <v>N.A.</v>
          </cell>
          <cell r="E66">
            <v>4.0747851348168232E-2</v>
          </cell>
          <cell r="F66">
            <v>4.0167848069240848E-2</v>
          </cell>
          <cell r="G66">
            <v>3.103876583677689E-2</v>
          </cell>
          <cell r="H66">
            <v>4.0747116510116199E-2</v>
          </cell>
          <cell r="I66">
            <v>4.2556379091456709E-2</v>
          </cell>
          <cell r="J66">
            <v>2.789458088385818E-2</v>
          </cell>
          <cell r="K66">
            <v>3.9619118076554126E-2</v>
          </cell>
          <cell r="L66">
            <v>3.8294007738280803E-2</v>
          </cell>
          <cell r="M66">
            <v>3.1302290126943404E-2</v>
          </cell>
          <cell r="N66">
            <v>4.0433208695040954E-2</v>
          </cell>
          <cell r="O66">
            <v>3.165265344517619E-2</v>
          </cell>
          <cell r="P66">
            <v>3.4066736336711187E-2</v>
          </cell>
          <cell r="Q66" t="str">
            <v/>
          </cell>
          <cell r="R66" t="e">
            <v>#DIV/0!</v>
          </cell>
          <cell r="S66" t="e">
            <v>#DIV/0!</v>
          </cell>
          <cell r="T66" t="e">
            <v>#DIV/0!</v>
          </cell>
          <cell r="U66">
            <v>3.5938069637351466E-2</v>
          </cell>
          <cell r="V66">
            <v>4.2514463242320666E-2</v>
          </cell>
          <cell r="W66">
            <v>4.0069759232523219E-2</v>
          </cell>
          <cell r="X66">
            <v>-6.5763936049691996E-3</v>
          </cell>
          <cell r="Y66">
            <v>-4.131689595171753E-3</v>
          </cell>
        </row>
        <row r="67">
          <cell r="B67" t="str">
            <v>E.B.I.T.D. : Total Rev</v>
          </cell>
          <cell r="C67" t="str">
            <v>N.A.</v>
          </cell>
          <cell r="E67">
            <v>0.38774496563927724</v>
          </cell>
          <cell r="F67">
            <v>0.39009806440662409</v>
          </cell>
          <cell r="G67">
            <v>0.35446446535006276</v>
          </cell>
          <cell r="H67">
            <v>0.37856022482699186</v>
          </cell>
          <cell r="I67">
            <v>0.39273871271100408</v>
          </cell>
          <cell r="J67">
            <v>0.43859845560640931</v>
          </cell>
          <cell r="K67">
            <v>0.39094024975378727</v>
          </cell>
          <cell r="L67">
            <v>0.40600549121130741</v>
          </cell>
          <cell r="M67">
            <v>0.42350217121881928</v>
          </cell>
          <cell r="N67">
            <v>0.38658843211328231</v>
          </cell>
          <cell r="O67">
            <v>0.42205029138286676</v>
          </cell>
          <cell r="P67">
            <v>0.41117646549780068</v>
          </cell>
          <cell r="Q67" t="str">
            <v/>
          </cell>
          <cell r="R67" t="str">
            <v>N.A.</v>
          </cell>
          <cell r="S67" t="str">
            <v>N.A.</v>
          </cell>
          <cell r="T67" t="str">
            <v>N.A.</v>
          </cell>
          <cell r="U67">
            <v>0.40680684066050748</v>
          </cell>
          <cell r="V67">
            <v>0.38190177083832461</v>
          </cell>
          <cell r="W67">
            <v>0.37075528718394235</v>
          </cell>
          <cell r="X67">
            <v>2.4905069822182879E-2</v>
          </cell>
          <cell r="Y67">
            <v>3.6051553476565135E-2</v>
          </cell>
        </row>
        <row r="68">
          <cell r="B68" t="str">
            <v>No of Concession Transactions</v>
          </cell>
          <cell r="E68">
            <v>18</v>
          </cell>
          <cell r="F68">
            <v>18</v>
          </cell>
          <cell r="G68">
            <v>24</v>
          </cell>
          <cell r="H68">
            <v>17</v>
          </cell>
          <cell r="I68">
            <v>20</v>
          </cell>
          <cell r="J68">
            <v>26</v>
          </cell>
          <cell r="K68">
            <v>18</v>
          </cell>
          <cell r="L68">
            <v>20</v>
          </cell>
          <cell r="M68">
            <v>25</v>
          </cell>
          <cell r="N68">
            <v>18</v>
          </cell>
          <cell r="O68">
            <v>24</v>
          </cell>
          <cell r="P68">
            <v>28</v>
          </cell>
          <cell r="Q68" t="str">
            <v/>
          </cell>
          <cell r="R68">
            <v>30.731000000000002</v>
          </cell>
          <cell r="S68">
            <v>31.731000000000002</v>
          </cell>
          <cell r="T68">
            <v>32.731000000000002</v>
          </cell>
          <cell r="U68">
            <v>256</v>
          </cell>
          <cell r="V68">
            <v>240</v>
          </cell>
          <cell r="W68">
            <v>0</v>
          </cell>
          <cell r="X68">
            <v>16</v>
          </cell>
          <cell r="Y68">
            <v>256</v>
          </cell>
        </row>
        <row r="69">
          <cell r="B69" t="str">
            <v>Strike Rate %(No of Trans/Adm)</v>
          </cell>
          <cell r="E69">
            <v>0.28125</v>
          </cell>
          <cell r="F69">
            <v>0.27692307692307694</v>
          </cell>
          <cell r="G69">
            <v>0.28235294117647058</v>
          </cell>
          <cell r="H69">
            <v>0.265625</v>
          </cell>
          <cell r="I69">
            <v>0.29411764705882354</v>
          </cell>
          <cell r="J69">
            <v>0.27083333333333331</v>
          </cell>
          <cell r="K69">
            <v>0.27272727272727271</v>
          </cell>
          <cell r="L69">
            <v>0.26666666666666666</v>
          </cell>
          <cell r="M69">
            <v>0.29411764705882354</v>
          </cell>
          <cell r="N69">
            <v>0.28125</v>
          </cell>
          <cell r="O69">
            <v>0.2857142857142857</v>
          </cell>
          <cell r="P69">
            <v>0.36363636363636365</v>
          </cell>
          <cell r="Q69" t="str">
            <v/>
          </cell>
          <cell r="R69" t="e">
            <v>#DIV/0!</v>
          </cell>
          <cell r="S69" t="e">
            <v>#DIV/0!</v>
          </cell>
          <cell r="T69" t="e">
            <v>#DIV/0!</v>
          </cell>
          <cell r="U69">
            <v>0.28667413213885778</v>
          </cell>
          <cell r="V69">
            <v>0.2536997885835095</v>
          </cell>
          <cell r="W69">
            <v>0</v>
          </cell>
          <cell r="X69">
            <v>3.2974343555348284E-2</v>
          </cell>
          <cell r="Y69">
            <v>0.28667413213885778</v>
          </cell>
        </row>
        <row r="70">
          <cell r="B70" t="str">
            <v>Ave Sales (Total Sale/No of Trans) (S$)</v>
          </cell>
          <cell r="E70">
            <v>4.0888888888888886</v>
          </cell>
          <cell r="F70">
            <v>4.1527777777777777</v>
          </cell>
          <cell r="G70">
            <v>4.0729166666666661</v>
          </cell>
          <cell r="H70">
            <v>4.3294117647058821</v>
          </cell>
          <cell r="I70">
            <v>3.91</v>
          </cell>
          <cell r="J70">
            <v>4.2461538461538462</v>
          </cell>
          <cell r="K70">
            <v>4.2166666666666659</v>
          </cell>
          <cell r="L70">
            <v>4.3125</v>
          </cell>
          <cell r="M70">
            <v>3.91</v>
          </cell>
          <cell r="N70">
            <v>4.0888888888888886</v>
          </cell>
          <cell r="O70">
            <v>4.0250000000000004</v>
          </cell>
          <cell r="P70">
            <v>3.1625000000000001</v>
          </cell>
          <cell r="Q70" t="str">
            <v/>
          </cell>
          <cell r="R70">
            <v>0</v>
          </cell>
          <cell r="S70">
            <v>0</v>
          </cell>
          <cell r="T70">
            <v>0</v>
          </cell>
          <cell r="U70">
            <v>4.0115234375000002</v>
          </cell>
          <cell r="V70">
            <v>4.421847249999999</v>
          </cell>
          <cell r="W70" t="str">
            <v>N.A.</v>
          </cell>
          <cell r="X70">
            <v>-0.41032381249999883</v>
          </cell>
          <cell r="Y70" t="str">
            <v>N.A.</v>
          </cell>
        </row>
        <row r="71">
          <cell r="B71" t="str">
            <v xml:space="preserve">Total Concession Combo Sales </v>
          </cell>
          <cell r="E71">
            <v>38</v>
          </cell>
          <cell r="F71">
            <v>40</v>
          </cell>
          <cell r="G71">
            <v>55</v>
          </cell>
          <cell r="H71">
            <v>37</v>
          </cell>
          <cell r="I71">
            <v>38</v>
          </cell>
          <cell r="J71">
            <v>53</v>
          </cell>
          <cell r="K71">
            <v>37</v>
          </cell>
          <cell r="L71">
            <v>40</v>
          </cell>
          <cell r="M71">
            <v>51</v>
          </cell>
          <cell r="N71">
            <v>36</v>
          </cell>
          <cell r="O71">
            <v>50</v>
          </cell>
          <cell r="P71">
            <v>51</v>
          </cell>
          <cell r="Q71" t="str">
            <v/>
          </cell>
          <cell r="R71">
            <v>74.369</v>
          </cell>
          <cell r="S71">
            <v>75.369</v>
          </cell>
          <cell r="T71">
            <v>76.369</v>
          </cell>
          <cell r="U71">
            <v>526</v>
          </cell>
          <cell r="V71">
            <v>522</v>
          </cell>
          <cell r="W71">
            <v>0</v>
          </cell>
          <cell r="X71">
            <v>4</v>
          </cell>
          <cell r="Y71">
            <v>526</v>
          </cell>
        </row>
        <row r="72">
          <cell r="B72" t="str">
            <v>Combo Sales as % of Total Sales</v>
          </cell>
          <cell r="E72">
            <v>0.51630434782608703</v>
          </cell>
          <cell r="F72">
            <v>0.53511705685618727</v>
          </cell>
          <cell r="G72">
            <v>0.56265984654731471</v>
          </cell>
          <cell r="H72">
            <v>0.50271739130434789</v>
          </cell>
          <cell r="I72">
            <v>0.48593350383631723</v>
          </cell>
          <cell r="J72">
            <v>0.48007246376811596</v>
          </cell>
          <cell r="K72">
            <v>0.48748353096179187</v>
          </cell>
          <cell r="L72">
            <v>0.46376811594202899</v>
          </cell>
          <cell r="M72">
            <v>0.52173913043478271</v>
          </cell>
          <cell r="N72">
            <v>0.48913043478260876</v>
          </cell>
          <cell r="O72">
            <v>0.51759834368530022</v>
          </cell>
          <cell r="P72">
            <v>0.57594579333709772</v>
          </cell>
          <cell r="Q72" t="str">
            <v/>
          </cell>
          <cell r="R72" t="e">
            <v>#DIV/0!</v>
          </cell>
          <cell r="S72" t="e">
            <v>#DIV/0!</v>
          </cell>
          <cell r="T72" t="e">
            <v>#DIV/0!</v>
          </cell>
          <cell r="U72">
            <v>0.51219630946005157</v>
          </cell>
          <cell r="V72">
            <v>0.4918758783447349</v>
          </cell>
          <cell r="W72">
            <v>0</v>
          </cell>
          <cell r="X72">
            <v>2.0320431115316673E-2</v>
          </cell>
          <cell r="Y72">
            <v>0.51219630946005157</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Q73" t="str">
            <v/>
          </cell>
          <cell r="R73">
            <v>4.5520000000000005</v>
          </cell>
          <cell r="S73">
            <v>4.5520000000000005</v>
          </cell>
          <cell r="T73">
            <v>4.5520000000000005</v>
          </cell>
          <cell r="U73">
            <v>81.075000000000003</v>
          </cell>
          <cell r="V73">
            <v>75</v>
          </cell>
          <cell r="W73">
            <v>0</v>
          </cell>
          <cell r="X73">
            <v>6.0750000000000002</v>
          </cell>
          <cell r="Y73">
            <v>81.075000000000003</v>
          </cell>
        </row>
        <row r="74">
          <cell r="B74" t="str">
            <v>Admissions/labour hour paid</v>
          </cell>
          <cell r="E74">
            <v>10.503856884949943</v>
          </cell>
          <cell r="F74">
            <v>10.833333333333334</v>
          </cell>
          <cell r="G74">
            <v>10.758131882040248</v>
          </cell>
          <cell r="H74">
            <v>10.503856884949943</v>
          </cell>
          <cell r="I74">
            <v>11.333333333333334</v>
          </cell>
          <cell r="J74">
            <v>12.150360713833692</v>
          </cell>
          <cell r="K74">
            <v>10.832102412604629</v>
          </cell>
          <cell r="L74">
            <v>12.5</v>
          </cell>
          <cell r="M74">
            <v>10.758131882040248</v>
          </cell>
          <cell r="N74">
            <v>10.503856884949943</v>
          </cell>
          <cell r="O74">
            <v>10.5</v>
          </cell>
          <cell r="P74">
            <v>11</v>
          </cell>
          <cell r="Q74" t="str">
            <v/>
          </cell>
          <cell r="R74">
            <v>0</v>
          </cell>
          <cell r="S74">
            <v>0</v>
          </cell>
          <cell r="T74">
            <v>0</v>
          </cell>
          <cell r="U74">
            <v>11.014492753623188</v>
          </cell>
          <cell r="V74">
            <v>12.613333333333333</v>
          </cell>
          <cell r="W74" t="str">
            <v>N.A.</v>
          </cell>
          <cell r="X74">
            <v>-1.5988405797101457</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47.739530000000002</v>
          </cell>
          <cell r="W77">
            <v>3.8690000000000002</v>
          </cell>
          <cell r="X77">
            <v>-20.552030000000002</v>
          </cell>
          <cell r="Y77">
            <v>23.3185</v>
          </cell>
        </row>
        <row r="78">
          <cell r="A78">
            <v>53</v>
          </cell>
          <cell r="B78" t="str">
            <v>Auditorium Rentals</v>
          </cell>
          <cell r="E78">
            <v>4</v>
          </cell>
          <cell r="F78">
            <v>4</v>
          </cell>
          <cell r="G78">
            <v>4</v>
          </cell>
          <cell r="H78">
            <v>4</v>
          </cell>
          <cell r="I78">
            <v>4</v>
          </cell>
          <cell r="J78">
            <v>4</v>
          </cell>
          <cell r="K78">
            <v>4</v>
          </cell>
          <cell r="L78">
            <v>4</v>
          </cell>
          <cell r="M78">
            <v>4</v>
          </cell>
          <cell r="N78">
            <v>4</v>
          </cell>
          <cell r="O78">
            <v>4</v>
          </cell>
          <cell r="P78">
            <v>4</v>
          </cell>
          <cell r="T78">
            <v>0</v>
          </cell>
          <cell r="U78">
            <v>48</v>
          </cell>
          <cell r="V78">
            <v>45.44</v>
          </cell>
          <cell r="W78">
            <v>22.137</v>
          </cell>
          <cell r="X78">
            <v>2.56</v>
          </cell>
          <cell r="Y78">
            <v>25.863</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47.39</v>
          </cell>
          <cell r="W82">
            <v>53.447000000000003</v>
          </cell>
          <cell r="X82">
            <v>-9.3260000000000005</v>
          </cell>
          <cell r="Y82">
            <v>-15.383000000000003</v>
          </cell>
        </row>
        <row r="83">
          <cell r="C83">
            <v>0</v>
          </cell>
          <cell r="E83">
            <v>9.4376250000000006</v>
          </cell>
          <cell r="F83">
            <v>9.4376250000000006</v>
          </cell>
          <cell r="G83">
            <v>9.4376250000000006</v>
          </cell>
          <cell r="H83">
            <v>9.4376250000000006</v>
          </cell>
          <cell r="I83">
            <v>9.4376250000000006</v>
          </cell>
          <cell r="J83">
            <v>9.4376250000000006</v>
          </cell>
          <cell r="K83">
            <v>9.4376250000000006</v>
          </cell>
          <cell r="L83">
            <v>9.4376250000000006</v>
          </cell>
          <cell r="M83">
            <v>9.4376250000000006</v>
          </cell>
          <cell r="N83">
            <v>9.4376250000000006</v>
          </cell>
          <cell r="O83">
            <v>9.4376250000000006</v>
          </cell>
          <cell r="P83">
            <v>9.4376250000000006</v>
          </cell>
          <cell r="R83">
            <v>0</v>
          </cell>
          <cell r="S83">
            <v>0</v>
          </cell>
          <cell r="T83">
            <v>0</v>
          </cell>
          <cell r="U83">
            <v>113.25149999999999</v>
          </cell>
          <cell r="V83">
            <v>140.56952999999999</v>
          </cell>
          <cell r="W83">
            <v>79.453000000000003</v>
          </cell>
          <cell r="X83">
            <v>-27.318029999999993</v>
          </cell>
          <cell r="Y83">
            <v>33.79849999999999</v>
          </cell>
        </row>
        <row r="84">
          <cell r="X84" t="str">
            <v/>
          </cell>
          <cell r="Y84" t="str">
            <v/>
          </cell>
        </row>
        <row r="85">
          <cell r="B85" t="str">
            <v>10 Other Cost</v>
          </cell>
          <cell r="X85" t="str">
            <v/>
          </cell>
          <cell r="Y85" t="str">
            <v/>
          </cell>
        </row>
        <row r="86">
          <cell r="A86">
            <v>61</v>
          </cell>
          <cell r="B86" t="str">
            <v>Authors Rights</v>
          </cell>
          <cell r="E86">
            <v>0.85760000000000003</v>
          </cell>
          <cell r="F86">
            <v>0.871</v>
          </cell>
          <cell r="G86">
            <v>1.139</v>
          </cell>
          <cell r="H86">
            <v>0.85760000000000003</v>
          </cell>
          <cell r="I86">
            <v>0.91120000000000001</v>
          </cell>
          <cell r="J86">
            <v>1.2864000000000002</v>
          </cell>
          <cell r="K86">
            <v>0.88439999999999996</v>
          </cell>
          <cell r="L86">
            <v>1.0049999999999999</v>
          </cell>
          <cell r="M86">
            <v>1.139</v>
          </cell>
          <cell r="N86">
            <v>0.85760000000000003</v>
          </cell>
          <cell r="O86">
            <v>1.1256000000000002</v>
          </cell>
          <cell r="P86">
            <v>1.0318000000000001</v>
          </cell>
          <cell r="U86">
            <v>11.966200000000001</v>
          </cell>
          <cell r="V86">
            <v>12.628666939999997</v>
          </cell>
          <cell r="W86">
            <v>17.448117999999997</v>
          </cell>
          <cell r="X86">
            <v>-0.66246693999999628</v>
          </cell>
          <cell r="Y86">
            <v>-5.4819179999999967</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0.85760000000000003</v>
          </cell>
          <cell r="F91">
            <v>0.871</v>
          </cell>
          <cell r="G91">
            <v>1.139</v>
          </cell>
          <cell r="H91">
            <v>0.85760000000000003</v>
          </cell>
          <cell r="I91">
            <v>0.91120000000000001</v>
          </cell>
          <cell r="J91">
            <v>1.2864000000000002</v>
          </cell>
          <cell r="K91">
            <v>0.88439999999999996</v>
          </cell>
          <cell r="L91">
            <v>1.0049999999999999</v>
          </cell>
          <cell r="M91">
            <v>1.139</v>
          </cell>
          <cell r="N91">
            <v>0.85760000000000003</v>
          </cell>
          <cell r="O91">
            <v>1.1256000000000002</v>
          </cell>
          <cell r="P91">
            <v>1.0318000000000001</v>
          </cell>
          <cell r="U91">
            <v>11.966200000000001</v>
          </cell>
          <cell r="V91">
            <v>12.628666939999997</v>
          </cell>
          <cell r="W91">
            <v>17.448117999999997</v>
          </cell>
          <cell r="X91">
            <v>-0.66246693999999628</v>
          </cell>
          <cell r="Y91">
            <v>-5.4819179999999967</v>
          </cell>
        </row>
        <row r="92">
          <cell r="X92" t="str">
            <v/>
          </cell>
          <cell r="Y92" t="str">
            <v/>
          </cell>
        </row>
        <row r="93">
          <cell r="B93" t="str">
            <v>11 Direct Payroll</v>
          </cell>
          <cell r="X93" t="str">
            <v/>
          </cell>
          <cell r="Y93" t="str">
            <v/>
          </cell>
        </row>
        <row r="94">
          <cell r="A94">
            <v>66</v>
          </cell>
          <cell r="B94" t="str">
            <v>Salaries</v>
          </cell>
          <cell r="E94">
            <v>34.256723504827583</v>
          </cell>
          <cell r="F94">
            <v>34.256723504827583</v>
          </cell>
          <cell r="G94">
            <v>35.356723504827585</v>
          </cell>
          <cell r="H94">
            <v>34.256723504827583</v>
          </cell>
          <cell r="I94">
            <v>34.256723504827583</v>
          </cell>
          <cell r="J94">
            <v>35.356723504827585</v>
          </cell>
          <cell r="K94">
            <v>35.057540052127578</v>
          </cell>
          <cell r="L94">
            <v>35.057540052127578</v>
          </cell>
          <cell r="M94">
            <v>36.15754005212758</v>
          </cell>
          <cell r="N94">
            <v>35.057540052127578</v>
          </cell>
          <cell r="O94">
            <v>36.15754005212758</v>
          </cell>
          <cell r="P94">
            <v>36.15754005212758</v>
          </cell>
          <cell r="Q94" t="str">
            <v/>
          </cell>
          <cell r="T94">
            <v>0</v>
          </cell>
          <cell r="U94">
            <v>421.38558134173093</v>
          </cell>
          <cell r="V94">
            <v>547.94183499999997</v>
          </cell>
          <cell r="W94">
            <v>730.81500000000005</v>
          </cell>
          <cell r="X94">
            <v>-126.55625365826904</v>
          </cell>
          <cell r="Y94">
            <v>-309.42941865826913</v>
          </cell>
        </row>
        <row r="95">
          <cell r="A95">
            <v>67</v>
          </cell>
          <cell r="B95" t="str">
            <v>Bonus/Commission</v>
          </cell>
          <cell r="E95">
            <v>1.6967391666666665</v>
          </cell>
          <cell r="F95">
            <v>1.6967391666666665</v>
          </cell>
          <cell r="G95">
            <v>1.6967391666666665</v>
          </cell>
          <cell r="H95">
            <v>1.6967391666666665</v>
          </cell>
          <cell r="I95">
            <v>1.6967391666666665</v>
          </cell>
          <cell r="J95">
            <v>1.6967391666666665</v>
          </cell>
          <cell r="K95">
            <v>1.6967391666666665</v>
          </cell>
          <cell r="L95">
            <v>1.6967391666666665</v>
          </cell>
          <cell r="M95">
            <v>1.6967391666666665</v>
          </cell>
          <cell r="N95">
            <v>1.6967391666666665</v>
          </cell>
          <cell r="O95">
            <v>1.6967391666666665</v>
          </cell>
          <cell r="P95">
            <v>1.6967391666666665</v>
          </cell>
          <cell r="Q95" t="str">
            <v/>
          </cell>
          <cell r="T95">
            <v>0</v>
          </cell>
          <cell r="U95">
            <v>20.360870000000002</v>
          </cell>
          <cell r="V95">
            <v>29.305899999999998</v>
          </cell>
          <cell r="W95">
            <v>53.343000000000004</v>
          </cell>
          <cell r="X95">
            <v>-8.9450299999999956</v>
          </cell>
          <cell r="Y95">
            <v>-32.982129999999998</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Q96" t="str">
            <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Q97" t="str">
            <v/>
          </cell>
          <cell r="T97">
            <v>0</v>
          </cell>
          <cell r="U97">
            <v>6.6360000000000001</v>
          </cell>
          <cell r="V97">
            <v>10.023599999999998</v>
          </cell>
          <cell r="W97">
            <v>28.282</v>
          </cell>
          <cell r="X97">
            <v>-3.3875999999999982</v>
          </cell>
          <cell r="Y97">
            <v>-21.646000000000001</v>
          </cell>
        </row>
        <row r="98">
          <cell r="A98">
            <v>70</v>
          </cell>
          <cell r="B98" t="str">
            <v>Miscellaneous</v>
          </cell>
          <cell r="E98">
            <v>0.78439999999999999</v>
          </cell>
          <cell r="F98">
            <v>0.78439999999999999</v>
          </cell>
          <cell r="G98">
            <v>0.78439999999999999</v>
          </cell>
          <cell r="H98">
            <v>0.78439999999999999</v>
          </cell>
          <cell r="I98">
            <v>0.78439999999999999</v>
          </cell>
          <cell r="J98">
            <v>0.78439999999999999</v>
          </cell>
          <cell r="K98">
            <v>0.78439999999999999</v>
          </cell>
          <cell r="L98">
            <v>0.78439999999999999</v>
          </cell>
          <cell r="M98">
            <v>0.78439999999999999</v>
          </cell>
          <cell r="N98">
            <v>0.78439999999999999</v>
          </cell>
          <cell r="O98">
            <v>0.78439999999999999</v>
          </cell>
          <cell r="P98">
            <v>0.78439999999999999</v>
          </cell>
          <cell r="Q98" t="str">
            <v/>
          </cell>
          <cell r="T98">
            <v>0</v>
          </cell>
          <cell r="U98">
            <v>9.4127999999999989</v>
          </cell>
          <cell r="V98">
            <v>10.42557</v>
          </cell>
          <cell r="W98">
            <v>14.922000000000001</v>
          </cell>
          <cell r="X98">
            <v>-1.0127700000000015</v>
          </cell>
          <cell r="Y98">
            <v>-5.5092000000000017</v>
          </cell>
        </row>
        <row r="99">
          <cell r="C99">
            <v>0</v>
          </cell>
          <cell r="E99">
            <v>37.290862671494246</v>
          </cell>
          <cell r="F99">
            <v>37.290862671494246</v>
          </cell>
          <cell r="G99">
            <v>38.390862671494247</v>
          </cell>
          <cell r="H99">
            <v>37.290862671494246</v>
          </cell>
          <cell r="I99">
            <v>37.290862671494246</v>
          </cell>
          <cell r="J99">
            <v>38.390862671494247</v>
          </cell>
          <cell r="K99">
            <v>38.091679218794241</v>
          </cell>
          <cell r="L99">
            <v>38.091679218794241</v>
          </cell>
          <cell r="M99">
            <v>39.191679218794242</v>
          </cell>
          <cell r="N99">
            <v>38.091679218794241</v>
          </cell>
          <cell r="O99">
            <v>39.191679218794242</v>
          </cell>
          <cell r="P99">
            <v>39.191679218794242</v>
          </cell>
          <cell r="Q99" t="str">
            <v/>
          </cell>
          <cell r="R99">
            <v>0</v>
          </cell>
          <cell r="S99">
            <v>0</v>
          </cell>
          <cell r="T99">
            <v>0</v>
          </cell>
          <cell r="U99">
            <v>457.79525134173093</v>
          </cell>
          <cell r="V99">
            <v>597.6969049999999</v>
          </cell>
          <cell r="W99">
            <v>827.36200000000008</v>
          </cell>
          <cell r="X99">
            <v>-139.90165365826897</v>
          </cell>
          <cell r="Y99">
            <v>-369.56674865826915</v>
          </cell>
        </row>
        <row r="100">
          <cell r="Q100" t="str">
            <v/>
          </cell>
          <cell r="X100" t="str">
            <v/>
          </cell>
          <cell r="Y100" t="str">
            <v/>
          </cell>
        </row>
        <row r="101">
          <cell r="B101" t="str">
            <v>16 Other Overhead Costs</v>
          </cell>
          <cell r="Q101" t="str">
            <v/>
          </cell>
          <cell r="X101" t="str">
            <v/>
          </cell>
          <cell r="Y101" t="str">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Q102" t="str">
            <v/>
          </cell>
          <cell r="T102">
            <v>0</v>
          </cell>
          <cell r="U102">
            <v>15.6</v>
          </cell>
          <cell r="V102">
            <v>15.299569999999996</v>
          </cell>
          <cell r="W102">
            <v>17.048999999999999</v>
          </cell>
          <cell r="X102">
            <v>0.30043000000000752</v>
          </cell>
          <cell r="Y102">
            <v>-1.4489999999999963</v>
          </cell>
        </row>
        <row r="103">
          <cell r="A103">
            <v>72</v>
          </cell>
          <cell r="B103" t="str">
            <v>Property Taxes</v>
          </cell>
          <cell r="E103">
            <v>4.0194000000000001</v>
          </cell>
          <cell r="F103">
            <v>4.0190000000000001</v>
          </cell>
          <cell r="G103">
            <v>4.0190000000000001</v>
          </cell>
          <cell r="H103">
            <v>4.0190000000000001</v>
          </cell>
          <cell r="I103">
            <v>4.0190000000000001</v>
          </cell>
          <cell r="J103">
            <v>4.0190000000000001</v>
          </cell>
          <cell r="K103">
            <v>4.0190000000000001</v>
          </cell>
          <cell r="L103">
            <v>4.0190000000000001</v>
          </cell>
          <cell r="M103">
            <v>4.0190000000000001</v>
          </cell>
          <cell r="N103">
            <v>4.0190000000000001</v>
          </cell>
          <cell r="O103">
            <v>4.0190000000000001</v>
          </cell>
          <cell r="P103">
            <v>4.0190000000000001</v>
          </cell>
          <cell r="Q103" t="str">
            <v/>
          </cell>
          <cell r="T103">
            <v>0</v>
          </cell>
          <cell r="U103">
            <v>48.228399999999986</v>
          </cell>
          <cell r="V103">
            <v>48.228399999999986</v>
          </cell>
          <cell r="W103">
            <v>107.184</v>
          </cell>
          <cell r="X103">
            <v>0</v>
          </cell>
          <cell r="Y103">
            <v>-58.955600000000011</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20.267083333333332</v>
          </cell>
          <cell r="W104">
            <v>20.210999999999999</v>
          </cell>
          <cell r="X104">
            <v>3.732916666666668</v>
          </cell>
          <cell r="Y104">
            <v>3.7890000000000015</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12.994800000000001</v>
          </cell>
          <cell r="W105">
            <v>22.789000000000001</v>
          </cell>
          <cell r="X105">
            <v>-0.99480000000000146</v>
          </cell>
          <cell r="Y105">
            <v>-10.789000000000001</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2.9394600000000008</v>
          </cell>
          <cell r="W106">
            <v>0</v>
          </cell>
          <cell r="X106">
            <v>3.0605399999999992</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0.218</v>
          </cell>
          <cell r="F108">
            <v>0.218</v>
          </cell>
          <cell r="G108">
            <v>0.218</v>
          </cell>
          <cell r="H108">
            <v>0.218</v>
          </cell>
          <cell r="I108">
            <v>0.218</v>
          </cell>
          <cell r="J108">
            <v>0.218</v>
          </cell>
          <cell r="K108">
            <v>0.218</v>
          </cell>
          <cell r="L108">
            <v>0.218</v>
          </cell>
          <cell r="M108">
            <v>0.218</v>
          </cell>
          <cell r="N108">
            <v>0.218</v>
          </cell>
          <cell r="O108">
            <v>0.218</v>
          </cell>
          <cell r="P108">
            <v>0.218</v>
          </cell>
          <cell r="T108">
            <v>0</v>
          </cell>
          <cell r="U108">
            <v>2.6160000000000001</v>
          </cell>
          <cell r="V108">
            <v>5.9783652200000024</v>
          </cell>
          <cell r="W108">
            <v>21.227882000000005</v>
          </cell>
          <cell r="X108">
            <v>-3.3623652200000023</v>
          </cell>
          <cell r="Y108">
            <v>-18.611882000000005</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5.54528</v>
          </cell>
          <cell r="F111">
            <v>5.54528</v>
          </cell>
          <cell r="G111">
            <v>5.3664000000000005</v>
          </cell>
          <cell r="H111">
            <v>5.54528</v>
          </cell>
          <cell r="I111">
            <v>7.8664000000000005</v>
          </cell>
          <cell r="J111">
            <v>5.54528</v>
          </cell>
          <cell r="K111">
            <v>5.54528</v>
          </cell>
          <cell r="L111">
            <v>7.5086399999999998</v>
          </cell>
          <cell r="M111">
            <v>5.54528</v>
          </cell>
          <cell r="N111">
            <v>5.3664000000000005</v>
          </cell>
          <cell r="O111">
            <v>5.54528</v>
          </cell>
          <cell r="P111">
            <v>5.3664000000000005</v>
          </cell>
          <cell r="T111">
            <v>0</v>
          </cell>
          <cell r="U111">
            <v>70.291199999999989</v>
          </cell>
          <cell r="V111">
            <v>133.85639999999998</v>
          </cell>
          <cell r="W111">
            <v>139.471</v>
          </cell>
          <cell r="X111">
            <v>-63.56519999999999</v>
          </cell>
          <cell r="Y111">
            <v>-69.179800000000014</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56.679920000000003</v>
          </cell>
          <cell r="W112">
            <v>36.619</v>
          </cell>
          <cell r="X112">
            <v>-8.6799200000000027</v>
          </cell>
          <cell r="Y112">
            <v>11.381</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7.4699699999999982</v>
          </cell>
          <cell r="W113">
            <v>7.5039999999999996</v>
          </cell>
          <cell r="X113">
            <v>-0.26996999999999982</v>
          </cell>
          <cell r="Y113">
            <v>-0.30400000000000116</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0.60799999999999998</v>
          </cell>
          <cell r="W114">
            <v>6.2679999999999998</v>
          </cell>
          <cell r="X114">
            <v>1.7919999999999998</v>
          </cell>
          <cell r="Y114">
            <v>-3.8679999999999999</v>
          </cell>
        </row>
        <row r="115">
          <cell r="A115">
            <v>84</v>
          </cell>
          <cell r="B115" t="str">
            <v>Freight</v>
          </cell>
          <cell r="E115">
            <v>0.5</v>
          </cell>
          <cell r="F115">
            <v>0.5</v>
          </cell>
          <cell r="G115">
            <v>0.5</v>
          </cell>
          <cell r="H115">
            <v>0.5</v>
          </cell>
          <cell r="I115">
            <v>0.5</v>
          </cell>
          <cell r="J115">
            <v>0.5</v>
          </cell>
          <cell r="K115">
            <v>0.5</v>
          </cell>
          <cell r="L115">
            <v>0.5</v>
          </cell>
          <cell r="M115">
            <v>0.5</v>
          </cell>
          <cell r="N115">
            <v>0.5</v>
          </cell>
          <cell r="O115">
            <v>0.5</v>
          </cell>
          <cell r="P115">
            <v>0.5</v>
          </cell>
          <cell r="T115">
            <v>0</v>
          </cell>
          <cell r="U115">
            <v>6</v>
          </cell>
          <cell r="V115">
            <v>6.3080999999999996</v>
          </cell>
          <cell r="W115">
            <v>4.5119999999999996</v>
          </cell>
          <cell r="X115">
            <v>-0.3080999999999996</v>
          </cell>
          <cell r="Y115">
            <v>1.4880000000000004</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0.2</v>
          </cell>
          <cell r="F117">
            <v>0.2</v>
          </cell>
          <cell r="G117">
            <v>0.2</v>
          </cell>
          <cell r="H117">
            <v>0.2</v>
          </cell>
          <cell r="I117">
            <v>0.2</v>
          </cell>
          <cell r="J117">
            <v>0.2</v>
          </cell>
          <cell r="K117">
            <v>0.2</v>
          </cell>
          <cell r="L117">
            <v>0.2</v>
          </cell>
          <cell r="M117">
            <v>0.2</v>
          </cell>
          <cell r="N117">
            <v>0.2</v>
          </cell>
          <cell r="O117">
            <v>0.2</v>
          </cell>
          <cell r="P117">
            <v>0.2</v>
          </cell>
          <cell r="T117">
            <v>0</v>
          </cell>
          <cell r="U117">
            <v>2.4</v>
          </cell>
          <cell r="V117">
            <v>1.0617499999999997</v>
          </cell>
          <cell r="W117">
            <v>2.919</v>
          </cell>
          <cell r="X117">
            <v>1.3382500000000002</v>
          </cell>
          <cell r="Y117">
            <v>-0.51900000000000013</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0.49790862671494251</v>
          </cell>
          <cell r="F119">
            <v>0.49790862671494251</v>
          </cell>
          <cell r="G119">
            <v>0.50890862671494252</v>
          </cell>
          <cell r="H119">
            <v>0.49790862671494251</v>
          </cell>
          <cell r="I119">
            <v>0.49790862671494251</v>
          </cell>
          <cell r="J119">
            <v>0.50890862671494252</v>
          </cell>
          <cell r="K119">
            <v>0.5059167921879425</v>
          </cell>
          <cell r="L119">
            <v>0.5059167921879425</v>
          </cell>
          <cell r="M119">
            <v>0.51691679218794251</v>
          </cell>
          <cell r="N119">
            <v>0.5059167921879425</v>
          </cell>
          <cell r="O119">
            <v>0.51691679218794251</v>
          </cell>
          <cell r="P119">
            <v>0.51691679218794251</v>
          </cell>
          <cell r="T119">
            <v>0</v>
          </cell>
          <cell r="U119">
            <v>6.0779525134173102</v>
          </cell>
          <cell r="V119">
            <v>6.1970000000000001</v>
          </cell>
          <cell r="W119">
            <v>9.8239999999999998</v>
          </cell>
          <cell r="X119">
            <v>-0.11904748658268982</v>
          </cell>
          <cell r="Y119">
            <v>-3.7460474865826896</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1.17</v>
          </cell>
          <cell r="W124">
            <v>4.1609999999999978</v>
          </cell>
          <cell r="X124">
            <v>2.4300000000000002</v>
          </cell>
          <cell r="Y124">
            <v>-0.56099999999999861</v>
          </cell>
        </row>
        <row r="125">
          <cell r="C125">
            <v>0</v>
          </cell>
          <cell r="E125">
            <v>22.180588626714943</v>
          </cell>
          <cell r="F125">
            <v>22.180188626714941</v>
          </cell>
          <cell r="G125">
            <v>22.01230862671494</v>
          </cell>
          <cell r="H125">
            <v>22.180188626714941</v>
          </cell>
          <cell r="I125">
            <v>24.501308626714941</v>
          </cell>
          <cell r="J125">
            <v>22.19118862671494</v>
          </cell>
          <cell r="K125">
            <v>22.188196792187941</v>
          </cell>
          <cell r="L125">
            <v>24.151556792187943</v>
          </cell>
          <cell r="M125">
            <v>22.199196792187941</v>
          </cell>
          <cell r="N125">
            <v>22.009316792187942</v>
          </cell>
          <cell r="O125">
            <v>22.199196792187941</v>
          </cell>
          <cell r="P125">
            <v>22.020316792187941</v>
          </cell>
          <cell r="R125">
            <v>0</v>
          </cell>
          <cell r="S125">
            <v>0</v>
          </cell>
          <cell r="T125">
            <v>0</v>
          </cell>
          <cell r="U125">
            <v>270.01355251341732</v>
          </cell>
          <cell r="V125">
            <v>334.65881855333333</v>
          </cell>
          <cell r="W125">
            <v>415.33888200000001</v>
          </cell>
          <cell r="X125">
            <v>-64.64526603991601</v>
          </cell>
          <cell r="Y125">
            <v>-145.32532948658269</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T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F132" t="str">
            <v/>
          </cell>
          <cell r="T132">
            <v>0</v>
          </cell>
          <cell r="X132" t="str">
            <v/>
          </cell>
          <cell r="Y132" t="str">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30" refreshError="1">
        <row r="11">
          <cell r="A11">
            <v>1</v>
          </cell>
          <cell r="B11" t="str">
            <v>Net Film Revenue</v>
          </cell>
          <cell r="E11">
            <v>377.34</v>
          </cell>
          <cell r="F11">
            <v>397.2</v>
          </cell>
          <cell r="G11">
            <v>463.4</v>
          </cell>
          <cell r="H11">
            <v>383.96</v>
          </cell>
          <cell r="I11">
            <v>410.44</v>
          </cell>
          <cell r="J11">
            <v>562.70000000000005</v>
          </cell>
          <cell r="K11">
            <v>383.96</v>
          </cell>
          <cell r="L11">
            <v>410.44</v>
          </cell>
          <cell r="M11">
            <v>476.64</v>
          </cell>
          <cell r="N11">
            <v>410.44</v>
          </cell>
          <cell r="O11">
            <v>529.6</v>
          </cell>
          <cell r="P11">
            <v>496.5</v>
          </cell>
          <cell r="Q11">
            <v>0</v>
          </cell>
          <cell r="T11">
            <v>0</v>
          </cell>
          <cell r="U11">
            <v>5302.62</v>
          </cell>
          <cell r="V11">
            <v>5536.4605899999988</v>
          </cell>
          <cell r="W11">
            <v>7381.3370000000004</v>
          </cell>
          <cell r="X11">
            <v>-233.84058999999888</v>
          </cell>
          <cell r="Y11">
            <v>-2078.7170000000006</v>
          </cell>
        </row>
        <row r="12">
          <cell r="A12">
            <v>2</v>
          </cell>
          <cell r="B12" t="str">
            <v>Concession Sales</v>
          </cell>
          <cell r="E12">
            <v>76.95</v>
          </cell>
          <cell r="F12">
            <v>81</v>
          </cell>
          <cell r="G12">
            <v>94.5</v>
          </cell>
          <cell r="H12">
            <v>78.3</v>
          </cell>
          <cell r="I12">
            <v>83.7</v>
          </cell>
          <cell r="J12">
            <v>114.75</v>
          </cell>
          <cell r="K12">
            <v>78.3</v>
          </cell>
          <cell r="L12">
            <v>83.7</v>
          </cell>
          <cell r="M12">
            <v>97.2</v>
          </cell>
          <cell r="N12">
            <v>83.7</v>
          </cell>
          <cell r="O12">
            <v>108</v>
          </cell>
          <cell r="P12">
            <v>101.25</v>
          </cell>
          <cell r="T12">
            <v>0</v>
          </cell>
          <cell r="U12">
            <v>1081.3499999999999</v>
          </cell>
          <cell r="V12">
            <v>1151.98856</v>
          </cell>
          <cell r="W12">
            <v>1433.0309999999999</v>
          </cell>
          <cell r="X12">
            <v>-70.63855999999987</v>
          </cell>
          <cell r="Y12">
            <v>-351.68099999999981</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321.01042000000001</v>
          </cell>
          <cell r="W15">
            <v>283.57299999999998</v>
          </cell>
          <cell r="X15">
            <v>-87.010420000000011</v>
          </cell>
          <cell r="Y15">
            <v>-49.572999999999979</v>
          </cell>
        </row>
        <row r="16">
          <cell r="A16">
            <v>6</v>
          </cell>
          <cell r="B16" t="str">
            <v>Other Income</v>
          </cell>
          <cell r="C16">
            <v>0</v>
          </cell>
          <cell r="E16">
            <v>6.4376250000000006</v>
          </cell>
          <cell r="F16">
            <v>6.4376250000000006</v>
          </cell>
          <cell r="G16">
            <v>6.4376250000000006</v>
          </cell>
          <cell r="H16">
            <v>6.4376250000000006</v>
          </cell>
          <cell r="I16">
            <v>6.4376250000000006</v>
          </cell>
          <cell r="J16">
            <v>6.4376250000000006</v>
          </cell>
          <cell r="K16">
            <v>6.4376250000000006</v>
          </cell>
          <cell r="L16">
            <v>6.4376250000000006</v>
          </cell>
          <cell r="M16">
            <v>6.4376250000000006</v>
          </cell>
          <cell r="N16">
            <v>6.4376250000000006</v>
          </cell>
          <cell r="O16">
            <v>6.4376250000000006</v>
          </cell>
          <cell r="P16">
            <v>6.4376250000000006</v>
          </cell>
          <cell r="R16">
            <v>0</v>
          </cell>
          <cell r="S16">
            <v>0</v>
          </cell>
          <cell r="T16">
            <v>0</v>
          </cell>
          <cell r="U16">
            <v>77.251499999999979</v>
          </cell>
          <cell r="V16">
            <v>115.01553</v>
          </cell>
          <cell r="W16">
            <v>62.262999999999998</v>
          </cell>
          <cell r="X16">
            <v>-37.76403000000002</v>
          </cell>
          <cell r="Y16">
            <v>14.988499999999981</v>
          </cell>
        </row>
        <row r="17">
          <cell r="B17" t="str">
            <v>TOTAL REVENUE</v>
          </cell>
          <cell r="C17">
            <v>0</v>
          </cell>
          <cell r="E17">
            <v>480.22762500000005</v>
          </cell>
          <cell r="F17">
            <v>504.13762500000001</v>
          </cell>
          <cell r="G17">
            <v>583.83762500000012</v>
          </cell>
          <cell r="H17">
            <v>488.19762500000002</v>
          </cell>
          <cell r="I17">
            <v>520.07762500000001</v>
          </cell>
          <cell r="J17">
            <v>703.38762500000007</v>
          </cell>
          <cell r="K17">
            <v>488.19762500000002</v>
          </cell>
          <cell r="L17">
            <v>520.07762500000001</v>
          </cell>
          <cell r="M17">
            <v>599.77762500000006</v>
          </cell>
          <cell r="N17">
            <v>520.07762500000001</v>
          </cell>
          <cell r="O17">
            <v>663.53762500000005</v>
          </cell>
          <cell r="P17">
            <v>623.68762500000003</v>
          </cell>
          <cell r="R17">
            <v>0</v>
          </cell>
          <cell r="S17">
            <v>0</v>
          </cell>
          <cell r="T17">
            <v>0</v>
          </cell>
          <cell r="U17">
            <v>6695.2214999999997</v>
          </cell>
          <cell r="V17">
            <v>7124.4750999999978</v>
          </cell>
          <cell r="W17">
            <v>9160.2040000000015</v>
          </cell>
          <cell r="X17">
            <v>-429.25359999999819</v>
          </cell>
          <cell r="Y17">
            <v>-2464.9825000000019</v>
          </cell>
        </row>
        <row r="19">
          <cell r="A19">
            <v>7</v>
          </cell>
          <cell r="B19" t="str">
            <v>Film Hire</v>
          </cell>
          <cell r="E19">
            <v>175.46310000000003</v>
          </cell>
          <cell r="F19">
            <v>184.69800000000001</v>
          </cell>
          <cell r="G19">
            <v>215.48100000000002</v>
          </cell>
          <cell r="H19">
            <v>178.54140000000001</v>
          </cell>
          <cell r="I19">
            <v>190.8546</v>
          </cell>
          <cell r="J19">
            <v>261.65550000000002</v>
          </cell>
          <cell r="K19">
            <v>178.54140000000001</v>
          </cell>
          <cell r="L19">
            <v>190.8546</v>
          </cell>
          <cell r="M19">
            <v>221.63759999999999</v>
          </cell>
          <cell r="N19">
            <v>190.8546</v>
          </cell>
          <cell r="O19">
            <v>246.26400000000001</v>
          </cell>
          <cell r="P19">
            <v>230.8725</v>
          </cell>
          <cell r="U19">
            <v>2465.7183000000005</v>
          </cell>
          <cell r="V19">
            <v>2580.9407300000003</v>
          </cell>
          <cell r="W19">
            <v>3438.9110000000001</v>
          </cell>
          <cell r="X19">
            <v>-115.2224299999998</v>
          </cell>
          <cell r="Y19">
            <v>-973.1926999999996</v>
          </cell>
        </row>
        <row r="20">
          <cell r="A20">
            <v>8</v>
          </cell>
          <cell r="B20" t="str">
            <v>Concession Cost</v>
          </cell>
          <cell r="E20">
            <v>16.929000000000002</v>
          </cell>
          <cell r="F20">
            <v>17.82</v>
          </cell>
          <cell r="G20">
            <v>20.79</v>
          </cell>
          <cell r="H20">
            <v>17.226000000000003</v>
          </cell>
          <cell r="I20">
            <v>18.414000000000001</v>
          </cell>
          <cell r="J20">
            <v>25.245000000000001</v>
          </cell>
          <cell r="K20">
            <v>17.226000000000003</v>
          </cell>
          <cell r="L20">
            <v>18.414000000000001</v>
          </cell>
          <cell r="M20">
            <v>21.384</v>
          </cell>
          <cell r="N20">
            <v>18.414000000000001</v>
          </cell>
          <cell r="O20">
            <v>23.76</v>
          </cell>
          <cell r="P20">
            <v>22.274999999999999</v>
          </cell>
          <cell r="T20">
            <v>0</v>
          </cell>
          <cell r="U20">
            <v>237.89700000000002</v>
          </cell>
          <cell r="V20">
            <v>244.43542999999997</v>
          </cell>
          <cell r="W20">
            <v>337.90199999999999</v>
          </cell>
          <cell r="X20">
            <v>-6.5384299999999484</v>
          </cell>
          <cell r="Y20">
            <v>-100.005</v>
          </cell>
        </row>
        <row r="21">
          <cell r="A21">
            <v>9</v>
          </cell>
          <cell r="B21" t="str">
            <v>Less Concession Rebates</v>
          </cell>
          <cell r="E21">
            <v>-1.9237500000000001</v>
          </cell>
          <cell r="F21">
            <v>-2.0249999999999999</v>
          </cell>
          <cell r="G21">
            <v>-2.3624999999999998</v>
          </cell>
          <cell r="H21">
            <v>-1.9575</v>
          </cell>
          <cell r="I21">
            <v>-2.0924999999999998</v>
          </cell>
          <cell r="J21">
            <v>-2.8687499999999999</v>
          </cell>
          <cell r="K21">
            <v>-1.9575</v>
          </cell>
          <cell r="L21">
            <v>-2.0924999999999998</v>
          </cell>
          <cell r="M21">
            <v>-2.4300000000000002</v>
          </cell>
          <cell r="N21">
            <v>-2.0924999999999998</v>
          </cell>
          <cell r="O21">
            <v>-2.7</v>
          </cell>
          <cell r="P21">
            <v>-2.53125</v>
          </cell>
          <cell r="U21">
            <v>-27.033750000000001</v>
          </cell>
          <cell r="V21">
            <v>-35.18</v>
          </cell>
          <cell r="W21">
            <v>-51.578000000000003</v>
          </cell>
          <cell r="X21">
            <v>8.1462500000000002</v>
          </cell>
          <cell r="Y21">
            <v>24.544249999999998</v>
          </cell>
        </row>
        <row r="22">
          <cell r="A22">
            <v>10</v>
          </cell>
          <cell r="B22" t="str">
            <v>Advertising Cost</v>
          </cell>
          <cell r="E22">
            <v>8.67882</v>
          </cell>
          <cell r="F22">
            <v>9.1356000000000002</v>
          </cell>
          <cell r="G22">
            <v>10.658200000000001</v>
          </cell>
          <cell r="H22">
            <v>8.83108</v>
          </cell>
          <cell r="I22">
            <v>9.4401200000000003</v>
          </cell>
          <cell r="J22">
            <v>12.942100000000002</v>
          </cell>
          <cell r="K22">
            <v>8.83108</v>
          </cell>
          <cell r="L22">
            <v>9.4401200000000003</v>
          </cell>
          <cell r="M22">
            <v>10.962719999999999</v>
          </cell>
          <cell r="N22">
            <v>9.4401200000000003</v>
          </cell>
          <cell r="O22">
            <v>12.1808</v>
          </cell>
          <cell r="P22">
            <v>11.419499999999999</v>
          </cell>
          <cell r="T22">
            <v>0</v>
          </cell>
          <cell r="U22">
            <v>121.96026000000001</v>
          </cell>
          <cell r="V22">
            <v>116.84968000000001</v>
          </cell>
          <cell r="W22">
            <v>136.47999999999999</v>
          </cell>
          <cell r="X22">
            <v>5.1105799999999988</v>
          </cell>
          <cell r="Y22">
            <v>-14.519739999999985</v>
          </cell>
        </row>
        <row r="23">
          <cell r="A23">
            <v>11</v>
          </cell>
          <cell r="B23" t="str">
            <v>Other Cost</v>
          </cell>
          <cell r="C23">
            <v>0</v>
          </cell>
          <cell r="E23">
            <v>0.75468000000000013</v>
          </cell>
          <cell r="F23">
            <v>0.7944</v>
          </cell>
          <cell r="G23">
            <v>0.92680000000000007</v>
          </cell>
          <cell r="H23">
            <v>0.76791999999999994</v>
          </cell>
          <cell r="I23">
            <v>0.82088000000000005</v>
          </cell>
          <cell r="J23">
            <v>1.1254000000000002</v>
          </cell>
          <cell r="K23">
            <v>0.76791999999999994</v>
          </cell>
          <cell r="L23">
            <v>0.82088000000000005</v>
          </cell>
          <cell r="M23">
            <v>0.95328000000000002</v>
          </cell>
          <cell r="N23">
            <v>0.82088000000000005</v>
          </cell>
          <cell r="O23">
            <v>1.0592000000000001</v>
          </cell>
          <cell r="P23">
            <v>0.99299999999999999</v>
          </cell>
          <cell r="R23">
            <v>0</v>
          </cell>
          <cell r="S23">
            <v>0</v>
          </cell>
          <cell r="T23">
            <v>0</v>
          </cell>
          <cell r="U23">
            <v>10.605240000000002</v>
          </cell>
          <cell r="V23">
            <v>11.072921179999998</v>
          </cell>
          <cell r="W23">
            <v>14.762674000000001</v>
          </cell>
          <cell r="X23">
            <v>-0.46768117999999603</v>
          </cell>
          <cell r="Y23">
            <v>-4.1574339999999985</v>
          </cell>
        </row>
        <row r="24">
          <cell r="A24">
            <v>12</v>
          </cell>
          <cell r="B24" t="str">
            <v>Direct Payroll</v>
          </cell>
          <cell r="C24">
            <v>0</v>
          </cell>
          <cell r="E24">
            <v>33.497996330229874</v>
          </cell>
          <cell r="F24">
            <v>33.497996330229874</v>
          </cell>
          <cell r="G24">
            <v>34.597996330229876</v>
          </cell>
          <cell r="H24">
            <v>33.497996330229874</v>
          </cell>
          <cell r="I24">
            <v>33.497996330229874</v>
          </cell>
          <cell r="J24">
            <v>34.597996330229876</v>
          </cell>
          <cell r="K24">
            <v>34.150789093929873</v>
          </cell>
          <cell r="L24">
            <v>34.150789093929873</v>
          </cell>
          <cell r="M24">
            <v>35.250789093929875</v>
          </cell>
          <cell r="N24">
            <v>34.150789093929873</v>
          </cell>
          <cell r="O24">
            <v>35.250789093929875</v>
          </cell>
          <cell r="P24">
            <v>35.250789093929875</v>
          </cell>
          <cell r="R24">
            <v>0</v>
          </cell>
          <cell r="S24">
            <v>0</v>
          </cell>
          <cell r="T24">
            <v>0</v>
          </cell>
          <cell r="U24">
            <v>411.3927125449585</v>
          </cell>
          <cell r="V24">
            <v>518.26446499999986</v>
          </cell>
          <cell r="W24">
            <v>670.90099999999995</v>
          </cell>
          <cell r="X24">
            <v>-106.87175245504136</v>
          </cell>
          <cell r="Y24">
            <v>-259.50828745504145</v>
          </cell>
        </row>
        <row r="25">
          <cell r="B25" t="str">
            <v>TOTAL COST</v>
          </cell>
          <cell r="C25">
            <v>0</v>
          </cell>
          <cell r="E25">
            <v>233.39984633022991</v>
          </cell>
          <cell r="F25">
            <v>243.92099633022988</v>
          </cell>
          <cell r="G25">
            <v>280.09149633022986</v>
          </cell>
          <cell r="H25">
            <v>236.9068963302299</v>
          </cell>
          <cell r="I25">
            <v>250.93509633022987</v>
          </cell>
          <cell r="J25">
            <v>332.69724633022992</v>
          </cell>
          <cell r="K25">
            <v>237.55968909392988</v>
          </cell>
          <cell r="L25">
            <v>251.58788909392985</v>
          </cell>
          <cell r="M25">
            <v>287.75838909392985</v>
          </cell>
          <cell r="N25">
            <v>251.58788909392985</v>
          </cell>
          <cell r="O25">
            <v>315.81478909392985</v>
          </cell>
          <cell r="P25">
            <v>298.27953909392988</v>
          </cell>
          <cell r="R25">
            <v>0</v>
          </cell>
          <cell r="S25">
            <v>0</v>
          </cell>
          <cell r="T25">
            <v>0</v>
          </cell>
          <cell r="U25">
            <v>3220.5397625449586</v>
          </cell>
          <cell r="V25">
            <v>3436.3832261799998</v>
          </cell>
          <cell r="W25">
            <v>4547.3786740000005</v>
          </cell>
          <cell r="X25">
            <v>-215.84346363504119</v>
          </cell>
          <cell r="Y25">
            <v>-1326.8389114550419</v>
          </cell>
        </row>
        <row r="27">
          <cell r="B27" t="str">
            <v>GROSS MARGIN</v>
          </cell>
          <cell r="C27">
            <v>0</v>
          </cell>
          <cell r="E27">
            <v>246.82777866977014</v>
          </cell>
          <cell r="F27">
            <v>260.2166286697701</v>
          </cell>
          <cell r="G27">
            <v>303.74612866977026</v>
          </cell>
          <cell r="H27">
            <v>251.29072866977012</v>
          </cell>
          <cell r="I27">
            <v>269.14252866977017</v>
          </cell>
          <cell r="J27">
            <v>370.69037866977015</v>
          </cell>
          <cell r="K27">
            <v>250.63793590607014</v>
          </cell>
          <cell r="L27">
            <v>268.48973590607017</v>
          </cell>
          <cell r="M27">
            <v>312.01923590607021</v>
          </cell>
          <cell r="N27">
            <v>268.48973590607017</v>
          </cell>
          <cell r="O27">
            <v>347.7228359060702</v>
          </cell>
          <cell r="P27">
            <v>325.40808590607014</v>
          </cell>
          <cell r="R27">
            <v>0</v>
          </cell>
          <cell r="S27">
            <v>0</v>
          </cell>
          <cell r="T27">
            <v>0</v>
          </cell>
          <cell r="U27">
            <v>3474.681737455041</v>
          </cell>
          <cell r="V27">
            <v>3688.091873819998</v>
          </cell>
          <cell r="W27">
            <v>4612.825326000001</v>
          </cell>
          <cell r="X27">
            <v>-213.410136364957</v>
          </cell>
          <cell r="Y27">
            <v>-1138.14358854496</v>
          </cell>
        </row>
        <row r="28">
          <cell r="X28" t="str">
            <v/>
          </cell>
          <cell r="Y28" t="str">
            <v/>
          </cell>
        </row>
        <row r="29">
          <cell r="A29">
            <v>13</v>
          </cell>
          <cell r="B29" t="str">
            <v>Direct Rent</v>
          </cell>
          <cell r="E29">
            <v>94.909199999999998</v>
          </cell>
          <cell r="F29">
            <v>95.504999999999995</v>
          </cell>
          <cell r="G29">
            <v>97.491</v>
          </cell>
          <cell r="H29">
            <v>95.107799999999997</v>
          </cell>
          <cell r="I29">
            <v>95.902199999999993</v>
          </cell>
          <cell r="J29">
            <v>108.8289</v>
          </cell>
          <cell r="K29">
            <v>103.4667</v>
          </cell>
          <cell r="L29">
            <v>104.2611</v>
          </cell>
          <cell r="M29">
            <v>106.2471</v>
          </cell>
          <cell r="N29">
            <v>104.2611</v>
          </cell>
          <cell r="O29">
            <v>107.83590000000001</v>
          </cell>
          <cell r="P29">
            <v>106.8429</v>
          </cell>
          <cell r="T29">
            <v>0</v>
          </cell>
          <cell r="U29">
            <v>1220.6589000000001</v>
          </cell>
          <cell r="V29">
            <v>1142.45373</v>
          </cell>
          <cell r="W29">
            <v>1224.508</v>
          </cell>
          <cell r="X29">
            <v>78.20517000000018</v>
          </cell>
          <cell r="Y29">
            <v>-3.8490999999999076</v>
          </cell>
        </row>
        <row r="30">
          <cell r="A30">
            <v>14</v>
          </cell>
          <cell r="B30" t="str">
            <v>Light, Heat and Power</v>
          </cell>
          <cell r="E30">
            <v>10.01</v>
          </cell>
          <cell r="F30">
            <v>10.01</v>
          </cell>
          <cell r="G30">
            <v>10.01</v>
          </cell>
          <cell r="H30">
            <v>10.01</v>
          </cell>
          <cell r="I30">
            <v>10.01</v>
          </cell>
          <cell r="J30">
            <v>10.01</v>
          </cell>
          <cell r="K30">
            <v>10.01</v>
          </cell>
          <cell r="L30">
            <v>10.01</v>
          </cell>
          <cell r="M30">
            <v>10.01</v>
          </cell>
          <cell r="N30">
            <v>10.01</v>
          </cell>
          <cell r="O30">
            <v>10.01</v>
          </cell>
          <cell r="P30">
            <v>10.01</v>
          </cell>
          <cell r="T30">
            <v>0</v>
          </cell>
          <cell r="U30">
            <v>120.12</v>
          </cell>
          <cell r="V30">
            <v>125.91146000000001</v>
          </cell>
          <cell r="W30">
            <v>149.56899999999999</v>
          </cell>
          <cell r="X30">
            <v>-5.7914599999999865</v>
          </cell>
          <cell r="Y30">
            <v>-29.44899999999997</v>
          </cell>
        </row>
        <row r="31">
          <cell r="A31">
            <v>15</v>
          </cell>
          <cell r="B31" t="str">
            <v>Repair &amp; Maintenance</v>
          </cell>
          <cell r="E31">
            <v>9.9890000000000008</v>
          </cell>
          <cell r="F31">
            <v>9.9890000000000008</v>
          </cell>
          <cell r="G31">
            <v>9.9890000000000008</v>
          </cell>
          <cell r="H31">
            <v>22.989000000000001</v>
          </cell>
          <cell r="I31">
            <v>9.9890000000000008</v>
          </cell>
          <cell r="J31">
            <v>9.9890000000000008</v>
          </cell>
          <cell r="K31">
            <v>9.9890000000000008</v>
          </cell>
          <cell r="L31">
            <v>9.9890000000000008</v>
          </cell>
          <cell r="M31">
            <v>9.9890000000000008</v>
          </cell>
          <cell r="N31">
            <v>9.9890000000000008</v>
          </cell>
          <cell r="O31">
            <v>9.9890000000000008</v>
          </cell>
          <cell r="P31">
            <v>9.9890000000000008</v>
          </cell>
          <cell r="T31">
            <v>0</v>
          </cell>
          <cell r="U31">
            <v>132.86800000000002</v>
          </cell>
          <cell r="V31">
            <v>121.43692666666666</v>
          </cell>
          <cell r="W31">
            <v>216.595</v>
          </cell>
          <cell r="X31">
            <v>11.431073333333359</v>
          </cell>
          <cell r="Y31">
            <v>-83.726999999999975</v>
          </cell>
        </row>
        <row r="32">
          <cell r="A32">
            <v>16</v>
          </cell>
          <cell r="B32" t="str">
            <v>Common Area Maintenance</v>
          </cell>
          <cell r="E32">
            <v>25.33</v>
          </cell>
          <cell r="F32">
            <v>25.33</v>
          </cell>
          <cell r="G32">
            <v>25.33</v>
          </cell>
          <cell r="H32">
            <v>25.33</v>
          </cell>
          <cell r="I32">
            <v>25.33</v>
          </cell>
          <cell r="J32">
            <v>27.863</v>
          </cell>
          <cell r="K32">
            <v>27.863</v>
          </cell>
          <cell r="L32">
            <v>27.863</v>
          </cell>
          <cell r="M32">
            <v>27.863</v>
          </cell>
          <cell r="N32">
            <v>27.863</v>
          </cell>
          <cell r="O32">
            <v>27.863</v>
          </cell>
          <cell r="P32">
            <v>27.863</v>
          </cell>
          <cell r="T32">
            <v>0</v>
          </cell>
          <cell r="U32">
            <v>321.69099999999997</v>
          </cell>
          <cell r="V32">
            <v>303.95999999999998</v>
          </cell>
          <cell r="W32">
            <v>303.95999999999998</v>
          </cell>
          <cell r="X32">
            <v>17.730999999999995</v>
          </cell>
          <cell r="Y32">
            <v>17.730999999999995</v>
          </cell>
        </row>
        <row r="33">
          <cell r="A33">
            <v>17</v>
          </cell>
          <cell r="B33" t="str">
            <v>Other Overhead Costs</v>
          </cell>
          <cell r="C33">
            <v>0</v>
          </cell>
          <cell r="E33">
            <v>17.665459963302297</v>
          </cell>
          <cell r="F33">
            <v>17.665459963302297</v>
          </cell>
          <cell r="G33">
            <v>17.518379963302298</v>
          </cell>
          <cell r="H33">
            <v>17.665459963302297</v>
          </cell>
          <cell r="I33">
            <v>18.957379963302301</v>
          </cell>
          <cell r="J33">
            <v>17.6764599633023</v>
          </cell>
          <cell r="K33">
            <v>17.671987890939299</v>
          </cell>
          <cell r="L33">
            <v>19.697747890939301</v>
          </cell>
          <cell r="M33">
            <v>17.682987890939298</v>
          </cell>
          <cell r="N33">
            <v>17.513907890939297</v>
          </cell>
          <cell r="O33">
            <v>17.682987890939298</v>
          </cell>
          <cell r="P33">
            <v>17.524907890939296</v>
          </cell>
          <cell r="R33">
            <v>0</v>
          </cell>
          <cell r="S33">
            <v>0</v>
          </cell>
          <cell r="T33">
            <v>0</v>
          </cell>
          <cell r="U33">
            <v>214.92312712544958</v>
          </cell>
          <cell r="V33">
            <v>237.55307627333329</v>
          </cell>
          <cell r="W33">
            <v>275.02032600000001</v>
          </cell>
          <cell r="X33">
            <v>-22.629949147883707</v>
          </cell>
          <cell r="Y33">
            <v>-60.097198874550429</v>
          </cell>
        </row>
        <row r="35">
          <cell r="B35" t="str">
            <v>Total Overhead Expenses</v>
          </cell>
          <cell r="C35">
            <v>0</v>
          </cell>
          <cell r="E35">
            <v>157.90365996330229</v>
          </cell>
          <cell r="F35">
            <v>158.49945996330229</v>
          </cell>
          <cell r="G35">
            <v>160.33837996330229</v>
          </cell>
          <cell r="H35">
            <v>171.10225996330229</v>
          </cell>
          <cell r="I35">
            <v>160.18857996330229</v>
          </cell>
          <cell r="J35">
            <v>174.36735996330231</v>
          </cell>
          <cell r="K35">
            <v>169.00068789093933</v>
          </cell>
          <cell r="L35">
            <v>171.82084789093932</v>
          </cell>
          <cell r="M35">
            <v>171.79208789093931</v>
          </cell>
          <cell r="N35">
            <v>169.63700789093932</v>
          </cell>
          <cell r="O35">
            <v>173.38088789093931</v>
          </cell>
          <cell r="P35">
            <v>172.2298078909393</v>
          </cell>
          <cell r="R35">
            <v>0</v>
          </cell>
          <cell r="S35">
            <v>0</v>
          </cell>
          <cell r="T35">
            <v>0</v>
          </cell>
          <cell r="U35">
            <v>2010.2610271254496</v>
          </cell>
          <cell r="V35">
            <v>1931.3151929400001</v>
          </cell>
          <cell r="W35">
            <v>2169.6523259999999</v>
          </cell>
          <cell r="X35">
            <v>1533.5195272355429</v>
          </cell>
          <cell r="Y35">
            <v>-159.39129887455033</v>
          </cell>
        </row>
        <row r="36">
          <cell r="V36" t="str">
            <v/>
          </cell>
        </row>
        <row r="37">
          <cell r="B37" t="str">
            <v>E.B.I.T.D.</v>
          </cell>
          <cell r="C37">
            <v>0</v>
          </cell>
          <cell r="E37">
            <v>88.924118706467851</v>
          </cell>
          <cell r="F37">
            <v>101.71716870646782</v>
          </cell>
          <cell r="G37">
            <v>200.26200000000011</v>
          </cell>
          <cell r="H37">
            <v>80.18846870646783</v>
          </cell>
          <cell r="I37">
            <v>108.95394870646788</v>
          </cell>
          <cell r="J37">
            <v>196.32301870646785</v>
          </cell>
          <cell r="K37">
            <v>81.637248015130808</v>
          </cell>
          <cell r="L37">
            <v>96.668888015130847</v>
          </cell>
          <cell r="M37">
            <v>140.22714801513089</v>
          </cell>
          <cell r="N37">
            <v>98.85272801513085</v>
          </cell>
          <cell r="O37">
            <v>174.3419480151309</v>
          </cell>
          <cell r="P37">
            <v>153.17827801513084</v>
          </cell>
          <cell r="R37">
            <v>0</v>
          </cell>
          <cell r="S37">
            <v>0</v>
          </cell>
          <cell r="T37">
            <v>0</v>
          </cell>
          <cell r="U37">
            <v>1464.4207103295914</v>
          </cell>
          <cell r="V37">
            <v>1756.7766808799979</v>
          </cell>
          <cell r="W37">
            <v>2443.1730000000011</v>
          </cell>
          <cell r="X37">
            <v>-1746.9296636004999</v>
          </cell>
          <cell r="Y37">
            <v>-978.75228967040971</v>
          </cell>
        </row>
        <row r="38">
          <cell r="V38" t="str">
            <v/>
          </cell>
        </row>
        <row r="39">
          <cell r="A39">
            <v>18</v>
          </cell>
          <cell r="B39" t="str">
            <v>Depreciation</v>
          </cell>
          <cell r="E39">
            <v>25.501840277777777</v>
          </cell>
          <cell r="F39">
            <v>25.501840277777777</v>
          </cell>
          <cell r="G39">
            <v>25.501840277777777</v>
          </cell>
          <cell r="H39">
            <v>28.008131944444443</v>
          </cell>
          <cell r="I39">
            <v>28.008131944444443</v>
          </cell>
          <cell r="J39">
            <v>28.008131944444443</v>
          </cell>
          <cell r="K39">
            <v>28.008131944444443</v>
          </cell>
          <cell r="L39">
            <v>28.008131944444443</v>
          </cell>
          <cell r="M39">
            <v>28.008131944444443</v>
          </cell>
          <cell r="N39">
            <v>28.008131944444443</v>
          </cell>
          <cell r="O39">
            <v>28.008131944444443</v>
          </cell>
          <cell r="P39">
            <v>28.008131944444443</v>
          </cell>
          <cell r="T39">
            <v>0</v>
          </cell>
          <cell r="U39">
            <v>328.57870833333334</v>
          </cell>
          <cell r="V39">
            <v>308.70829157407411</v>
          </cell>
          <cell r="W39">
            <v>291.90600000000001</v>
          </cell>
          <cell r="X39">
            <v>19.870416759259228</v>
          </cell>
          <cell r="Y39">
            <v>36.672708333333333</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21.166999999999998</v>
          </cell>
          <cell r="W40">
            <v>198.422</v>
          </cell>
          <cell r="X40">
            <v>-21.166999999999998</v>
          </cell>
          <cell r="Y40">
            <v>-198.422</v>
          </cell>
        </row>
        <row r="41">
          <cell r="A41">
            <v>20</v>
          </cell>
          <cell r="B41" t="str">
            <v>External Interest</v>
          </cell>
          <cell r="T41">
            <v>0</v>
          </cell>
          <cell r="U41">
            <v>0</v>
          </cell>
          <cell r="V41">
            <v>132.06682849589041</v>
          </cell>
          <cell r="W41">
            <v>148.93799999999999</v>
          </cell>
          <cell r="X41">
            <v>-132.06682849589041</v>
          </cell>
          <cell r="Y41">
            <v>-148.93799999999999</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2.72343</v>
          </cell>
          <cell r="W43">
            <v>0.90700000000000003</v>
          </cell>
          <cell r="X43">
            <v>-2.72343</v>
          </cell>
          <cell r="Y43">
            <v>-0.90700000000000003</v>
          </cell>
        </row>
        <row r="44">
          <cell r="B44" t="str">
            <v>E.B.T.</v>
          </cell>
          <cell r="C44">
            <v>0</v>
          </cell>
          <cell r="E44">
            <v>63.422278428690078</v>
          </cell>
          <cell r="F44">
            <v>76.215328428690043</v>
          </cell>
          <cell r="G44">
            <v>174.76015972222234</v>
          </cell>
          <cell r="H44">
            <v>52.180336762023387</v>
          </cell>
          <cell r="I44">
            <v>80.945816762023441</v>
          </cell>
          <cell r="J44">
            <v>168.31488676202341</v>
          </cell>
          <cell r="K44">
            <v>53.629116070686365</v>
          </cell>
          <cell r="L44">
            <v>68.660756070686404</v>
          </cell>
          <cell r="M44">
            <v>112.21901607068645</v>
          </cell>
          <cell r="N44">
            <v>70.844596070686407</v>
          </cell>
          <cell r="O44">
            <v>146.33381607068645</v>
          </cell>
          <cell r="P44">
            <v>125.1701460706864</v>
          </cell>
          <cell r="Q44">
            <v>0</v>
          </cell>
          <cell r="R44">
            <v>0</v>
          </cell>
          <cell r="S44">
            <v>0</v>
          </cell>
          <cell r="T44">
            <v>0</v>
          </cell>
          <cell r="U44">
            <v>1135.8420019962582</v>
          </cell>
          <cell r="V44">
            <v>1297.5579908100335</v>
          </cell>
          <cell r="W44">
            <v>1804.814000000001</v>
          </cell>
          <cell r="X44">
            <v>-161.71598881377531</v>
          </cell>
          <cell r="Y44">
            <v>-668.97199800374278</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63.422278428690078</v>
          </cell>
          <cell r="F50">
            <v>76.215328428690043</v>
          </cell>
          <cell r="G50">
            <v>174.76015972222234</v>
          </cell>
          <cell r="H50">
            <v>52.180336762023387</v>
          </cell>
          <cell r="I50">
            <v>80.945816762023441</v>
          </cell>
          <cell r="J50">
            <v>168.31488676202341</v>
          </cell>
          <cell r="K50">
            <v>53.629116070686365</v>
          </cell>
          <cell r="L50">
            <v>68.660756070686404</v>
          </cell>
          <cell r="M50">
            <v>112.21901607068645</v>
          </cell>
          <cell r="N50">
            <v>70.844596070686407</v>
          </cell>
          <cell r="O50">
            <v>146.33381607068645</v>
          </cell>
          <cell r="P50">
            <v>125.1701460706864</v>
          </cell>
          <cell r="Q50">
            <v>0</v>
          </cell>
          <cell r="R50">
            <v>0</v>
          </cell>
          <cell r="S50">
            <v>0</v>
          </cell>
          <cell r="T50">
            <v>0</v>
          </cell>
          <cell r="U50">
            <v>1135.8420019962582</v>
          </cell>
          <cell r="V50">
            <v>1297.5579908100335</v>
          </cell>
          <cell r="W50">
            <v>1804.814000000001</v>
          </cell>
          <cell r="X50">
            <v>-161.71598881377531</v>
          </cell>
          <cell r="Y50">
            <v>-668.97199800374278</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55.86</v>
          </cell>
          <cell r="F54">
            <v>58.8</v>
          </cell>
          <cell r="G54">
            <v>68.599999999999994</v>
          </cell>
          <cell r="H54">
            <v>56.84</v>
          </cell>
          <cell r="I54">
            <v>60.76</v>
          </cell>
          <cell r="J54">
            <v>83.3</v>
          </cell>
          <cell r="K54">
            <v>56.84</v>
          </cell>
          <cell r="L54">
            <v>60.76</v>
          </cell>
          <cell r="M54">
            <v>70.56</v>
          </cell>
          <cell r="N54">
            <v>60.76</v>
          </cell>
          <cell r="O54">
            <v>78.400000000000006</v>
          </cell>
          <cell r="P54">
            <v>73.5</v>
          </cell>
          <cell r="T54">
            <v>0</v>
          </cell>
          <cell r="U54">
            <v>784.98</v>
          </cell>
          <cell r="V54">
            <v>834</v>
          </cell>
          <cell r="W54">
            <v>1091.548</v>
          </cell>
          <cell r="X54">
            <v>-49.020000000000095</v>
          </cell>
          <cell r="Y54">
            <v>-306.5680000000001</v>
          </cell>
        </row>
        <row r="55">
          <cell r="A55">
            <v>28</v>
          </cell>
          <cell r="B55" t="str">
            <v>Admissions</v>
          </cell>
          <cell r="E55">
            <v>57</v>
          </cell>
          <cell r="F55">
            <v>60</v>
          </cell>
          <cell r="G55">
            <v>70</v>
          </cell>
          <cell r="H55">
            <v>58</v>
          </cell>
          <cell r="I55">
            <v>62</v>
          </cell>
          <cell r="J55">
            <v>85</v>
          </cell>
          <cell r="K55">
            <v>58</v>
          </cell>
          <cell r="L55">
            <v>62</v>
          </cell>
          <cell r="M55">
            <v>72</v>
          </cell>
          <cell r="N55">
            <v>62</v>
          </cell>
          <cell r="O55">
            <v>80</v>
          </cell>
          <cell r="P55">
            <v>75</v>
          </cell>
          <cell r="T55">
            <v>0</v>
          </cell>
          <cell r="U55">
            <v>801</v>
          </cell>
          <cell r="V55">
            <v>834</v>
          </cell>
          <cell r="W55">
            <v>1091.548</v>
          </cell>
          <cell r="X55">
            <v>-33</v>
          </cell>
          <cell r="Y55">
            <v>-290.548</v>
          </cell>
        </row>
        <row r="56">
          <cell r="B56" t="str">
            <v>Utilisation Rate</v>
          </cell>
          <cell r="E56">
            <v>0.26096033402922758</v>
          </cell>
          <cell r="F56">
            <v>0.2746950884518185</v>
          </cell>
          <cell r="G56">
            <v>0.25638208255503059</v>
          </cell>
          <cell r="H56">
            <v>0.26553858550342452</v>
          </cell>
          <cell r="I56">
            <v>0.28385159140021243</v>
          </cell>
          <cell r="J56">
            <v>0.31132110024539428</v>
          </cell>
          <cell r="K56">
            <v>0.26553858550342452</v>
          </cell>
          <cell r="L56">
            <v>0.28385159140021243</v>
          </cell>
          <cell r="M56">
            <v>0.26370728491374573</v>
          </cell>
          <cell r="N56">
            <v>0.28385159140021243</v>
          </cell>
          <cell r="O56">
            <v>0.29300809434860636</v>
          </cell>
          <cell r="P56">
            <v>0.34336886056477312</v>
          </cell>
          <cell r="U56">
            <v>0.2820907254485982</v>
          </cell>
          <cell r="V56">
            <v>0.29371244072925207</v>
          </cell>
          <cell r="W56">
            <v>0.36240550978236041</v>
          </cell>
          <cell r="X56">
            <v>-1.1621715280653866E-2</v>
          </cell>
          <cell r="Y56">
            <v>-8.0314784333762212E-2</v>
          </cell>
        </row>
        <row r="57">
          <cell r="B57" t="str">
            <v>Ave. Admission Price (S$)</v>
          </cell>
          <cell r="C57" t="str">
            <v>N.A.</v>
          </cell>
          <cell r="E57">
            <v>6.62</v>
          </cell>
          <cell r="F57">
            <v>6.62</v>
          </cell>
          <cell r="G57">
            <v>6.62</v>
          </cell>
          <cell r="H57">
            <v>6.62</v>
          </cell>
          <cell r="I57">
            <v>6.62</v>
          </cell>
          <cell r="J57">
            <v>6.62</v>
          </cell>
          <cell r="K57">
            <v>6.62</v>
          </cell>
          <cell r="L57">
            <v>6.62</v>
          </cell>
          <cell r="M57">
            <v>6.62</v>
          </cell>
          <cell r="N57">
            <v>6.62</v>
          </cell>
          <cell r="O57">
            <v>6.62</v>
          </cell>
          <cell r="P57">
            <v>6.62</v>
          </cell>
          <cell r="R57" t="str">
            <v>N.A.</v>
          </cell>
          <cell r="S57" t="str">
            <v>N.A.</v>
          </cell>
          <cell r="U57">
            <v>6.62</v>
          </cell>
          <cell r="V57">
            <v>6.6384419544364492</v>
          </cell>
          <cell r="W57">
            <v>6.7622651500437918</v>
          </cell>
          <cell r="X57">
            <v>-1.8441954436449137E-2</v>
          </cell>
          <cell r="Y57">
            <v>-0.1422651500437917</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2.3000000000000003E-2</v>
          </cell>
          <cell r="V58">
            <v>2.110548392795478E-2</v>
          </cell>
          <cell r="W58">
            <v>1.8489875208244792E-2</v>
          </cell>
          <cell r="X58">
            <v>1.8945160720452228E-3</v>
          </cell>
          <cell r="Y58">
            <v>4.5101247917552108E-3</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R59" t="str">
            <v>N.A.</v>
          </cell>
          <cell r="S59" t="str">
            <v>N.A.</v>
          </cell>
          <cell r="U59">
            <v>0.19500000000000001</v>
          </cell>
          <cell r="V59">
            <v>0.18164714239870572</v>
          </cell>
          <cell r="W59">
            <v>0.19980307474157918</v>
          </cell>
          <cell r="X59">
            <v>1.3352857601294288E-2</v>
          </cell>
          <cell r="Y59">
            <v>-4.8030747415791775E-3</v>
          </cell>
        </row>
        <row r="60">
          <cell r="B60" t="str">
            <v>Concess. Rev per Patron (S$)</v>
          </cell>
          <cell r="C60" t="str">
            <v>N.A.</v>
          </cell>
          <cell r="E60">
            <v>1.35</v>
          </cell>
          <cell r="F60">
            <v>1.35</v>
          </cell>
          <cell r="G60">
            <v>1.35</v>
          </cell>
          <cell r="H60">
            <v>1.35</v>
          </cell>
          <cell r="I60">
            <v>1.35</v>
          </cell>
          <cell r="J60">
            <v>1.35</v>
          </cell>
          <cell r="K60">
            <v>1.35</v>
          </cell>
          <cell r="L60">
            <v>1.35</v>
          </cell>
          <cell r="M60">
            <v>1.35</v>
          </cell>
          <cell r="N60">
            <v>1.35</v>
          </cell>
          <cell r="O60">
            <v>1.35</v>
          </cell>
          <cell r="P60">
            <v>1.35</v>
          </cell>
          <cell r="R60" t="str">
            <v>N.A.</v>
          </cell>
          <cell r="S60" t="str">
            <v>N.A.</v>
          </cell>
          <cell r="U60">
            <v>1.35</v>
          </cell>
          <cell r="V60">
            <v>1.3812812470023981</v>
          </cell>
          <cell r="W60">
            <v>1.3128428616973324</v>
          </cell>
          <cell r="X60">
            <v>-3.1281247002397983E-2</v>
          </cell>
          <cell r="Y60">
            <v>3.7157138302667647E-2</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0.46617160693994947</v>
          </cell>
          <cell r="W61">
            <v>0.46589269667541255</v>
          </cell>
          <cell r="X61">
            <v>-1.1716069399493878E-3</v>
          </cell>
          <cell r="Y61">
            <v>-8.9269667541247433E-4</v>
          </cell>
        </row>
        <row r="62">
          <cell r="B62" t="str">
            <v>Direct Payroll : Net Box</v>
          </cell>
          <cell r="C62" t="str">
            <v>N.A.</v>
          </cell>
          <cell r="E62">
            <v>8.8774040203079108E-2</v>
          </cell>
          <cell r="F62">
            <v>8.4335338192925158E-2</v>
          </cell>
          <cell r="G62">
            <v>7.4661191908135249E-2</v>
          </cell>
          <cell r="H62">
            <v>8.7243453303026033E-2</v>
          </cell>
          <cell r="I62">
            <v>8.1614843412508215E-2</v>
          </cell>
          <cell r="J62">
            <v>6.1485687453758438E-2</v>
          </cell>
          <cell r="K62">
            <v>8.894361155831304E-2</v>
          </cell>
          <cell r="L62">
            <v>8.3205314038421879E-2</v>
          </cell>
          <cell r="M62">
            <v>7.3956841838557136E-2</v>
          </cell>
          <cell r="N62">
            <v>8.3205314038421879E-2</v>
          </cell>
          <cell r="O62">
            <v>6.6561157654701428E-2</v>
          </cell>
          <cell r="P62">
            <v>7.0998568165014847E-2</v>
          </cell>
          <cell r="R62" t="str">
            <v>N.A.</v>
          </cell>
          <cell r="S62" t="str">
            <v>N.A.</v>
          </cell>
          <cell r="U62">
            <v>7.7582914209383E-2</v>
          </cell>
          <cell r="V62">
            <v>9.360934780897627E-2</v>
          </cell>
          <cell r="W62">
            <v>9.0891528187915002E-2</v>
          </cell>
          <cell r="X62">
            <v>-1.6026433599593271E-2</v>
          </cell>
          <cell r="Y62">
            <v>-1.3308613978532002E-2</v>
          </cell>
        </row>
        <row r="63">
          <cell r="B63" t="str">
            <v>Direct Payroll : Net Box &amp; Conc.</v>
          </cell>
          <cell r="C63" t="str">
            <v>N.A.</v>
          </cell>
          <cell r="E63">
            <v>7.3737032138567596E-2</v>
          </cell>
          <cell r="F63">
            <v>7.0050180531639222E-2</v>
          </cell>
          <cell r="G63">
            <v>6.2014691396719612E-2</v>
          </cell>
          <cell r="H63">
            <v>7.2465703998247463E-2</v>
          </cell>
          <cell r="I63">
            <v>6.779049728868311E-2</v>
          </cell>
          <cell r="J63">
            <v>5.1070922326710275E-2</v>
          </cell>
          <cell r="K63">
            <v>7.3877880616817104E-2</v>
          </cell>
          <cell r="L63">
            <v>6.9111565738312772E-2</v>
          </cell>
          <cell r="M63">
            <v>6.1429647800658502E-2</v>
          </cell>
          <cell r="N63">
            <v>6.9111565738312772E-2</v>
          </cell>
          <cell r="O63">
            <v>5.5286683020592649E-2</v>
          </cell>
          <cell r="P63">
            <v>5.8972461888632165E-2</v>
          </cell>
          <cell r="Q63" t="str">
            <v/>
          </cell>
          <cell r="R63" t="str">
            <v>N.A.</v>
          </cell>
          <cell r="S63" t="str">
            <v>N.A.</v>
          </cell>
          <cell r="T63" t="str">
            <v>N.A.</v>
          </cell>
          <cell r="U63">
            <v>6.4441517197756024E-2</v>
          </cell>
          <cell r="V63">
            <v>7.7486492515234262E-2</v>
          </cell>
          <cell r="W63">
            <v>7.6114475819480179E-2</v>
          </cell>
          <cell r="X63">
            <v>-1.3044975317478238E-2</v>
          </cell>
          <cell r="Y63">
            <v>-1.1672958621724155E-2</v>
          </cell>
        </row>
        <row r="64">
          <cell r="B64" t="str">
            <v>Direct Payroll of Admissions (S$)</v>
          </cell>
          <cell r="C64" t="str">
            <v>N.A.</v>
          </cell>
          <cell r="E64">
            <v>0.5876841461443838</v>
          </cell>
          <cell r="F64">
            <v>0.55829993883716456</v>
          </cell>
          <cell r="G64">
            <v>0.49425709043185534</v>
          </cell>
          <cell r="H64">
            <v>0.57755166086603227</v>
          </cell>
          <cell r="I64">
            <v>0.54029026339080444</v>
          </cell>
          <cell r="J64">
            <v>0.40703525094388088</v>
          </cell>
          <cell r="K64">
            <v>0.58880670851603234</v>
          </cell>
          <cell r="L64">
            <v>0.55081917893435284</v>
          </cell>
          <cell r="M64">
            <v>0.48959429297124823</v>
          </cell>
          <cell r="N64">
            <v>0.55081917893435284</v>
          </cell>
          <cell r="O64">
            <v>0.44063486367412341</v>
          </cell>
          <cell r="P64">
            <v>0.47001052125239834</v>
          </cell>
          <cell r="Q64" t="str">
            <v/>
          </cell>
          <cell r="R64" t="str">
            <v>N.A.</v>
          </cell>
          <cell r="S64" t="str">
            <v>N.A.</v>
          </cell>
          <cell r="T64" t="str">
            <v>N.A.</v>
          </cell>
          <cell r="U64">
            <v>0.51359889206611553</v>
          </cell>
          <cell r="V64">
            <v>0.62142022182254175</v>
          </cell>
          <cell r="W64">
            <v>0.61463261349936049</v>
          </cell>
          <cell r="X64">
            <v>-0.10782132975642622</v>
          </cell>
          <cell r="Y64">
            <v>-0.10103372143324496</v>
          </cell>
        </row>
        <row r="65">
          <cell r="B65" t="str">
            <v>Gross Margin :Total Rev</v>
          </cell>
          <cell r="C65" t="str">
            <v>N.A.</v>
          </cell>
          <cell r="E65">
            <v>0.51398079956306164</v>
          </cell>
          <cell r="F65">
            <v>0.51616188867032109</v>
          </cell>
          <cell r="G65">
            <v>0.5202578862055528</v>
          </cell>
          <cell r="H65">
            <v>0.51473156730283176</v>
          </cell>
          <cell r="I65">
            <v>0.51750453342377523</v>
          </cell>
          <cell r="J65">
            <v>0.52700725104421642</v>
          </cell>
          <cell r="K65">
            <v>0.5133944187173588</v>
          </cell>
          <cell r="L65">
            <v>0.51624935009667094</v>
          </cell>
          <cell r="M65">
            <v>0.5202248681852214</v>
          </cell>
          <cell r="N65">
            <v>0.51624935009667094</v>
          </cell>
          <cell r="O65">
            <v>0.52404388659357515</v>
          </cell>
          <cell r="P65">
            <v>0.52174850496042813</v>
          </cell>
          <cell r="Q65" t="str">
            <v/>
          </cell>
          <cell r="R65" t="str">
            <v>N.A.</v>
          </cell>
          <cell r="S65" t="str">
            <v>N.A.</v>
          </cell>
          <cell r="T65" t="str">
            <v>N.A.</v>
          </cell>
          <cell r="U65">
            <v>0.51897935526928285</v>
          </cell>
          <cell r="V65">
            <v>0.51766506613518781</v>
          </cell>
          <cell r="W65">
            <v>0.50357233594361006</v>
          </cell>
          <cell r="X65">
            <v>1.3142891340950369E-3</v>
          </cell>
          <cell r="Y65">
            <v>1.5407019325672788E-2</v>
          </cell>
        </row>
        <row r="66">
          <cell r="B66" t="str">
            <v>G&amp;A % of total revenue</v>
          </cell>
          <cell r="C66" t="str">
            <v>N.A.</v>
          </cell>
          <cell r="E66">
            <v>3.6785597170305009E-2</v>
          </cell>
          <cell r="F66">
            <v>3.5040947327234895E-2</v>
          </cell>
          <cell r="G66">
            <v>3.0005568694381927E-2</v>
          </cell>
          <cell r="H66">
            <v>3.6185059202822417E-2</v>
          </cell>
          <cell r="I66">
            <v>3.6451058557464958E-2</v>
          </cell>
          <cell r="J66">
            <v>2.5130467661131084E-2</v>
          </cell>
          <cell r="K66">
            <v>3.6198430688677147E-2</v>
          </cell>
          <cell r="L66">
            <v>3.7874630524509297E-2</v>
          </cell>
          <cell r="M66">
            <v>2.9482573463688808E-2</v>
          </cell>
          <cell r="N66">
            <v>3.3675565048466173E-2</v>
          </cell>
          <cell r="O66">
            <v>2.6649563227012632E-2</v>
          </cell>
          <cell r="P66">
            <v>2.8098854600392777E-2</v>
          </cell>
          <cell r="Q66" t="str">
            <v/>
          </cell>
          <cell r="R66" t="e">
            <v>#DIV/0!</v>
          </cell>
          <cell r="S66" t="e">
            <v>#DIV/0!</v>
          </cell>
          <cell r="T66" t="e">
            <v>#DIV/0!</v>
          </cell>
          <cell r="U66">
            <v>3.2100973377124205E-2</v>
          </cell>
          <cell r="V66">
            <v>3.3343239037123364E-2</v>
          </cell>
          <cell r="W66">
            <v>3.002338441370956E-2</v>
          </cell>
          <cell r="X66">
            <v>-1.2422656599991588E-3</v>
          </cell>
          <cell r="Y66">
            <v>2.0775889634146449E-3</v>
          </cell>
        </row>
        <row r="67">
          <cell r="B67" t="str">
            <v>E.B.I.T.D. : Total Rev</v>
          </cell>
          <cell r="C67" t="str">
            <v>N.A.</v>
          </cell>
          <cell r="E67">
            <v>0.18517076918777392</v>
          </cell>
          <cell r="F67">
            <v>0.20176468420992744</v>
          </cell>
          <cell r="G67">
            <v>0.34300975378214116</v>
          </cell>
          <cell r="H67">
            <v>0.1642541147275508</v>
          </cell>
          <cell r="I67">
            <v>0.20949555118136043</v>
          </cell>
          <cell r="J67">
            <v>0.27911070898705082</v>
          </cell>
          <cell r="K67">
            <v>0.16722172299615509</v>
          </cell>
          <cell r="L67">
            <v>0.18587396067102646</v>
          </cell>
          <cell r="M67">
            <v>0.23379856495168669</v>
          </cell>
          <cell r="N67">
            <v>0.19007302614706958</v>
          </cell>
          <cell r="O67">
            <v>0.26274613744040648</v>
          </cell>
          <cell r="P67">
            <v>0.24560095771521975</v>
          </cell>
          <cell r="Q67" t="str">
            <v/>
          </cell>
          <cell r="R67" t="str">
            <v>N.A.</v>
          </cell>
          <cell r="S67" t="str">
            <v>N.A.</v>
          </cell>
          <cell r="T67" t="str">
            <v>N.A.</v>
          </cell>
          <cell r="U67">
            <v>0.21872625279530952</v>
          </cell>
          <cell r="V67">
            <v>0.24658331402968878</v>
          </cell>
          <cell r="W67">
            <v>0.26671600326804956</v>
          </cell>
          <cell r="X67">
            <v>-2.7857061234379255E-2</v>
          </cell>
          <cell r="Y67">
            <v>-4.7989750472740039E-2</v>
          </cell>
        </row>
        <row r="68">
          <cell r="B68" t="str">
            <v>No of Concession Transactions</v>
          </cell>
          <cell r="E68">
            <v>17</v>
          </cell>
          <cell r="F68">
            <v>18</v>
          </cell>
          <cell r="G68">
            <v>21</v>
          </cell>
          <cell r="H68">
            <v>17</v>
          </cell>
          <cell r="I68">
            <v>18</v>
          </cell>
          <cell r="J68">
            <v>25</v>
          </cell>
          <cell r="K68">
            <v>17</v>
          </cell>
          <cell r="L68">
            <v>18</v>
          </cell>
          <cell r="M68">
            <v>21</v>
          </cell>
          <cell r="N68">
            <v>18</v>
          </cell>
          <cell r="O68">
            <v>24</v>
          </cell>
          <cell r="P68">
            <v>22</v>
          </cell>
          <cell r="U68">
            <v>236</v>
          </cell>
          <cell r="V68">
            <v>219</v>
          </cell>
          <cell r="W68">
            <v>0</v>
          </cell>
          <cell r="X68">
            <v>17</v>
          </cell>
          <cell r="Y68">
            <v>236</v>
          </cell>
        </row>
        <row r="69">
          <cell r="B69" t="str">
            <v>Strike Rate %(No of Trans/Adm)</v>
          </cell>
          <cell r="E69">
            <v>0.2982456140350877</v>
          </cell>
          <cell r="F69">
            <v>0.3</v>
          </cell>
          <cell r="G69">
            <v>0.3</v>
          </cell>
          <cell r="H69">
            <v>0.29310344827586204</v>
          </cell>
          <cell r="I69">
            <v>0.29032258064516131</v>
          </cell>
          <cell r="J69">
            <v>0.29411764705882354</v>
          </cell>
          <cell r="K69">
            <v>0.29310344827586204</v>
          </cell>
          <cell r="L69">
            <v>0.29032258064516131</v>
          </cell>
          <cell r="M69">
            <v>0.29166666666666669</v>
          </cell>
          <cell r="N69">
            <v>0.29032258064516131</v>
          </cell>
          <cell r="O69">
            <v>0.3</v>
          </cell>
          <cell r="P69">
            <v>0.29333333333333333</v>
          </cell>
          <cell r="U69">
            <v>0.29463171036204744</v>
          </cell>
          <cell r="V69">
            <v>0.26258992805755393</v>
          </cell>
          <cell r="W69">
            <v>0</v>
          </cell>
          <cell r="X69">
            <v>3.2041782304493505E-2</v>
          </cell>
          <cell r="Y69">
            <v>0.29463171036204744</v>
          </cell>
        </row>
        <row r="70">
          <cell r="B70" t="str">
            <v>Ave Sales (Total Sale/No of Trans) (S$)</v>
          </cell>
          <cell r="E70">
            <v>4.526470588235294</v>
          </cell>
          <cell r="F70">
            <v>4.5</v>
          </cell>
          <cell r="G70">
            <v>4.5</v>
          </cell>
          <cell r="H70">
            <v>4.605882352941177</v>
          </cell>
          <cell r="I70">
            <v>4.6500000000000004</v>
          </cell>
          <cell r="J70">
            <v>4.59</v>
          </cell>
          <cell r="K70">
            <v>4.605882352941177</v>
          </cell>
          <cell r="L70">
            <v>4.6500000000000004</v>
          </cell>
          <cell r="M70">
            <v>4.628571428571429</v>
          </cell>
          <cell r="N70">
            <v>4.6500000000000004</v>
          </cell>
          <cell r="O70">
            <v>4.5</v>
          </cell>
          <cell r="P70">
            <v>4.6022727272727275</v>
          </cell>
          <cell r="U70">
            <v>4.5819915254237298</v>
          </cell>
          <cell r="V70">
            <v>5.2602217351598171</v>
          </cell>
          <cell r="W70" t="str">
            <v>N.A.</v>
          </cell>
          <cell r="X70">
            <v>-0.67823020973608728</v>
          </cell>
          <cell r="Y70" t="str">
            <v>N.A.</v>
          </cell>
        </row>
        <row r="71">
          <cell r="B71" t="str">
            <v xml:space="preserve">Total Concession Combo Sales </v>
          </cell>
          <cell r="E71">
            <v>38</v>
          </cell>
          <cell r="F71">
            <v>40</v>
          </cell>
          <cell r="G71">
            <v>48</v>
          </cell>
          <cell r="H71">
            <v>37</v>
          </cell>
          <cell r="I71">
            <v>40</v>
          </cell>
          <cell r="J71">
            <v>57</v>
          </cell>
          <cell r="K71">
            <v>38</v>
          </cell>
          <cell r="L71">
            <v>42</v>
          </cell>
          <cell r="M71">
            <v>47</v>
          </cell>
          <cell r="N71">
            <v>40</v>
          </cell>
          <cell r="O71">
            <v>54</v>
          </cell>
          <cell r="P71">
            <v>51</v>
          </cell>
          <cell r="U71">
            <v>532</v>
          </cell>
          <cell r="V71">
            <v>494</v>
          </cell>
          <cell r="W71">
            <v>0</v>
          </cell>
          <cell r="X71">
            <v>38</v>
          </cell>
          <cell r="Y71">
            <v>532</v>
          </cell>
        </row>
        <row r="72">
          <cell r="B72" t="str">
            <v>Combo Sales as % of Total Sales</v>
          </cell>
          <cell r="E72">
            <v>0.49382716049382713</v>
          </cell>
          <cell r="F72">
            <v>0.49382716049382713</v>
          </cell>
          <cell r="G72">
            <v>0.50793650793650791</v>
          </cell>
          <cell r="H72">
            <v>0.47254150702426556</v>
          </cell>
          <cell r="I72">
            <v>0.47789725209080047</v>
          </cell>
          <cell r="J72">
            <v>0.49673202614379081</v>
          </cell>
          <cell r="K72">
            <v>0.4853128991060025</v>
          </cell>
          <cell r="L72">
            <v>0.50179211469534046</v>
          </cell>
          <cell r="M72">
            <v>0.48353909465020573</v>
          </cell>
          <cell r="N72">
            <v>0.47789725209080047</v>
          </cell>
          <cell r="O72">
            <v>0.5</v>
          </cell>
          <cell r="P72">
            <v>0.50370370370370365</v>
          </cell>
          <cell r="U72">
            <v>0.49197762056688393</v>
          </cell>
          <cell r="V72">
            <v>0.42882370290204963</v>
          </cell>
          <cell r="W72">
            <v>0</v>
          </cell>
          <cell r="X72">
            <v>6.3153917664834303E-2</v>
          </cell>
          <cell r="Y72">
            <v>0.49197762056688393</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U73">
            <v>73.013999999999996</v>
          </cell>
          <cell r="V73">
            <v>67.687999999999988</v>
          </cell>
          <cell r="W73">
            <v>0</v>
          </cell>
          <cell r="X73">
            <v>5.3260000000000076</v>
          </cell>
          <cell r="Y73">
            <v>73.013999999999996</v>
          </cell>
        </row>
        <row r="74">
          <cell r="B74" t="str">
            <v>Admissions/labour hour paid</v>
          </cell>
          <cell r="E74">
            <v>10.702215546376268</v>
          </cell>
          <cell r="F74">
            <v>10.46207497820401</v>
          </cell>
          <cell r="G74">
            <v>9.5667623342900097</v>
          </cell>
          <cell r="H74">
            <v>11.6</v>
          </cell>
          <cell r="I74">
            <v>10.333333333333334</v>
          </cell>
          <cell r="J74">
            <v>12.142857142857142</v>
          </cell>
          <cell r="K74">
            <v>10.906355772846934</v>
          </cell>
          <cell r="L74">
            <v>10.333333333333334</v>
          </cell>
          <cell r="M74">
            <v>10.285714285714286</v>
          </cell>
          <cell r="N74">
            <v>11.658518239939825</v>
          </cell>
          <cell r="O74">
            <v>11.428571428571429</v>
          </cell>
          <cell r="P74">
            <v>12.5</v>
          </cell>
          <cell r="U74">
            <v>10.970498808447696</v>
          </cell>
          <cell r="V74">
            <v>12.321238624276093</v>
          </cell>
          <cell r="W74" t="str">
            <v>N.A.</v>
          </cell>
          <cell r="X74">
            <v>-1.3507398158283976</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48.62153</v>
          </cell>
          <cell r="W77">
            <v>3.8690000000000002</v>
          </cell>
          <cell r="X77">
            <v>-21.43403</v>
          </cell>
          <cell r="Y77">
            <v>23.3185</v>
          </cell>
        </row>
        <row r="78">
          <cell r="A78">
            <v>53</v>
          </cell>
          <cell r="B78" t="str">
            <v>Auditorium Rentals</v>
          </cell>
          <cell r="E78">
            <v>1</v>
          </cell>
          <cell r="F78">
            <v>1</v>
          </cell>
          <cell r="G78">
            <v>1</v>
          </cell>
          <cell r="H78">
            <v>1</v>
          </cell>
          <cell r="I78">
            <v>1</v>
          </cell>
          <cell r="J78">
            <v>1</v>
          </cell>
          <cell r="K78">
            <v>1</v>
          </cell>
          <cell r="L78">
            <v>1</v>
          </cell>
          <cell r="M78">
            <v>1</v>
          </cell>
          <cell r="N78">
            <v>1</v>
          </cell>
          <cell r="O78">
            <v>1</v>
          </cell>
          <cell r="P78">
            <v>1</v>
          </cell>
          <cell r="T78">
            <v>0</v>
          </cell>
          <cell r="U78">
            <v>12</v>
          </cell>
          <cell r="V78">
            <v>7.6340000000000021</v>
          </cell>
          <cell r="W78">
            <v>3.923</v>
          </cell>
          <cell r="X78">
            <v>4.3659999999999979</v>
          </cell>
          <cell r="Y78">
            <v>8.077</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58.76</v>
          </cell>
          <cell r="W82">
            <v>54.470999999999997</v>
          </cell>
          <cell r="X82">
            <v>-20.695999999999998</v>
          </cell>
          <cell r="Y82">
            <v>-16.406999999999996</v>
          </cell>
        </row>
        <row r="83">
          <cell r="C83">
            <v>0</v>
          </cell>
          <cell r="E83">
            <v>6.4376250000000006</v>
          </cell>
          <cell r="F83">
            <v>6.4376250000000006</v>
          </cell>
          <cell r="G83">
            <v>6.4376250000000006</v>
          </cell>
          <cell r="H83">
            <v>6.4376250000000006</v>
          </cell>
          <cell r="I83">
            <v>6.4376250000000006</v>
          </cell>
          <cell r="J83">
            <v>6.4376250000000006</v>
          </cell>
          <cell r="K83">
            <v>6.4376250000000006</v>
          </cell>
          <cell r="L83">
            <v>6.4376250000000006</v>
          </cell>
          <cell r="M83">
            <v>6.4376250000000006</v>
          </cell>
          <cell r="N83">
            <v>6.4376250000000006</v>
          </cell>
          <cell r="O83">
            <v>6.4376250000000006</v>
          </cell>
          <cell r="P83">
            <v>6.4376250000000006</v>
          </cell>
          <cell r="R83">
            <v>0</v>
          </cell>
          <cell r="S83">
            <v>0</v>
          </cell>
          <cell r="T83">
            <v>0</v>
          </cell>
          <cell r="U83">
            <v>77.251499999999993</v>
          </cell>
          <cell r="V83">
            <v>115.01553</v>
          </cell>
          <cell r="W83">
            <v>62.262999999999998</v>
          </cell>
          <cell r="X83">
            <v>-37.764030000000005</v>
          </cell>
          <cell r="Y83">
            <v>14.988499999999995</v>
          </cell>
        </row>
        <row r="84">
          <cell r="X84" t="str">
            <v/>
          </cell>
          <cell r="Y84" t="str">
            <v/>
          </cell>
        </row>
        <row r="85">
          <cell r="B85" t="str">
            <v>10 Other Cost</v>
          </cell>
          <cell r="X85" t="str">
            <v/>
          </cell>
          <cell r="Y85" t="str">
            <v/>
          </cell>
        </row>
        <row r="86">
          <cell r="A86">
            <v>61</v>
          </cell>
          <cell r="B86" t="str">
            <v>Authors Rights</v>
          </cell>
          <cell r="E86">
            <v>0.75468000000000013</v>
          </cell>
          <cell r="F86">
            <v>0.7944</v>
          </cell>
          <cell r="G86">
            <v>0.92680000000000007</v>
          </cell>
          <cell r="H86">
            <v>0.76791999999999994</v>
          </cell>
          <cell r="I86">
            <v>0.82088000000000005</v>
          </cell>
          <cell r="J86">
            <v>1.1254000000000002</v>
          </cell>
          <cell r="K86">
            <v>0.76791999999999994</v>
          </cell>
          <cell r="L86">
            <v>0.82088000000000005</v>
          </cell>
          <cell r="M86">
            <v>0.95328000000000002</v>
          </cell>
          <cell r="N86">
            <v>0.82088000000000005</v>
          </cell>
          <cell r="O86">
            <v>1.0592000000000001</v>
          </cell>
          <cell r="P86">
            <v>0.99299999999999999</v>
          </cell>
          <cell r="U86">
            <v>10.605240000000002</v>
          </cell>
          <cell r="V86">
            <v>11.072921179999998</v>
          </cell>
          <cell r="W86">
            <v>14.762674000000001</v>
          </cell>
          <cell r="X86">
            <v>-0.46768117999999603</v>
          </cell>
          <cell r="Y86">
            <v>-4.1574339999999985</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0.75468000000000013</v>
          </cell>
          <cell r="F91">
            <v>0.7944</v>
          </cell>
          <cell r="G91">
            <v>0.92680000000000007</v>
          </cell>
          <cell r="H91">
            <v>0.76791999999999994</v>
          </cell>
          <cell r="I91">
            <v>0.82088000000000005</v>
          </cell>
          <cell r="J91">
            <v>1.1254000000000002</v>
          </cell>
          <cell r="K91">
            <v>0.76791999999999994</v>
          </cell>
          <cell r="L91">
            <v>0.82088000000000005</v>
          </cell>
          <cell r="M91">
            <v>0.95328000000000002</v>
          </cell>
          <cell r="N91">
            <v>0.82088000000000005</v>
          </cell>
          <cell r="O91">
            <v>1.0592000000000001</v>
          </cell>
          <cell r="P91">
            <v>0.99299999999999999</v>
          </cell>
          <cell r="U91">
            <v>10.605240000000002</v>
          </cell>
          <cell r="V91">
            <v>11.072921179999998</v>
          </cell>
          <cell r="W91">
            <v>14.762674000000001</v>
          </cell>
          <cell r="X91">
            <v>-0.46768117999999603</v>
          </cell>
          <cell r="Y91">
            <v>-4.1574339999999985</v>
          </cell>
        </row>
        <row r="92">
          <cell r="X92" t="str">
            <v/>
          </cell>
          <cell r="Y92" t="str">
            <v/>
          </cell>
        </row>
        <row r="93">
          <cell r="B93" t="str">
            <v>11 Direct Payroll</v>
          </cell>
          <cell r="X93" t="str">
            <v/>
          </cell>
          <cell r="Y93" t="str">
            <v/>
          </cell>
        </row>
        <row r="94">
          <cell r="A94">
            <v>66</v>
          </cell>
          <cell r="B94" t="str">
            <v>Salaries</v>
          </cell>
          <cell r="E94">
            <v>30.818469663563214</v>
          </cell>
          <cell r="F94">
            <v>30.818469663563214</v>
          </cell>
          <cell r="G94">
            <v>31.918469663563215</v>
          </cell>
          <cell r="H94">
            <v>30.818469663563214</v>
          </cell>
          <cell r="I94">
            <v>30.818469663563214</v>
          </cell>
          <cell r="J94">
            <v>31.918469663563215</v>
          </cell>
          <cell r="K94">
            <v>31.471262427263216</v>
          </cell>
          <cell r="L94">
            <v>31.471262427263216</v>
          </cell>
          <cell r="M94">
            <v>32.571262427263214</v>
          </cell>
          <cell r="N94">
            <v>31.471262427263216</v>
          </cell>
          <cell r="O94">
            <v>32.571262427263214</v>
          </cell>
          <cell r="P94">
            <v>32.571262427263214</v>
          </cell>
          <cell r="T94">
            <v>0</v>
          </cell>
          <cell r="U94">
            <v>379.23839254495857</v>
          </cell>
          <cell r="V94">
            <v>474.64974999999987</v>
          </cell>
          <cell r="W94">
            <v>588.10900000000004</v>
          </cell>
          <cell r="X94">
            <v>-95.411357455041298</v>
          </cell>
          <cell r="Y94">
            <v>-208.87060745504147</v>
          </cell>
        </row>
        <row r="95">
          <cell r="A95">
            <v>67</v>
          </cell>
          <cell r="B95" t="str">
            <v>Bonus/Commission</v>
          </cell>
          <cell r="E95">
            <v>1.6555266666666666</v>
          </cell>
          <cell r="F95">
            <v>1.6555266666666666</v>
          </cell>
          <cell r="G95">
            <v>1.6555266666666666</v>
          </cell>
          <cell r="H95">
            <v>1.6555266666666666</v>
          </cell>
          <cell r="I95">
            <v>1.6555266666666666</v>
          </cell>
          <cell r="J95">
            <v>1.6555266666666666</v>
          </cell>
          <cell r="K95">
            <v>1.6555266666666666</v>
          </cell>
          <cell r="L95">
            <v>1.6555266666666666</v>
          </cell>
          <cell r="M95">
            <v>1.6555266666666666</v>
          </cell>
          <cell r="N95">
            <v>1.6555266666666666</v>
          </cell>
          <cell r="O95">
            <v>1.6555266666666666</v>
          </cell>
          <cell r="P95">
            <v>1.6555266666666666</v>
          </cell>
          <cell r="T95">
            <v>0</v>
          </cell>
          <cell r="U95">
            <v>19.866319999999998</v>
          </cell>
          <cell r="V95">
            <v>25.927974999999996</v>
          </cell>
          <cell r="W95">
            <v>50.03</v>
          </cell>
          <cell r="X95">
            <v>-6.0616549999999982</v>
          </cell>
          <cell r="Y95">
            <v>-30.163680000000003</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11.432999999999998</v>
          </cell>
          <cell r="W97">
            <v>22.122</v>
          </cell>
          <cell r="X97">
            <v>-4.7969999999999979</v>
          </cell>
          <cell r="Y97">
            <v>-15.486000000000001</v>
          </cell>
        </row>
        <row r="98">
          <cell r="A98">
            <v>70</v>
          </cell>
          <cell r="B98" t="str">
            <v>Miscellaneous</v>
          </cell>
          <cell r="E98">
            <v>0.47099999999999997</v>
          </cell>
          <cell r="F98">
            <v>0.47099999999999997</v>
          </cell>
          <cell r="G98">
            <v>0.47099999999999997</v>
          </cell>
          <cell r="H98">
            <v>0.47099999999999997</v>
          </cell>
          <cell r="I98">
            <v>0.47099999999999997</v>
          </cell>
          <cell r="J98">
            <v>0.47099999999999997</v>
          </cell>
          <cell r="K98">
            <v>0.47099999999999997</v>
          </cell>
          <cell r="L98">
            <v>0.47099999999999997</v>
          </cell>
          <cell r="M98">
            <v>0.47099999999999997</v>
          </cell>
          <cell r="N98">
            <v>0.47099999999999997</v>
          </cell>
          <cell r="O98">
            <v>0.47099999999999997</v>
          </cell>
          <cell r="P98">
            <v>0.47099999999999997</v>
          </cell>
          <cell r="T98">
            <v>0</v>
          </cell>
          <cell r="U98">
            <v>5.6520000000000001</v>
          </cell>
          <cell r="V98">
            <v>6.2537400000000014</v>
          </cell>
          <cell r="W98">
            <v>10.64</v>
          </cell>
          <cell r="X98">
            <v>-0.60174000000000127</v>
          </cell>
          <cell r="Y98">
            <v>-4.9880000000000004</v>
          </cell>
        </row>
        <row r="99">
          <cell r="C99">
            <v>0</v>
          </cell>
          <cell r="E99">
            <v>33.497996330229874</v>
          </cell>
          <cell r="F99">
            <v>33.497996330229874</v>
          </cell>
          <cell r="G99">
            <v>34.597996330229876</v>
          </cell>
          <cell r="H99">
            <v>33.497996330229874</v>
          </cell>
          <cell r="I99">
            <v>33.497996330229874</v>
          </cell>
          <cell r="J99">
            <v>34.597996330229876</v>
          </cell>
          <cell r="K99">
            <v>34.150789093929873</v>
          </cell>
          <cell r="L99">
            <v>34.150789093929873</v>
          </cell>
          <cell r="M99">
            <v>35.250789093929875</v>
          </cell>
          <cell r="N99">
            <v>34.150789093929873</v>
          </cell>
          <cell r="O99">
            <v>35.250789093929875</v>
          </cell>
          <cell r="P99">
            <v>35.250789093929875</v>
          </cell>
          <cell r="R99">
            <v>0</v>
          </cell>
          <cell r="S99">
            <v>0</v>
          </cell>
          <cell r="T99">
            <v>0</v>
          </cell>
          <cell r="U99">
            <v>411.39271254495856</v>
          </cell>
          <cell r="V99">
            <v>518.26446499999986</v>
          </cell>
          <cell r="W99">
            <v>670.90099999999995</v>
          </cell>
          <cell r="X99">
            <v>-106.8717524550413</v>
          </cell>
          <cell r="Y99">
            <v>-259.5082874550414</v>
          </cell>
        </row>
        <row r="100">
          <cell r="X100" t="str">
            <v/>
          </cell>
          <cell r="Y100" t="str">
            <v/>
          </cell>
        </row>
        <row r="101">
          <cell r="B101" t="str">
            <v>16 Other Overhead Costs</v>
          </cell>
          <cell r="X101" t="str">
            <v/>
          </cell>
          <cell r="Y101" t="str">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T102">
            <v>0</v>
          </cell>
          <cell r="U102">
            <v>15.6</v>
          </cell>
          <cell r="V102">
            <v>13.756609999999998</v>
          </cell>
          <cell r="W102">
            <v>15.471</v>
          </cell>
          <cell r="X102">
            <v>1.8433900000000047</v>
          </cell>
          <cell r="Y102">
            <v>0.12900000000000311</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23.907093333333329</v>
          </cell>
          <cell r="W104">
            <v>24.76</v>
          </cell>
          <cell r="X104">
            <v>9.2906666666671356E-2</v>
          </cell>
          <cell r="Y104">
            <v>-0.76000000000000156</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9.5634599999999992</v>
          </cell>
          <cell r="W105">
            <v>11.818</v>
          </cell>
          <cell r="X105">
            <v>2.4365400000000008</v>
          </cell>
          <cell r="Y105">
            <v>0.18200000000000038</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3.0898899999999991</v>
          </cell>
          <cell r="W106">
            <v>0</v>
          </cell>
          <cell r="X106">
            <v>2.9101100000000009</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0.35499999999999998</v>
          </cell>
          <cell r="F108">
            <v>0.35499999999999998</v>
          </cell>
          <cell r="G108">
            <v>0.35499999999999998</v>
          </cell>
          <cell r="H108">
            <v>0.35499999999999998</v>
          </cell>
          <cell r="I108">
            <v>0.35499999999999998</v>
          </cell>
          <cell r="J108">
            <v>0.35499999999999998</v>
          </cell>
          <cell r="K108">
            <v>0.35499999999999998</v>
          </cell>
          <cell r="L108">
            <v>0.35499999999999998</v>
          </cell>
          <cell r="M108">
            <v>0.35499999999999998</v>
          </cell>
          <cell r="N108">
            <v>0.35499999999999998</v>
          </cell>
          <cell r="O108">
            <v>0.35499999999999998</v>
          </cell>
          <cell r="P108">
            <v>0.35499999999999998</v>
          </cell>
          <cell r="T108">
            <v>0</v>
          </cell>
          <cell r="U108">
            <v>4.26</v>
          </cell>
          <cell r="V108">
            <v>6.9903329400000018</v>
          </cell>
          <cell r="W108">
            <v>13.173325999999999</v>
          </cell>
          <cell r="X108">
            <v>-2.730332940000002</v>
          </cell>
          <cell r="Y108">
            <v>-8.9133259999999996</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4.9004799999999999</v>
          </cell>
          <cell r="F111">
            <v>4.9004799999999999</v>
          </cell>
          <cell r="G111">
            <v>4.7423999999999999</v>
          </cell>
          <cell r="H111">
            <v>4.9004799999999999</v>
          </cell>
          <cell r="I111">
            <v>6.1924000000000001</v>
          </cell>
          <cell r="J111">
            <v>4.9004799999999999</v>
          </cell>
          <cell r="K111">
            <v>4.9004799999999999</v>
          </cell>
          <cell r="L111">
            <v>6.92624</v>
          </cell>
          <cell r="M111">
            <v>4.9004799999999999</v>
          </cell>
          <cell r="N111">
            <v>4.7423999999999999</v>
          </cell>
          <cell r="O111">
            <v>4.9004799999999999</v>
          </cell>
          <cell r="P111">
            <v>4.7423999999999999</v>
          </cell>
          <cell r="T111">
            <v>0</v>
          </cell>
          <cell r="U111">
            <v>61.649200000000008</v>
          </cell>
          <cell r="V111">
            <v>87.973470000000006</v>
          </cell>
          <cell r="W111">
            <v>118.69</v>
          </cell>
          <cell r="X111">
            <v>-26.324269999999999</v>
          </cell>
          <cell r="Y111">
            <v>-57.04079999999999</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53.609690000000001</v>
          </cell>
          <cell r="W112">
            <v>40.445</v>
          </cell>
          <cell r="X112">
            <v>-5.6096900000000005</v>
          </cell>
          <cell r="Y112">
            <v>7.5549999999999997</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6.8279599999999991</v>
          </cell>
          <cell r="W113">
            <v>8.1020000000000003</v>
          </cell>
          <cell r="X113">
            <v>0.37203999999999926</v>
          </cell>
          <cell r="Y113">
            <v>-0.90200000000000191</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1.075</v>
          </cell>
          <cell r="W114">
            <v>1.8140000000000001</v>
          </cell>
          <cell r="X114">
            <v>1.325</v>
          </cell>
          <cell r="Y114">
            <v>0.58599999999999985</v>
          </cell>
        </row>
        <row r="115">
          <cell r="A115">
            <v>84</v>
          </cell>
          <cell r="B115" t="str">
            <v>Freight</v>
          </cell>
          <cell r="E115">
            <v>0.5</v>
          </cell>
          <cell r="F115">
            <v>0.5</v>
          </cell>
          <cell r="G115">
            <v>0.5</v>
          </cell>
          <cell r="H115">
            <v>0.5</v>
          </cell>
          <cell r="I115">
            <v>0.5</v>
          </cell>
          <cell r="J115">
            <v>0.5</v>
          </cell>
          <cell r="K115">
            <v>0.5</v>
          </cell>
          <cell r="L115">
            <v>0.5</v>
          </cell>
          <cell r="M115">
            <v>0.5</v>
          </cell>
          <cell r="N115">
            <v>0.5</v>
          </cell>
          <cell r="O115">
            <v>0.5</v>
          </cell>
          <cell r="P115">
            <v>0.5</v>
          </cell>
          <cell r="T115">
            <v>0</v>
          </cell>
          <cell r="U115">
            <v>6</v>
          </cell>
          <cell r="V115">
            <v>4.5141099999999996</v>
          </cell>
          <cell r="W115">
            <v>5.0839999999999996</v>
          </cell>
          <cell r="X115">
            <v>1.4858900000000004</v>
          </cell>
          <cell r="Y115">
            <v>0.91600000000000037</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0.25</v>
          </cell>
          <cell r="F117">
            <v>0.25</v>
          </cell>
          <cell r="G117">
            <v>0.25</v>
          </cell>
          <cell r="H117">
            <v>0.25</v>
          </cell>
          <cell r="I117">
            <v>0.25</v>
          </cell>
          <cell r="J117">
            <v>0.25</v>
          </cell>
          <cell r="K117">
            <v>0.25</v>
          </cell>
          <cell r="L117">
            <v>0.25</v>
          </cell>
          <cell r="M117">
            <v>0.25</v>
          </cell>
          <cell r="N117">
            <v>0.25</v>
          </cell>
          <cell r="O117">
            <v>0.25</v>
          </cell>
          <cell r="P117">
            <v>0.25</v>
          </cell>
          <cell r="T117">
            <v>0</v>
          </cell>
          <cell r="U117">
            <v>3</v>
          </cell>
          <cell r="V117">
            <v>2.2673299999999994</v>
          </cell>
          <cell r="W117">
            <v>5.5659999999999998</v>
          </cell>
          <cell r="X117">
            <v>0.7326700000000006</v>
          </cell>
          <cell r="Y117">
            <v>-2.5659999999999998</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0.45997996330229879</v>
          </cell>
          <cell r="F119">
            <v>0.45997996330229879</v>
          </cell>
          <cell r="G119">
            <v>0.4709799633022988</v>
          </cell>
          <cell r="H119">
            <v>0.45997996330229879</v>
          </cell>
          <cell r="I119">
            <v>0.45997996330229879</v>
          </cell>
          <cell r="J119">
            <v>0.4709799633022988</v>
          </cell>
          <cell r="K119">
            <v>0.46650789093929884</v>
          </cell>
          <cell r="L119">
            <v>0.46650789093929884</v>
          </cell>
          <cell r="M119">
            <v>0.4775078909392988</v>
          </cell>
          <cell r="N119">
            <v>0.46650789093929884</v>
          </cell>
          <cell r="O119">
            <v>0.4775078909392988</v>
          </cell>
          <cell r="P119">
            <v>0.4775078909392988</v>
          </cell>
          <cell r="T119">
            <v>0</v>
          </cell>
          <cell r="U119">
            <v>5.6139271254495853</v>
          </cell>
          <cell r="V119">
            <v>5.7906599999999999</v>
          </cell>
          <cell r="W119">
            <v>9.5779999999999994</v>
          </cell>
          <cell r="X119">
            <v>-0.17673287455041464</v>
          </cell>
          <cell r="Y119">
            <v>-3.9640728745504141</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2.5874699999999997</v>
          </cell>
          <cell r="W124">
            <v>4.9189999999999969</v>
          </cell>
          <cell r="X124">
            <v>1.0125299999999995</v>
          </cell>
          <cell r="Y124">
            <v>-1.3189999999999977</v>
          </cell>
        </row>
        <row r="125">
          <cell r="C125">
            <v>0</v>
          </cell>
          <cell r="E125">
            <v>17.665459963302297</v>
          </cell>
          <cell r="F125">
            <v>17.665459963302297</v>
          </cell>
          <cell r="G125">
            <v>17.518379963302298</v>
          </cell>
          <cell r="H125">
            <v>17.665459963302297</v>
          </cell>
          <cell r="I125">
            <v>18.957379963302301</v>
          </cell>
          <cell r="J125">
            <v>17.6764599633023</v>
          </cell>
          <cell r="K125">
            <v>17.671987890939299</v>
          </cell>
          <cell r="L125">
            <v>19.697747890939301</v>
          </cell>
          <cell r="M125">
            <v>17.682987890939298</v>
          </cell>
          <cell r="N125">
            <v>17.513907890939297</v>
          </cell>
          <cell r="O125">
            <v>17.682987890939298</v>
          </cell>
          <cell r="P125">
            <v>17.524907890939296</v>
          </cell>
          <cell r="R125">
            <v>0</v>
          </cell>
          <cell r="S125">
            <v>0</v>
          </cell>
          <cell r="T125">
            <v>0</v>
          </cell>
          <cell r="U125">
            <v>214.92312712544958</v>
          </cell>
          <cell r="V125">
            <v>237.55307627333329</v>
          </cell>
          <cell r="W125">
            <v>275.02032600000001</v>
          </cell>
          <cell r="X125">
            <v>-22.629949147883707</v>
          </cell>
          <cell r="Y125">
            <v>-60.097198874550429</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cell>
          <cell r="Y132" t="str">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31" refreshError="1">
        <row r="11">
          <cell r="A11">
            <v>1</v>
          </cell>
          <cell r="B11" t="str">
            <v>Net Film Revenue</v>
          </cell>
          <cell r="E11">
            <v>317.76</v>
          </cell>
          <cell r="F11">
            <v>331</v>
          </cell>
          <cell r="G11">
            <v>423.68</v>
          </cell>
          <cell r="H11">
            <v>297.89999999999998</v>
          </cell>
          <cell r="I11">
            <v>344.24</v>
          </cell>
          <cell r="J11">
            <v>496.5</v>
          </cell>
          <cell r="K11">
            <v>344.24</v>
          </cell>
          <cell r="L11">
            <v>357.48</v>
          </cell>
          <cell r="M11">
            <v>397.2</v>
          </cell>
          <cell r="N11">
            <v>337.62</v>
          </cell>
          <cell r="O11">
            <v>390.58</v>
          </cell>
          <cell r="P11">
            <v>430.3</v>
          </cell>
          <cell r="Q11">
            <v>0</v>
          </cell>
          <cell r="T11">
            <v>0</v>
          </cell>
          <cell r="U11">
            <v>4468.5</v>
          </cell>
          <cell r="V11">
            <v>4654.9493000000002</v>
          </cell>
          <cell r="W11">
            <v>6780.2759999999998</v>
          </cell>
          <cell r="X11">
            <v>-186.44930000000113</v>
          </cell>
          <cell r="Y11">
            <v>-2311.7760000000007</v>
          </cell>
        </row>
        <row r="12">
          <cell r="A12">
            <v>2</v>
          </cell>
          <cell r="B12" t="str">
            <v>Concession Sales</v>
          </cell>
          <cell r="E12">
            <v>57.6</v>
          </cell>
          <cell r="F12">
            <v>60</v>
          </cell>
          <cell r="G12">
            <v>76.8</v>
          </cell>
          <cell r="H12">
            <v>54</v>
          </cell>
          <cell r="I12">
            <v>62.4</v>
          </cell>
          <cell r="J12">
            <v>90</v>
          </cell>
          <cell r="K12">
            <v>62.4</v>
          </cell>
          <cell r="L12">
            <v>64.8</v>
          </cell>
          <cell r="M12">
            <v>72</v>
          </cell>
          <cell r="N12">
            <v>61.2</v>
          </cell>
          <cell r="O12">
            <v>70.8</v>
          </cell>
          <cell r="P12">
            <v>78</v>
          </cell>
          <cell r="T12">
            <v>0</v>
          </cell>
          <cell r="U12">
            <v>810</v>
          </cell>
          <cell r="V12">
            <v>791.82263</v>
          </cell>
          <cell r="W12">
            <v>1057.2180000000001</v>
          </cell>
          <cell r="X12">
            <v>18.177369999999883</v>
          </cell>
          <cell r="Y12">
            <v>-247.21800000000019</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12</v>
          </cell>
          <cell r="F14">
            <v>12</v>
          </cell>
          <cell r="G14">
            <v>16</v>
          </cell>
          <cell r="H14">
            <v>10</v>
          </cell>
          <cell r="I14">
            <v>12</v>
          </cell>
          <cell r="J14">
            <v>15</v>
          </cell>
          <cell r="K14">
            <v>10</v>
          </cell>
          <cell r="L14">
            <v>15</v>
          </cell>
          <cell r="M14">
            <v>12</v>
          </cell>
          <cell r="N14">
            <v>10</v>
          </cell>
          <cell r="O14">
            <v>12</v>
          </cell>
          <cell r="P14">
            <v>15</v>
          </cell>
          <cell r="T14">
            <v>0</v>
          </cell>
          <cell r="U14">
            <v>151</v>
          </cell>
          <cell r="V14">
            <v>168.21816999999999</v>
          </cell>
          <cell r="W14">
            <v>200.64500000000001</v>
          </cell>
          <cell r="X14">
            <v>-17.218169999999986</v>
          </cell>
          <cell r="Y14">
            <v>-49.645000000000003</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288.80450999999999</v>
          </cell>
          <cell r="W15">
            <v>260.94299999999998</v>
          </cell>
          <cell r="X15">
            <v>-54.804509999999993</v>
          </cell>
          <cell r="Y15">
            <v>-26.942999999999984</v>
          </cell>
        </row>
        <row r="16">
          <cell r="A16">
            <v>6</v>
          </cell>
          <cell r="B16" t="str">
            <v>Other Income</v>
          </cell>
          <cell r="C16">
            <v>0</v>
          </cell>
          <cell r="E16">
            <v>6.4376250000000006</v>
          </cell>
          <cell r="F16">
            <v>6.4376250000000006</v>
          </cell>
          <cell r="G16">
            <v>6.4376250000000006</v>
          </cell>
          <cell r="H16">
            <v>6.4376250000000006</v>
          </cell>
          <cell r="I16">
            <v>6.4376250000000006</v>
          </cell>
          <cell r="J16">
            <v>6.4376250000000006</v>
          </cell>
          <cell r="K16">
            <v>6.4376250000000006</v>
          </cell>
          <cell r="L16">
            <v>6.4376250000000006</v>
          </cell>
          <cell r="M16">
            <v>6.4376250000000006</v>
          </cell>
          <cell r="N16">
            <v>6.4376250000000006</v>
          </cell>
          <cell r="O16">
            <v>6.4376250000000006</v>
          </cell>
          <cell r="P16">
            <v>6.4376250000000006</v>
          </cell>
          <cell r="R16">
            <v>0</v>
          </cell>
          <cell r="S16">
            <v>0</v>
          </cell>
          <cell r="T16">
            <v>0</v>
          </cell>
          <cell r="U16">
            <v>77.251499999999979</v>
          </cell>
          <cell r="V16">
            <v>121.23273</v>
          </cell>
          <cell r="W16">
            <v>86.550999999999988</v>
          </cell>
          <cell r="X16">
            <v>-43.981230000000025</v>
          </cell>
          <cell r="Y16">
            <v>-9.299500000000009</v>
          </cell>
        </row>
        <row r="17">
          <cell r="B17" t="str">
            <v>TOTAL REVENUE</v>
          </cell>
          <cell r="C17">
            <v>0</v>
          </cell>
          <cell r="E17">
            <v>413.29762500000004</v>
          </cell>
          <cell r="F17">
            <v>428.93762500000003</v>
          </cell>
          <cell r="G17">
            <v>542.41762500000004</v>
          </cell>
          <cell r="H17">
            <v>387.837625</v>
          </cell>
          <cell r="I17">
            <v>444.57762500000001</v>
          </cell>
          <cell r="J17">
            <v>627.43762500000003</v>
          </cell>
          <cell r="K17">
            <v>442.57762500000001</v>
          </cell>
          <cell r="L17">
            <v>463.21762500000006</v>
          </cell>
          <cell r="M17">
            <v>507.13762500000001</v>
          </cell>
          <cell r="N17">
            <v>434.75762500000002</v>
          </cell>
          <cell r="O17">
            <v>499.31762500000002</v>
          </cell>
          <cell r="P17">
            <v>549.23762499999998</v>
          </cell>
          <cell r="R17">
            <v>0</v>
          </cell>
          <cell r="S17">
            <v>0</v>
          </cell>
          <cell r="T17">
            <v>0</v>
          </cell>
          <cell r="U17">
            <v>5740.7515000000003</v>
          </cell>
          <cell r="V17">
            <v>6025.0273399999996</v>
          </cell>
          <cell r="W17">
            <v>8385.6329999999998</v>
          </cell>
          <cell r="X17">
            <v>-284.27583999999933</v>
          </cell>
          <cell r="Y17">
            <v>-2644.8814999999995</v>
          </cell>
        </row>
        <row r="19">
          <cell r="A19">
            <v>7</v>
          </cell>
          <cell r="B19" t="str">
            <v>Film Hire</v>
          </cell>
          <cell r="E19">
            <v>147.75839999999999</v>
          </cell>
          <cell r="F19">
            <v>153.91499999999999</v>
          </cell>
          <cell r="G19">
            <v>197.0112</v>
          </cell>
          <cell r="H19">
            <v>138.52349999999998</v>
          </cell>
          <cell r="I19">
            <v>160.07160000000002</v>
          </cell>
          <cell r="J19">
            <v>230.8725</v>
          </cell>
          <cell r="K19">
            <v>160.07160000000002</v>
          </cell>
          <cell r="L19">
            <v>166.22820000000002</v>
          </cell>
          <cell r="M19">
            <v>184.69800000000001</v>
          </cell>
          <cell r="N19">
            <v>156.9933</v>
          </cell>
          <cell r="O19">
            <v>181.61969999999999</v>
          </cell>
          <cell r="P19">
            <v>200.08950000000002</v>
          </cell>
          <cell r="U19">
            <v>2077.8525</v>
          </cell>
          <cell r="V19">
            <v>2163.2345749999999</v>
          </cell>
          <cell r="W19">
            <v>3170.377</v>
          </cell>
          <cell r="X19">
            <v>-85.382074999999986</v>
          </cell>
          <cell r="Y19">
            <v>-1092.5245</v>
          </cell>
        </row>
        <row r="20">
          <cell r="A20">
            <v>8</v>
          </cell>
          <cell r="B20" t="str">
            <v>Concession Cost</v>
          </cell>
          <cell r="E20">
            <v>12.671999999999999</v>
          </cell>
          <cell r="F20">
            <v>13.2</v>
          </cell>
          <cell r="G20">
            <v>16.896000000000001</v>
          </cell>
          <cell r="H20">
            <v>11.88</v>
          </cell>
          <cell r="I20">
            <v>13.728</v>
          </cell>
          <cell r="J20">
            <v>19.8</v>
          </cell>
          <cell r="K20">
            <v>13.728</v>
          </cell>
          <cell r="L20">
            <v>14.256</v>
          </cell>
          <cell r="M20">
            <v>15.84</v>
          </cell>
          <cell r="N20">
            <v>13.463999999999999</v>
          </cell>
          <cell r="O20">
            <v>15.575999999999999</v>
          </cell>
          <cell r="P20">
            <v>17.16</v>
          </cell>
          <cell r="T20">
            <v>0</v>
          </cell>
          <cell r="U20">
            <v>178.2</v>
          </cell>
          <cell r="V20">
            <v>166.74259999999998</v>
          </cell>
          <cell r="W20">
            <v>267.28199999999998</v>
          </cell>
          <cell r="X20">
            <v>11.457400000000007</v>
          </cell>
          <cell r="Y20">
            <v>-89.081999999999994</v>
          </cell>
        </row>
        <row r="21">
          <cell r="A21">
            <v>9</v>
          </cell>
          <cell r="B21" t="str">
            <v>Less Concession Rebates</v>
          </cell>
          <cell r="E21">
            <v>-1.44</v>
          </cell>
          <cell r="F21">
            <v>-1.5</v>
          </cell>
          <cell r="G21">
            <v>-1.92</v>
          </cell>
          <cell r="H21">
            <v>-1.35</v>
          </cell>
          <cell r="I21">
            <v>-1.56</v>
          </cell>
          <cell r="J21">
            <v>-2.25</v>
          </cell>
          <cell r="K21">
            <v>-1.56</v>
          </cell>
          <cell r="L21">
            <v>-1.62</v>
          </cell>
          <cell r="M21">
            <v>-1.8</v>
          </cell>
          <cell r="N21">
            <v>-1.53</v>
          </cell>
          <cell r="O21">
            <v>-1.77</v>
          </cell>
          <cell r="P21">
            <v>-1.95</v>
          </cell>
          <cell r="U21">
            <v>-20.25</v>
          </cell>
          <cell r="V21">
            <v>-25.43</v>
          </cell>
          <cell r="W21">
            <v>-48.585000000000001</v>
          </cell>
          <cell r="X21">
            <v>5.18</v>
          </cell>
          <cell r="Y21">
            <v>28.335000000000001</v>
          </cell>
        </row>
        <row r="22">
          <cell r="A22">
            <v>10</v>
          </cell>
          <cell r="B22" t="str">
            <v>Advertising Cost</v>
          </cell>
          <cell r="E22">
            <v>7.3084799999999994</v>
          </cell>
          <cell r="F22">
            <v>7.6129999999999995</v>
          </cell>
          <cell r="G22">
            <v>9.7446400000000004</v>
          </cell>
          <cell r="H22">
            <v>6.8516999999999992</v>
          </cell>
          <cell r="I22">
            <v>7.9175199999999997</v>
          </cell>
          <cell r="J22">
            <v>11.419499999999999</v>
          </cell>
          <cell r="K22">
            <v>7.9175199999999997</v>
          </cell>
          <cell r="L22">
            <v>8.2220399999999998</v>
          </cell>
          <cell r="M22">
            <v>9.1356000000000002</v>
          </cell>
          <cell r="N22">
            <v>7.7652599999999996</v>
          </cell>
          <cell r="O22">
            <v>8.9833400000000001</v>
          </cell>
          <cell r="P22">
            <v>9.8969000000000005</v>
          </cell>
          <cell r="T22">
            <v>0</v>
          </cell>
          <cell r="U22">
            <v>102.77549999999998</v>
          </cell>
          <cell r="V22">
            <v>114.00804500000001</v>
          </cell>
          <cell r="W22">
            <v>147.23500000000001</v>
          </cell>
          <cell r="X22">
            <v>-11.23254500000003</v>
          </cell>
          <cell r="Y22">
            <v>-44.459500000000034</v>
          </cell>
        </row>
        <row r="23">
          <cell r="A23">
            <v>11</v>
          </cell>
          <cell r="B23" t="str">
            <v>Other Cost</v>
          </cell>
          <cell r="C23">
            <v>0</v>
          </cell>
          <cell r="E23">
            <v>0.63551999999999997</v>
          </cell>
          <cell r="F23">
            <v>0.66200000000000003</v>
          </cell>
          <cell r="G23">
            <v>0.84736</v>
          </cell>
          <cell r="H23">
            <v>0.5958</v>
          </cell>
          <cell r="I23">
            <v>0.68847999999999998</v>
          </cell>
          <cell r="J23">
            <v>0.99299999999999999</v>
          </cell>
          <cell r="K23">
            <v>0.68847999999999998</v>
          </cell>
          <cell r="L23">
            <v>0.71496000000000004</v>
          </cell>
          <cell r="M23">
            <v>0.7944</v>
          </cell>
          <cell r="N23">
            <v>0.67524000000000006</v>
          </cell>
          <cell r="O23">
            <v>0.78115999999999997</v>
          </cell>
          <cell r="P23">
            <v>0.86060000000000003</v>
          </cell>
          <cell r="R23">
            <v>0</v>
          </cell>
          <cell r="S23">
            <v>0</v>
          </cell>
          <cell r="T23">
            <v>0</v>
          </cell>
          <cell r="U23">
            <v>8.9370000000000012</v>
          </cell>
          <cell r="V23">
            <v>9.3098986000000004</v>
          </cell>
          <cell r="W23">
            <v>13.560551999999999</v>
          </cell>
          <cell r="X23">
            <v>-0.37289859999999919</v>
          </cell>
          <cell r="Y23">
            <v>-4.6235519999999983</v>
          </cell>
        </row>
        <row r="24">
          <cell r="A24">
            <v>12</v>
          </cell>
          <cell r="B24" t="str">
            <v>Direct Payroll</v>
          </cell>
          <cell r="C24">
            <v>0</v>
          </cell>
          <cell r="E24">
            <v>31.82965695689655</v>
          </cell>
          <cell r="F24">
            <v>31.82965695689655</v>
          </cell>
          <cell r="G24">
            <v>31.82965695689655</v>
          </cell>
          <cell r="H24">
            <v>31.82965695689655</v>
          </cell>
          <cell r="I24">
            <v>31.82965695689655</v>
          </cell>
          <cell r="J24">
            <v>31.82965695689655</v>
          </cell>
          <cell r="K24">
            <v>32.483311881896547</v>
          </cell>
          <cell r="L24">
            <v>32.483311881896547</v>
          </cell>
          <cell r="M24">
            <v>32.483311881896547</v>
          </cell>
          <cell r="N24">
            <v>32.483311881896547</v>
          </cell>
          <cell r="O24">
            <v>32.483311881896547</v>
          </cell>
          <cell r="P24">
            <v>32.483311881896547</v>
          </cell>
          <cell r="R24">
            <v>0</v>
          </cell>
          <cell r="S24">
            <v>0</v>
          </cell>
          <cell r="T24">
            <v>0</v>
          </cell>
          <cell r="U24">
            <v>385.87781303275858</v>
          </cell>
          <cell r="V24">
            <v>467.71003666666684</v>
          </cell>
          <cell r="W24">
            <v>659.72299999999996</v>
          </cell>
          <cell r="X24">
            <v>-81.832223633908256</v>
          </cell>
          <cell r="Y24">
            <v>-273.84518696724137</v>
          </cell>
        </row>
        <row r="25">
          <cell r="B25" t="str">
            <v>TOTAL COST</v>
          </cell>
          <cell r="C25">
            <v>0</v>
          </cell>
          <cell r="E25">
            <v>198.76405695689655</v>
          </cell>
          <cell r="F25">
            <v>205.71965695689656</v>
          </cell>
          <cell r="G25">
            <v>254.40885695689656</v>
          </cell>
          <cell r="H25">
            <v>188.33065695689652</v>
          </cell>
          <cell r="I25">
            <v>212.67525695689656</v>
          </cell>
          <cell r="J25">
            <v>292.66465695689652</v>
          </cell>
          <cell r="K25">
            <v>213.32891188189657</v>
          </cell>
          <cell r="L25">
            <v>220.28451188189655</v>
          </cell>
          <cell r="M25">
            <v>241.15131188189656</v>
          </cell>
          <cell r="N25">
            <v>209.85111188189657</v>
          </cell>
          <cell r="O25">
            <v>237.67351188189653</v>
          </cell>
          <cell r="P25">
            <v>258.54031188189657</v>
          </cell>
          <cell r="R25">
            <v>0</v>
          </cell>
          <cell r="S25">
            <v>0</v>
          </cell>
          <cell r="T25">
            <v>0</v>
          </cell>
          <cell r="U25">
            <v>2733.392813032759</v>
          </cell>
          <cell r="V25">
            <v>2895.575155266667</v>
          </cell>
          <cell r="W25">
            <v>4209.5925520000001</v>
          </cell>
          <cell r="X25">
            <v>-162.182342233908</v>
          </cell>
          <cell r="Y25">
            <v>-1476.199738967241</v>
          </cell>
        </row>
        <row r="27">
          <cell r="B27" t="str">
            <v>GROSS MARGIN</v>
          </cell>
          <cell r="C27">
            <v>0</v>
          </cell>
          <cell r="E27">
            <v>214.53356804310349</v>
          </cell>
          <cell r="F27">
            <v>223.21796804310347</v>
          </cell>
          <cell r="G27">
            <v>288.00876804310349</v>
          </cell>
          <cell r="H27">
            <v>199.50696804310348</v>
          </cell>
          <cell r="I27">
            <v>231.90236804310345</v>
          </cell>
          <cell r="J27">
            <v>334.7729680431035</v>
          </cell>
          <cell r="K27">
            <v>229.24871311810344</v>
          </cell>
          <cell r="L27">
            <v>242.93311311810351</v>
          </cell>
          <cell r="M27">
            <v>265.98631311810345</v>
          </cell>
          <cell r="N27">
            <v>224.90651311810345</v>
          </cell>
          <cell r="O27">
            <v>261.64411311810352</v>
          </cell>
          <cell r="P27">
            <v>290.69731311810341</v>
          </cell>
          <cell r="R27">
            <v>0</v>
          </cell>
          <cell r="S27">
            <v>0</v>
          </cell>
          <cell r="T27">
            <v>0</v>
          </cell>
          <cell r="U27">
            <v>3007.3586869672413</v>
          </cell>
          <cell r="V27">
            <v>3129.4521847333326</v>
          </cell>
          <cell r="W27">
            <v>4176.0404479999997</v>
          </cell>
          <cell r="X27">
            <v>-122.09349776609133</v>
          </cell>
          <cell r="Y27">
            <v>-1168.6817610327585</v>
          </cell>
        </row>
        <row r="28">
          <cell r="X28" t="str">
            <v/>
          </cell>
          <cell r="Y28" t="str">
            <v/>
          </cell>
        </row>
        <row r="29">
          <cell r="A29">
            <v>13</v>
          </cell>
          <cell r="B29" t="str">
            <v>Direct Rent</v>
          </cell>
          <cell r="E29">
            <v>95.525500000000008</v>
          </cell>
          <cell r="F29">
            <v>95.525500000000008</v>
          </cell>
          <cell r="G29">
            <v>95.525500000000008</v>
          </cell>
          <cell r="H29">
            <v>95.525500000000008</v>
          </cell>
          <cell r="I29">
            <v>95.525500000000008</v>
          </cell>
          <cell r="J29">
            <v>95.525500000000008</v>
          </cell>
          <cell r="K29">
            <v>95.525500000000008</v>
          </cell>
          <cell r="L29">
            <v>95.525500000000008</v>
          </cell>
          <cell r="M29">
            <v>95.525500000000008</v>
          </cell>
          <cell r="N29">
            <v>95.525500000000008</v>
          </cell>
          <cell r="O29">
            <v>95.525500000000008</v>
          </cell>
          <cell r="P29">
            <v>95.525500000000008</v>
          </cell>
          <cell r="T29">
            <v>0</v>
          </cell>
          <cell r="U29">
            <v>1146.3059999999998</v>
          </cell>
          <cell r="V29">
            <v>1146.59656</v>
          </cell>
          <cell r="W29">
            <v>1157.9059999999999</v>
          </cell>
          <cell r="X29">
            <v>-0.29056000000014137</v>
          </cell>
          <cell r="Y29">
            <v>-11.600000000000136</v>
          </cell>
        </row>
        <row r="30">
          <cell r="A30">
            <v>14</v>
          </cell>
          <cell r="B30" t="str">
            <v>Light, Heat and Power</v>
          </cell>
          <cell r="E30">
            <v>13.4</v>
          </cell>
          <cell r="F30">
            <v>13.4</v>
          </cell>
          <cell r="G30">
            <v>13.4</v>
          </cell>
          <cell r="H30">
            <v>13.4</v>
          </cell>
          <cell r="I30">
            <v>13.4</v>
          </cell>
          <cell r="J30">
            <v>13.4</v>
          </cell>
          <cell r="K30">
            <v>13.4</v>
          </cell>
          <cell r="L30">
            <v>13.4</v>
          </cell>
          <cell r="M30">
            <v>13.4</v>
          </cell>
          <cell r="N30">
            <v>13.4</v>
          </cell>
          <cell r="O30">
            <v>13.4</v>
          </cell>
          <cell r="P30">
            <v>13.4</v>
          </cell>
          <cell r="T30">
            <v>0</v>
          </cell>
          <cell r="U30">
            <v>160.80000000000001</v>
          </cell>
          <cell r="V30">
            <v>162.47427999999999</v>
          </cell>
          <cell r="W30">
            <v>187.61699999999999</v>
          </cell>
          <cell r="X30">
            <v>-1.6742799999999534</v>
          </cell>
          <cell r="Y30">
            <v>-26.81699999999995</v>
          </cell>
        </row>
        <row r="31">
          <cell r="A31">
            <v>15</v>
          </cell>
          <cell r="B31" t="str">
            <v>Repair &amp; Maintenance</v>
          </cell>
          <cell r="E31">
            <v>10.536</v>
          </cell>
          <cell r="F31">
            <v>10.536</v>
          </cell>
          <cell r="G31">
            <v>15.536</v>
          </cell>
          <cell r="H31">
            <v>15.536</v>
          </cell>
          <cell r="I31">
            <v>10.536</v>
          </cell>
          <cell r="J31">
            <v>10.536</v>
          </cell>
          <cell r="K31">
            <v>10.536</v>
          </cell>
          <cell r="L31">
            <v>10.536</v>
          </cell>
          <cell r="M31">
            <v>52.536000000000001</v>
          </cell>
          <cell r="N31">
            <v>10.536</v>
          </cell>
          <cell r="O31">
            <v>10.536</v>
          </cell>
          <cell r="P31">
            <v>10.536</v>
          </cell>
          <cell r="T31">
            <v>0</v>
          </cell>
          <cell r="U31">
            <v>178.43200000000002</v>
          </cell>
          <cell r="V31">
            <v>146.07933666666668</v>
          </cell>
          <cell r="W31">
            <v>222.77800000000002</v>
          </cell>
          <cell r="X31">
            <v>32.352663333333339</v>
          </cell>
          <cell r="Y31">
            <v>-44.346000000000004</v>
          </cell>
        </row>
        <row r="32">
          <cell r="A32">
            <v>16</v>
          </cell>
          <cell r="B32" t="str">
            <v>Common Area Maintenance</v>
          </cell>
          <cell r="E32">
            <v>23.380500000000001</v>
          </cell>
          <cell r="F32">
            <v>23.380500000000001</v>
          </cell>
          <cell r="G32">
            <v>23.380500000000001</v>
          </cell>
          <cell r="H32">
            <v>23.380500000000001</v>
          </cell>
          <cell r="I32">
            <v>23.380500000000001</v>
          </cell>
          <cell r="J32">
            <v>23.380500000000001</v>
          </cell>
          <cell r="K32">
            <v>23.380500000000001</v>
          </cell>
          <cell r="L32">
            <v>23.380500000000001</v>
          </cell>
          <cell r="M32">
            <v>23.380500000000001</v>
          </cell>
          <cell r="N32">
            <v>23.380500000000001</v>
          </cell>
          <cell r="O32">
            <v>23.380500000000001</v>
          </cell>
          <cell r="P32">
            <v>23.380500000000001</v>
          </cell>
          <cell r="T32">
            <v>0</v>
          </cell>
          <cell r="U32">
            <v>280.56600000000003</v>
          </cell>
          <cell r="V32">
            <v>280.56414000000007</v>
          </cell>
          <cell r="W32">
            <v>276.94799999999998</v>
          </cell>
          <cell r="X32">
            <v>1.8599999999651118E-3</v>
          </cell>
          <cell r="Y32">
            <v>3.6180000000000518</v>
          </cell>
        </row>
        <row r="33">
          <cell r="A33">
            <v>17</v>
          </cell>
          <cell r="B33" t="str">
            <v>Other Overhead Costs</v>
          </cell>
          <cell r="C33">
            <v>0</v>
          </cell>
          <cell r="E33">
            <v>17.224726569568965</v>
          </cell>
          <cell r="F33">
            <v>17.413206569568967</v>
          </cell>
          <cell r="G33">
            <v>17.255126569568965</v>
          </cell>
          <cell r="H33">
            <v>17.413206569568967</v>
          </cell>
          <cell r="I33">
            <v>20.255126569568969</v>
          </cell>
          <cell r="J33">
            <v>17.413206569568967</v>
          </cell>
          <cell r="K33">
            <v>17.419743118818968</v>
          </cell>
          <cell r="L33">
            <v>19.445503118818966</v>
          </cell>
          <cell r="M33">
            <v>17.419743118818968</v>
          </cell>
          <cell r="N33">
            <v>17.261663118818966</v>
          </cell>
          <cell r="O33">
            <v>17.419743118818968</v>
          </cell>
          <cell r="P33">
            <v>17.261663118818966</v>
          </cell>
          <cell r="R33">
            <v>0</v>
          </cell>
          <cell r="S33">
            <v>0</v>
          </cell>
          <cell r="T33">
            <v>0</v>
          </cell>
          <cell r="U33">
            <v>213.20265813032759</v>
          </cell>
          <cell r="V33">
            <v>253.71766661333336</v>
          </cell>
          <cell r="W33">
            <v>305.630448</v>
          </cell>
          <cell r="X33">
            <v>-40.515008483005772</v>
          </cell>
          <cell r="Y33">
            <v>-92.427789869672409</v>
          </cell>
        </row>
        <row r="35">
          <cell r="B35" t="str">
            <v>Total Overhead Expenses</v>
          </cell>
          <cell r="C35">
            <v>0</v>
          </cell>
          <cell r="E35">
            <v>160.06672656956897</v>
          </cell>
          <cell r="F35">
            <v>160.25520656956897</v>
          </cell>
          <cell r="G35">
            <v>165.09712656956899</v>
          </cell>
          <cell r="H35">
            <v>165.25520656956897</v>
          </cell>
          <cell r="I35">
            <v>163.09712656956899</v>
          </cell>
          <cell r="J35">
            <v>160.25520656956897</v>
          </cell>
          <cell r="K35">
            <v>160.26174311881897</v>
          </cell>
          <cell r="L35">
            <v>162.28750311881899</v>
          </cell>
          <cell r="M35">
            <v>202.26174311881897</v>
          </cell>
          <cell r="N35">
            <v>160.10366311881899</v>
          </cell>
          <cell r="O35">
            <v>160.26174311881897</v>
          </cell>
          <cell r="P35">
            <v>160.10366311881899</v>
          </cell>
          <cell r="R35">
            <v>0</v>
          </cell>
          <cell r="S35">
            <v>0</v>
          </cell>
          <cell r="T35">
            <v>0</v>
          </cell>
          <cell r="U35">
            <v>1979.3066581303276</v>
          </cell>
          <cell r="V35">
            <v>1989.4319832799999</v>
          </cell>
          <cell r="W35">
            <v>2150.8794479999997</v>
          </cell>
          <cell r="X35">
            <v>-10.125325149672335</v>
          </cell>
          <cell r="Y35">
            <v>-171.57278986967208</v>
          </cell>
        </row>
        <row r="37">
          <cell r="B37" t="str">
            <v>E.B.I.T.D.</v>
          </cell>
          <cell r="C37">
            <v>0</v>
          </cell>
          <cell r="E37">
            <v>54.466841473534515</v>
          </cell>
          <cell r="F37">
            <v>62.962761473534499</v>
          </cell>
          <cell r="G37">
            <v>122.9116414735345</v>
          </cell>
          <cell r="H37">
            <v>34.251761473534515</v>
          </cell>
          <cell r="I37">
            <v>68.805241473534466</v>
          </cell>
          <cell r="J37">
            <v>174.51776147353453</v>
          </cell>
          <cell r="K37">
            <v>68.986969999284469</v>
          </cell>
          <cell r="L37">
            <v>80.645609999284517</v>
          </cell>
          <cell r="M37">
            <v>63.724569999284483</v>
          </cell>
          <cell r="N37">
            <v>64.802849999284462</v>
          </cell>
          <cell r="O37">
            <v>101.38236999928455</v>
          </cell>
          <cell r="P37">
            <v>130.59364999928442</v>
          </cell>
          <cell r="R37">
            <v>0</v>
          </cell>
          <cell r="S37">
            <v>0</v>
          </cell>
          <cell r="T37">
            <v>0</v>
          </cell>
          <cell r="U37">
            <v>1028.0520288369137</v>
          </cell>
          <cell r="V37">
            <v>1140.0202014533327</v>
          </cell>
          <cell r="W37">
            <v>2025.1610000000001</v>
          </cell>
          <cell r="X37">
            <v>-111.968172616419</v>
          </cell>
          <cell r="Y37">
            <v>-997.10897116308638</v>
          </cell>
        </row>
        <row r="39">
          <cell r="A39">
            <v>18</v>
          </cell>
          <cell r="B39" t="str">
            <v>Depreciation</v>
          </cell>
          <cell r="E39">
            <v>32.664836111111114</v>
          </cell>
          <cell r="F39">
            <v>32.664836111111114</v>
          </cell>
          <cell r="G39">
            <v>32.664836111111114</v>
          </cell>
          <cell r="H39">
            <v>32.664836111111114</v>
          </cell>
          <cell r="I39">
            <v>32.664836111111114</v>
          </cell>
          <cell r="J39">
            <v>32.664836111111114</v>
          </cell>
          <cell r="K39">
            <v>33.641502777777781</v>
          </cell>
          <cell r="L39">
            <v>33.641502777777781</v>
          </cell>
          <cell r="M39">
            <v>33.641502777777781</v>
          </cell>
          <cell r="N39">
            <v>33.641502777777781</v>
          </cell>
          <cell r="O39">
            <v>33.641502777777781</v>
          </cell>
          <cell r="P39">
            <v>33.641502777777781</v>
          </cell>
          <cell r="T39">
            <v>0</v>
          </cell>
          <cell r="U39">
            <v>397.83803333333333</v>
          </cell>
          <cell r="V39">
            <v>392.34369657407404</v>
          </cell>
          <cell r="W39">
            <v>383.59</v>
          </cell>
          <cell r="X39">
            <v>5.4943367592592836</v>
          </cell>
          <cell r="Y39">
            <v>14.248033333333296</v>
          </cell>
        </row>
        <row r="40">
          <cell r="A40">
            <v>19</v>
          </cell>
          <cell r="B40" t="str">
            <v>Fixed Assets Written Off</v>
          </cell>
          <cell r="E40">
            <v>5.8293400000000002</v>
          </cell>
          <cell r="F40">
            <v>0</v>
          </cell>
          <cell r="G40">
            <v>0</v>
          </cell>
          <cell r="H40">
            <v>0</v>
          </cell>
          <cell r="I40">
            <v>0</v>
          </cell>
          <cell r="J40">
            <v>0</v>
          </cell>
          <cell r="K40">
            <v>0</v>
          </cell>
          <cell r="L40">
            <v>0</v>
          </cell>
          <cell r="M40">
            <v>0</v>
          </cell>
          <cell r="N40">
            <v>0</v>
          </cell>
          <cell r="O40">
            <v>0</v>
          </cell>
          <cell r="P40">
            <v>0</v>
          </cell>
          <cell r="T40">
            <v>0</v>
          </cell>
          <cell r="U40">
            <v>5.8293400000000002</v>
          </cell>
          <cell r="V40">
            <v>22.727</v>
          </cell>
          <cell r="W40">
            <v>183.446</v>
          </cell>
          <cell r="X40">
            <v>-16.897660000000002</v>
          </cell>
          <cell r="Y40">
            <v>-177.61666</v>
          </cell>
        </row>
        <row r="41">
          <cell r="A41">
            <v>20</v>
          </cell>
          <cell r="B41" t="str">
            <v>External Interest</v>
          </cell>
          <cell r="T41">
            <v>0</v>
          </cell>
          <cell r="U41">
            <v>0</v>
          </cell>
          <cell r="V41">
            <v>175.00614948356167</v>
          </cell>
          <cell r="W41">
            <v>197.39400000000001</v>
          </cell>
          <cell r="X41">
            <v>-175.00614948356167</v>
          </cell>
          <cell r="Y41">
            <v>-197.39400000000001</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2.7230799999999999</v>
          </cell>
          <cell r="W43">
            <v>0.90700000000000003</v>
          </cell>
          <cell r="X43">
            <v>-2.7230799999999999</v>
          </cell>
          <cell r="Y43">
            <v>-0.90700000000000003</v>
          </cell>
        </row>
        <row r="44">
          <cell r="B44" t="str">
            <v>E.B.T.</v>
          </cell>
          <cell r="C44">
            <v>0</v>
          </cell>
          <cell r="E44">
            <v>15.972665362423401</v>
          </cell>
          <cell r="F44">
            <v>30.297925362423385</v>
          </cell>
          <cell r="G44">
            <v>90.246805362423387</v>
          </cell>
          <cell r="H44">
            <v>1.5869253624234005</v>
          </cell>
          <cell r="I44">
            <v>36.140405362423351</v>
          </cell>
          <cell r="J44">
            <v>141.85292536242343</v>
          </cell>
          <cell r="K44">
            <v>35.345467221506688</v>
          </cell>
          <cell r="L44">
            <v>47.004107221506736</v>
          </cell>
          <cell r="M44">
            <v>30.083067221506703</v>
          </cell>
          <cell r="N44">
            <v>31.161347221506681</v>
          </cell>
          <cell r="O44">
            <v>67.740867221506761</v>
          </cell>
          <cell r="P44">
            <v>96.952147221506635</v>
          </cell>
          <cell r="Q44">
            <v>0</v>
          </cell>
          <cell r="R44">
            <v>0</v>
          </cell>
          <cell r="S44">
            <v>0</v>
          </cell>
          <cell r="T44">
            <v>0</v>
          </cell>
          <cell r="U44">
            <v>624.38465550358035</v>
          </cell>
          <cell r="V44">
            <v>552.66643539569691</v>
          </cell>
          <cell r="W44">
            <v>1261.6379999999999</v>
          </cell>
          <cell r="X44">
            <v>71.71822010788344</v>
          </cell>
          <cell r="Y44">
            <v>-637.25334449641957</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15.972665362423401</v>
          </cell>
          <cell r="F50">
            <v>30.297925362423385</v>
          </cell>
          <cell r="G50">
            <v>90.246805362423387</v>
          </cell>
          <cell r="H50">
            <v>1.5869253624234005</v>
          </cell>
          <cell r="I50">
            <v>36.140405362423351</v>
          </cell>
          <cell r="J50">
            <v>141.85292536242343</v>
          </cell>
          <cell r="K50">
            <v>35.345467221506688</v>
          </cell>
          <cell r="L50">
            <v>47.004107221506736</v>
          </cell>
          <cell r="M50">
            <v>30.083067221506703</v>
          </cell>
          <cell r="N50">
            <v>31.161347221506681</v>
          </cell>
          <cell r="O50">
            <v>67.740867221506761</v>
          </cell>
          <cell r="P50">
            <v>96.952147221506635</v>
          </cell>
          <cell r="Q50">
            <v>0</v>
          </cell>
          <cell r="R50">
            <v>0</v>
          </cell>
          <cell r="S50">
            <v>0</v>
          </cell>
          <cell r="T50">
            <v>0</v>
          </cell>
          <cell r="U50">
            <v>624.38465550358035</v>
          </cell>
          <cell r="V50">
            <v>552.66643539569691</v>
          </cell>
          <cell r="W50">
            <v>1261.6379999999999</v>
          </cell>
          <cell r="X50">
            <v>71.71822010788344</v>
          </cell>
          <cell r="Y50">
            <v>-637.25334449641957</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47.04</v>
          </cell>
          <cell r="F54">
            <v>49</v>
          </cell>
          <cell r="G54">
            <v>62.72</v>
          </cell>
          <cell r="H54">
            <v>44.1</v>
          </cell>
          <cell r="I54">
            <v>50.96</v>
          </cell>
          <cell r="J54">
            <v>73.5</v>
          </cell>
          <cell r="K54">
            <v>50.96</v>
          </cell>
          <cell r="L54">
            <v>52.92</v>
          </cell>
          <cell r="M54">
            <v>58.8</v>
          </cell>
          <cell r="N54">
            <v>49.98</v>
          </cell>
          <cell r="O54">
            <v>57.82</v>
          </cell>
          <cell r="P54">
            <v>63.7</v>
          </cell>
          <cell r="T54">
            <v>0</v>
          </cell>
          <cell r="U54">
            <v>661.5</v>
          </cell>
          <cell r="V54">
            <v>701</v>
          </cell>
          <cell r="W54">
            <v>1003.141</v>
          </cell>
          <cell r="X54">
            <v>-39.499999999999886</v>
          </cell>
          <cell r="Y54">
            <v>-341.64099999999985</v>
          </cell>
        </row>
        <row r="55">
          <cell r="A55">
            <v>28</v>
          </cell>
          <cell r="B55" t="str">
            <v>Admissions</v>
          </cell>
          <cell r="E55">
            <v>48</v>
          </cell>
          <cell r="F55">
            <v>50</v>
          </cell>
          <cell r="G55">
            <v>64</v>
          </cell>
          <cell r="H55">
            <v>45</v>
          </cell>
          <cell r="I55">
            <v>52</v>
          </cell>
          <cell r="J55">
            <v>75</v>
          </cell>
          <cell r="K55">
            <v>52</v>
          </cell>
          <cell r="L55">
            <v>54</v>
          </cell>
          <cell r="M55">
            <v>60</v>
          </cell>
          <cell r="N55">
            <v>51</v>
          </cell>
          <cell r="O55">
            <v>59</v>
          </cell>
          <cell r="P55">
            <v>65</v>
          </cell>
          <cell r="T55">
            <v>0</v>
          </cell>
          <cell r="U55">
            <v>675</v>
          </cell>
          <cell r="V55">
            <v>701</v>
          </cell>
          <cell r="W55">
            <v>1003.141</v>
          </cell>
          <cell r="X55">
            <v>-26</v>
          </cell>
          <cell r="Y55">
            <v>-328.14099999999996</v>
          </cell>
        </row>
        <row r="56">
          <cell r="B56" t="str">
            <v>Utilisation Rate</v>
          </cell>
          <cell r="E56">
            <v>0.20748322843903452</v>
          </cell>
          <cell r="F56">
            <v>0.21612836295732762</v>
          </cell>
          <cell r="G56">
            <v>0.22131544366830347</v>
          </cell>
          <cell r="H56">
            <v>0.19451552666159486</v>
          </cell>
          <cell r="I56">
            <v>0.22477349747562073</v>
          </cell>
          <cell r="J56">
            <v>0.25935403554879316</v>
          </cell>
          <cell r="K56">
            <v>0.22477349747562073</v>
          </cell>
          <cell r="L56">
            <v>0.23341863199391383</v>
          </cell>
          <cell r="M56">
            <v>0.20748322843903452</v>
          </cell>
          <cell r="N56">
            <v>0.22045093021647416</v>
          </cell>
          <cell r="O56">
            <v>0.20402517463171727</v>
          </cell>
          <cell r="P56">
            <v>0.2809668718445259</v>
          </cell>
          <cell r="U56">
            <v>0.22444099230184023</v>
          </cell>
          <cell r="V56">
            <v>0.23308612682013333</v>
          </cell>
          <cell r="W56">
            <v>0.31687209390478116</v>
          </cell>
          <cell r="X56">
            <v>-8.6451345182931016E-3</v>
          </cell>
          <cell r="Y56">
            <v>-9.2431101602940935E-2</v>
          </cell>
        </row>
        <row r="57">
          <cell r="B57" t="str">
            <v>Ave. Admission Price (S$)</v>
          </cell>
          <cell r="C57" t="str">
            <v>N.A.</v>
          </cell>
          <cell r="E57">
            <v>6.62</v>
          </cell>
          <cell r="F57">
            <v>6.62</v>
          </cell>
          <cell r="G57">
            <v>6.62</v>
          </cell>
          <cell r="H57">
            <v>6.62</v>
          </cell>
          <cell r="I57">
            <v>6.62</v>
          </cell>
          <cell r="J57">
            <v>6.62</v>
          </cell>
          <cell r="K57">
            <v>6.62</v>
          </cell>
          <cell r="L57">
            <v>6.62</v>
          </cell>
          <cell r="M57">
            <v>6.62</v>
          </cell>
          <cell r="N57">
            <v>6.62</v>
          </cell>
          <cell r="O57">
            <v>6.62</v>
          </cell>
          <cell r="P57">
            <v>6.62</v>
          </cell>
          <cell r="Q57" t="str">
            <v xml:space="preserve"> </v>
          </cell>
          <cell r="R57" t="str">
            <v>N.A.</v>
          </cell>
          <cell r="S57" t="str">
            <v>N.A.</v>
          </cell>
          <cell r="U57">
            <v>6.62</v>
          </cell>
          <cell r="V57">
            <v>6.6404412268188304</v>
          </cell>
          <cell r="W57">
            <v>6.7590458370259014</v>
          </cell>
          <cell r="X57">
            <v>-2.0441226818832092E-2</v>
          </cell>
          <cell r="Y57">
            <v>-0.13904583702590312</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2.3E-2</v>
          </cell>
          <cell r="V58">
            <v>2.4491790920257713E-2</v>
          </cell>
          <cell r="W58">
            <v>2.1715192714868835E-2</v>
          </cell>
          <cell r="X58">
            <v>-1.4917909202577136E-3</v>
          </cell>
          <cell r="Y58">
            <v>1.2848072851311641E-3</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R59" t="str">
            <v>N.A.</v>
          </cell>
          <cell r="S59" t="str">
            <v>N.A.</v>
          </cell>
          <cell r="U59">
            <v>0.19500000000000001</v>
          </cell>
          <cell r="V59">
            <v>0.17846496759002703</v>
          </cell>
          <cell r="W59">
            <v>0.20686083664863819</v>
          </cell>
          <cell r="X59">
            <v>1.6535032409972977E-2</v>
          </cell>
          <cell r="Y59">
            <v>-1.1860836648638184E-2</v>
          </cell>
        </row>
        <row r="60">
          <cell r="B60" t="str">
            <v>Concess. Rev per Patron (S$)</v>
          </cell>
          <cell r="C60" t="str">
            <v>N.A.</v>
          </cell>
          <cell r="E60">
            <v>1.2</v>
          </cell>
          <cell r="F60">
            <v>1.2</v>
          </cell>
          <cell r="G60">
            <v>1.2</v>
          </cell>
          <cell r="H60">
            <v>1.2</v>
          </cell>
          <cell r="I60">
            <v>1.2</v>
          </cell>
          <cell r="J60">
            <v>1.2</v>
          </cell>
          <cell r="K60">
            <v>1.2</v>
          </cell>
          <cell r="L60">
            <v>1.2</v>
          </cell>
          <cell r="M60">
            <v>1.2</v>
          </cell>
          <cell r="N60">
            <v>1.2</v>
          </cell>
          <cell r="O60">
            <v>1.2</v>
          </cell>
          <cell r="P60">
            <v>1.2</v>
          </cell>
          <cell r="R60" t="str">
            <v>N.A.</v>
          </cell>
          <cell r="S60" t="str">
            <v>N.A.</v>
          </cell>
          <cell r="U60">
            <v>1.2</v>
          </cell>
          <cell r="V60">
            <v>1.1295615263908703</v>
          </cell>
          <cell r="W60">
            <v>1.0539076759897164</v>
          </cell>
          <cell r="X60">
            <v>7.0438473609129471E-2</v>
          </cell>
          <cell r="Y60">
            <v>0.14609232401028338</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0.46471710766001251</v>
          </cell>
          <cell r="W61">
            <v>0.46758819257505152</v>
          </cell>
          <cell r="X61">
            <v>2.8289233998757268E-4</v>
          </cell>
          <cell r="Y61">
            <v>-2.5881925750514401E-3</v>
          </cell>
        </row>
        <row r="62">
          <cell r="B62" t="str">
            <v>Direct Payroll : Net Box</v>
          </cell>
          <cell r="C62" t="str">
            <v>N.A.</v>
          </cell>
          <cell r="E62">
            <v>0.10016886001037434</v>
          </cell>
          <cell r="F62">
            <v>9.6162105609959359E-2</v>
          </cell>
          <cell r="G62">
            <v>7.5126645007780754E-2</v>
          </cell>
          <cell r="H62">
            <v>0.10684678401106597</v>
          </cell>
          <cell r="I62">
            <v>9.246356308649939E-2</v>
          </cell>
          <cell r="J62">
            <v>6.4108070406639572E-2</v>
          </cell>
          <cell r="K62">
            <v>9.4362397983664151E-2</v>
          </cell>
          <cell r="L62">
            <v>9.0867494354639547E-2</v>
          </cell>
          <cell r="M62">
            <v>8.1780744919175599E-2</v>
          </cell>
          <cell r="N62">
            <v>9.6212641081383055E-2</v>
          </cell>
          <cell r="O62">
            <v>8.3166859239839588E-2</v>
          </cell>
          <cell r="P62">
            <v>7.5489918386931323E-2</v>
          </cell>
          <cell r="R62" t="str">
            <v>N.A.</v>
          </cell>
          <cell r="S62" t="str">
            <v>N.A.</v>
          </cell>
          <cell r="U62">
            <v>8.6355110894653392E-2</v>
          </cell>
          <cell r="V62">
            <v>0.10047586053550933</v>
          </cell>
          <cell r="W62">
            <v>9.7300316388300417E-2</v>
          </cell>
          <cell r="X62">
            <v>-1.412074964085594E-2</v>
          </cell>
          <cell r="Y62">
            <v>-1.0945205493647026E-2</v>
          </cell>
        </row>
        <row r="63">
          <cell r="B63" t="str">
            <v>Direct Payroll : Net Box &amp; Conc.</v>
          </cell>
          <cell r="C63" t="str">
            <v>N.A.</v>
          </cell>
          <cell r="E63">
            <v>8.4797679446122515E-2</v>
          </cell>
          <cell r="F63">
            <v>8.1405772268277624E-2</v>
          </cell>
          <cell r="G63">
            <v>6.3598259584591893E-2</v>
          </cell>
          <cell r="H63">
            <v>9.0450858075864032E-2</v>
          </cell>
          <cell r="I63">
            <v>7.8274781027190016E-2</v>
          </cell>
          <cell r="J63">
            <v>5.4270514845518411E-2</v>
          </cell>
          <cell r="K63">
            <v>7.988223461021185E-2</v>
          </cell>
          <cell r="L63">
            <v>7.6923633328352142E-2</v>
          </cell>
          <cell r="M63">
            <v>6.9231269995516945E-2</v>
          </cell>
          <cell r="N63">
            <v>8.144855293590228E-2</v>
          </cell>
          <cell r="O63">
            <v>7.0404681351373163E-2</v>
          </cell>
          <cell r="P63">
            <v>6.3905787688169485E-2</v>
          </cell>
          <cell r="Q63" t="str">
            <v/>
          </cell>
          <cell r="R63" t="str">
            <v>N.A.</v>
          </cell>
          <cell r="S63" t="str">
            <v>N.A.</v>
          </cell>
          <cell r="T63" t="str">
            <v>N.A.</v>
          </cell>
          <cell r="U63">
            <v>7.3103687227954656E-2</v>
          </cell>
          <cell r="V63">
            <v>8.5869216239914573E-2</v>
          </cell>
          <cell r="W63">
            <v>8.4175247853459284E-2</v>
          </cell>
          <cell r="X63">
            <v>-1.2765529011959917E-2</v>
          </cell>
          <cell r="Y63">
            <v>-1.1071560625504628E-2</v>
          </cell>
        </row>
        <row r="64">
          <cell r="B64" t="str">
            <v>Direct Payroll of Admissions (S$)</v>
          </cell>
          <cell r="C64" t="str">
            <v>N.A.</v>
          </cell>
          <cell r="E64">
            <v>0.66311785326867811</v>
          </cell>
          <cell r="F64">
            <v>0.63659313913793103</v>
          </cell>
          <cell r="G64">
            <v>0.49733838995150859</v>
          </cell>
          <cell r="H64">
            <v>0.70732571015325663</v>
          </cell>
          <cell r="I64">
            <v>0.61210878763262599</v>
          </cell>
          <cell r="J64">
            <v>0.42439542609195402</v>
          </cell>
          <cell r="K64">
            <v>0.62467907465185668</v>
          </cell>
          <cell r="L64">
            <v>0.60154281262771381</v>
          </cell>
          <cell r="M64">
            <v>0.54138853136494247</v>
          </cell>
          <cell r="N64">
            <v>0.63692768395875587</v>
          </cell>
          <cell r="O64">
            <v>0.55056460816773811</v>
          </cell>
          <cell r="P64">
            <v>0.49974325972148537</v>
          </cell>
          <cell r="Q64" t="str">
            <v/>
          </cell>
          <cell r="R64" t="str">
            <v>N.A.</v>
          </cell>
          <cell r="S64" t="str">
            <v>N.A.</v>
          </cell>
          <cell r="T64" t="str">
            <v>N.A.</v>
          </cell>
          <cell r="U64">
            <v>0.57167083412260533</v>
          </cell>
          <cell r="V64">
            <v>0.66720404660009536</v>
          </cell>
          <cell r="W64">
            <v>0.65765729842564502</v>
          </cell>
          <cell r="X64">
            <v>-9.5533212477490026E-2</v>
          </cell>
          <cell r="Y64">
            <v>-8.5986464303039689E-2</v>
          </cell>
        </row>
        <row r="65">
          <cell r="B65" t="str">
            <v>Gross Margin :Total Rev</v>
          </cell>
          <cell r="C65" t="str">
            <v>N.A.</v>
          </cell>
          <cell r="E65">
            <v>0.51907766961666779</v>
          </cell>
          <cell r="F65">
            <v>0.52039726765191896</v>
          </cell>
          <cell r="G65">
            <v>0.53097236293364081</v>
          </cell>
          <cell r="H65">
            <v>0.51440849258269739</v>
          </cell>
          <cell r="I65">
            <v>0.52162402019917997</v>
          </cell>
          <cell r="J65">
            <v>0.53355577463672743</v>
          </cell>
          <cell r="K65">
            <v>0.5179853209210552</v>
          </cell>
          <cell r="L65">
            <v>0.52444704175084766</v>
          </cell>
          <cell r="M65">
            <v>0.52448546510053051</v>
          </cell>
          <cell r="N65">
            <v>0.51731470636795263</v>
          </cell>
          <cell r="O65">
            <v>0.52400335982152346</v>
          </cell>
          <cell r="P65">
            <v>0.5292742155421406</v>
          </cell>
          <cell r="Q65" t="str">
            <v/>
          </cell>
          <cell r="R65" t="str">
            <v>N.A.</v>
          </cell>
          <cell r="S65" t="str">
            <v>N.A.</v>
          </cell>
          <cell r="T65" t="str">
            <v>N.A.</v>
          </cell>
          <cell r="U65">
            <v>0.52386149913774205</v>
          </cell>
          <cell r="V65">
            <v>0.51940879404097984</v>
          </cell>
          <cell r="W65">
            <v>0.49799942926192931</v>
          </cell>
          <cell r="X65">
            <v>4.4527050967622106E-3</v>
          </cell>
          <cell r="Y65">
            <v>2.5862069875812743E-2</v>
          </cell>
        </row>
        <row r="66">
          <cell r="B66" t="str">
            <v>G&amp;A % of total revenue</v>
          </cell>
          <cell r="C66" t="str">
            <v>N.A.</v>
          </cell>
          <cell r="E66">
            <v>4.1676326036398016E-2</v>
          </cell>
          <cell r="F66">
            <v>4.0596127629440218E-2</v>
          </cell>
          <cell r="G66">
            <v>3.1811515286895339E-2</v>
          </cell>
          <cell r="H66">
            <v>4.4898187919671192E-2</v>
          </cell>
          <cell r="I66">
            <v>4.5560382328213141E-2</v>
          </cell>
          <cell r="J66">
            <v>2.7752888694822796E-2</v>
          </cell>
          <cell r="K66">
            <v>3.9359746482481951E-2</v>
          </cell>
          <cell r="L66">
            <v>4.1979195240722897E-2</v>
          </cell>
          <cell r="M66">
            <v>3.4349143625103676E-2</v>
          </cell>
          <cell r="N66">
            <v>3.9704106670513176E-2</v>
          </cell>
          <cell r="O66">
            <v>3.4887098405186411E-2</v>
          </cell>
          <cell r="P66">
            <v>3.1428406090749823E-2</v>
          </cell>
          <cell r="Q66" t="str">
            <v/>
          </cell>
          <cell r="R66" t="e">
            <v>#DIV/0!</v>
          </cell>
          <cell r="S66" t="e">
            <v>#DIV/0!</v>
          </cell>
          <cell r="T66" t="e">
            <v>#DIV/0!</v>
          </cell>
          <cell r="U66">
            <v>3.7138457940624599E-2</v>
          </cell>
          <cell r="V66">
            <v>4.2110624947526522E-2</v>
          </cell>
          <cell r="W66">
            <v>3.6446914383207567E-2</v>
          </cell>
          <cell r="X66">
            <v>-4.972167006901923E-3</v>
          </cell>
          <cell r="Y66">
            <v>6.91543557417032E-4</v>
          </cell>
        </row>
        <row r="67">
          <cell r="B67" t="str">
            <v>E.B.I.T.D. : Total Rev</v>
          </cell>
          <cell r="C67" t="str">
            <v>N.A.</v>
          </cell>
          <cell r="E67">
            <v>0.13178600160969836</v>
          </cell>
          <cell r="F67">
            <v>0.14678768614325799</v>
          </cell>
          <cell r="G67">
            <v>0.22659964538124014</v>
          </cell>
          <cell r="H67">
            <v>8.8314694773449359E-2</v>
          </cell>
          <cell r="I67">
            <v>0.15476541689099729</v>
          </cell>
          <cell r="J67">
            <v>0.27814360267848859</v>
          </cell>
          <cell r="K67">
            <v>0.15587541281438361</v>
          </cell>
          <cell r="L67">
            <v>0.17409875109843781</v>
          </cell>
          <cell r="M67">
            <v>0.12565537806287688</v>
          </cell>
          <cell r="N67">
            <v>0.14905512007819174</v>
          </cell>
          <cell r="O67">
            <v>0.20304184135155362</v>
          </cell>
          <cell r="P67">
            <v>0.23777258522535566</v>
          </cell>
          <cell r="Q67" t="str">
            <v/>
          </cell>
          <cell r="R67" t="str">
            <v>N.A.</v>
          </cell>
          <cell r="S67" t="str">
            <v>N.A.</v>
          </cell>
          <cell r="T67" t="str">
            <v>N.A.</v>
          </cell>
          <cell r="U67">
            <v>0.17907969519964653</v>
          </cell>
          <cell r="V67">
            <v>0.18921411258746798</v>
          </cell>
          <cell r="W67">
            <v>0.24150365273557764</v>
          </cell>
          <cell r="X67">
            <v>-1.0134417387821448E-2</v>
          </cell>
          <cell r="Y67">
            <v>-6.2423957535931107E-2</v>
          </cell>
        </row>
        <row r="68">
          <cell r="B68" t="str">
            <v>No of Concession Transactions</v>
          </cell>
          <cell r="E68">
            <v>15</v>
          </cell>
          <cell r="F68">
            <v>12</v>
          </cell>
          <cell r="G68">
            <v>18</v>
          </cell>
          <cell r="H68">
            <v>12</v>
          </cell>
          <cell r="I68">
            <v>14</v>
          </cell>
          <cell r="J68">
            <v>17.253</v>
          </cell>
          <cell r="K68">
            <v>13</v>
          </cell>
          <cell r="L68">
            <v>15</v>
          </cell>
          <cell r="M68">
            <v>16</v>
          </cell>
          <cell r="N68">
            <v>15</v>
          </cell>
          <cell r="O68">
            <v>13</v>
          </cell>
          <cell r="P68">
            <v>17</v>
          </cell>
          <cell r="U68">
            <v>177.25299999999999</v>
          </cell>
          <cell r="V68">
            <v>188</v>
          </cell>
          <cell r="W68">
            <v>0</v>
          </cell>
          <cell r="X68">
            <v>-10.747000000000014</v>
          </cell>
          <cell r="Y68">
            <v>177.25299999999999</v>
          </cell>
        </row>
        <row r="69">
          <cell r="B69" t="str">
            <v>Strike Rate %(No of Trans/Adm)</v>
          </cell>
          <cell r="E69">
            <v>0.3125</v>
          </cell>
          <cell r="F69">
            <v>0.24</v>
          </cell>
          <cell r="G69">
            <v>0.28125</v>
          </cell>
          <cell r="H69">
            <v>0.26666666666666666</v>
          </cell>
          <cell r="I69">
            <v>0.26923076923076922</v>
          </cell>
          <cell r="J69">
            <v>0.23003999999999999</v>
          </cell>
          <cell r="K69">
            <v>0.25</v>
          </cell>
          <cell r="L69">
            <v>0.27777777777777779</v>
          </cell>
          <cell r="M69">
            <v>0.26666666666666666</v>
          </cell>
          <cell r="N69">
            <v>0.29411764705882354</v>
          </cell>
          <cell r="O69">
            <v>0.22033898305084745</v>
          </cell>
          <cell r="P69">
            <v>0.26153846153846155</v>
          </cell>
          <cell r="U69">
            <v>0.26259703703703702</v>
          </cell>
          <cell r="V69">
            <v>0.26818830242510699</v>
          </cell>
          <cell r="W69">
            <v>0</v>
          </cell>
          <cell r="X69">
            <v>-5.591265388069977E-3</v>
          </cell>
          <cell r="Y69">
            <v>0.26259703703703702</v>
          </cell>
        </row>
        <row r="70">
          <cell r="B70" t="str">
            <v>Ave Sales (Total Sale/No of Trans) (S$)</v>
          </cell>
          <cell r="E70">
            <v>3.84</v>
          </cell>
          <cell r="F70">
            <v>5</v>
          </cell>
          <cell r="G70">
            <v>4.2666666666666666</v>
          </cell>
          <cell r="H70">
            <v>4.5</v>
          </cell>
          <cell r="I70">
            <v>4.4571428571428573</v>
          </cell>
          <cell r="J70">
            <v>5.2164840897235267</v>
          </cell>
          <cell r="K70">
            <v>4.8</v>
          </cell>
          <cell r="L70">
            <v>4.32</v>
          </cell>
          <cell r="M70">
            <v>4.5</v>
          </cell>
          <cell r="N70">
            <v>4.08</v>
          </cell>
          <cell r="O70">
            <v>5.4461538461538463</v>
          </cell>
          <cell r="P70">
            <v>4.5882352941176467</v>
          </cell>
          <cell r="U70">
            <v>4.5697392991938077</v>
          </cell>
          <cell r="V70">
            <v>4.2118225000000002</v>
          </cell>
          <cell r="W70" t="str">
            <v>N.A.</v>
          </cell>
          <cell r="X70">
            <v>0.35791679919380748</v>
          </cell>
          <cell r="Y70" t="str">
            <v>N.A.</v>
          </cell>
        </row>
        <row r="71">
          <cell r="B71" t="str">
            <v xml:space="preserve">Total Concession Combo Sales </v>
          </cell>
          <cell r="E71">
            <v>26</v>
          </cell>
          <cell r="F71">
            <v>28</v>
          </cell>
          <cell r="G71">
            <v>32</v>
          </cell>
          <cell r="H71">
            <v>27</v>
          </cell>
          <cell r="I71">
            <v>26</v>
          </cell>
          <cell r="J71">
            <v>38</v>
          </cell>
          <cell r="K71">
            <v>28</v>
          </cell>
          <cell r="L71">
            <v>30</v>
          </cell>
          <cell r="M71">
            <v>37</v>
          </cell>
          <cell r="N71">
            <v>28</v>
          </cell>
          <cell r="O71">
            <v>35</v>
          </cell>
          <cell r="P71">
            <v>31</v>
          </cell>
          <cell r="U71">
            <v>366</v>
          </cell>
          <cell r="V71">
            <v>381</v>
          </cell>
          <cell r="W71">
            <v>0</v>
          </cell>
          <cell r="X71">
            <v>-15</v>
          </cell>
          <cell r="Y71">
            <v>366</v>
          </cell>
        </row>
        <row r="72">
          <cell r="B72" t="str">
            <v>Combo Sales as % of Total Sales</v>
          </cell>
          <cell r="E72">
            <v>0.45138888888888895</v>
          </cell>
          <cell r="F72">
            <v>0.46666666666666667</v>
          </cell>
          <cell r="G72">
            <v>0.41666666666666669</v>
          </cell>
          <cell r="H72">
            <v>0.5</v>
          </cell>
          <cell r="I72">
            <v>0.41666666666666669</v>
          </cell>
          <cell r="J72">
            <v>0.42222222222222222</v>
          </cell>
          <cell r="K72">
            <v>0.44871794871794873</v>
          </cell>
          <cell r="L72">
            <v>0.46296296296296297</v>
          </cell>
          <cell r="M72">
            <v>0.51388888888888884</v>
          </cell>
          <cell r="N72">
            <v>0.45751633986928109</v>
          </cell>
          <cell r="O72">
            <v>0.4943502824858757</v>
          </cell>
          <cell r="P72">
            <v>0.39743589743589741</v>
          </cell>
          <cell r="U72">
            <v>0.45185185185185189</v>
          </cell>
          <cell r="V72">
            <v>0.48116836468793522</v>
          </cell>
          <cell r="W72">
            <v>0</v>
          </cell>
          <cell r="X72">
            <v>-2.931651283608333E-2</v>
          </cell>
          <cell r="Y72">
            <v>0.45185185185185189</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U73">
            <v>76.131</v>
          </cell>
          <cell r="V73">
            <v>58</v>
          </cell>
          <cell r="W73">
            <v>0</v>
          </cell>
          <cell r="X73">
            <v>18.131</v>
          </cell>
          <cell r="Y73">
            <v>76.131</v>
          </cell>
        </row>
        <row r="74">
          <cell r="B74" t="str">
            <v>Admissions/labour hour paid</v>
          </cell>
          <cell r="E74">
            <v>9.9979171006040399</v>
          </cell>
          <cell r="F74">
            <v>7.1428571428571432</v>
          </cell>
          <cell r="G74">
            <v>9.0014064697608998</v>
          </cell>
          <cell r="H74">
            <v>9</v>
          </cell>
          <cell r="I74">
            <v>8.6666666666666661</v>
          </cell>
          <cell r="J74">
            <v>10.548523206751055</v>
          </cell>
          <cell r="K74">
            <v>8.6666666666666661</v>
          </cell>
          <cell r="L74">
            <v>9</v>
          </cell>
          <cell r="M74">
            <v>8.4388185654008439</v>
          </cell>
          <cell r="N74">
            <v>8.5</v>
          </cell>
          <cell r="O74">
            <v>8.4285714285714288</v>
          </cell>
          <cell r="P74">
            <v>9.2857142857142865</v>
          </cell>
          <cell r="U74">
            <v>8.8662962525121181</v>
          </cell>
          <cell r="V74">
            <v>12.086206896551724</v>
          </cell>
          <cell r="W74" t="str">
            <v>N.A.</v>
          </cell>
          <cell r="X74">
            <v>-3.2199106440396061</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47.228229999999996</v>
          </cell>
          <cell r="W77">
            <v>3.8690000000000002</v>
          </cell>
          <cell r="X77">
            <v>-20.040729999999996</v>
          </cell>
          <cell r="Y77">
            <v>23.3185</v>
          </cell>
        </row>
        <row r="78">
          <cell r="A78">
            <v>53</v>
          </cell>
          <cell r="B78" t="str">
            <v>Auditorium Rentals</v>
          </cell>
          <cell r="E78">
            <v>1</v>
          </cell>
          <cell r="F78">
            <v>1</v>
          </cell>
          <cell r="G78">
            <v>1</v>
          </cell>
          <cell r="H78">
            <v>1</v>
          </cell>
          <cell r="I78">
            <v>1</v>
          </cell>
          <cell r="J78">
            <v>1</v>
          </cell>
          <cell r="K78">
            <v>1</v>
          </cell>
          <cell r="L78">
            <v>1</v>
          </cell>
          <cell r="M78">
            <v>1</v>
          </cell>
          <cell r="N78">
            <v>1</v>
          </cell>
          <cell r="O78">
            <v>1</v>
          </cell>
          <cell r="P78">
            <v>1</v>
          </cell>
          <cell r="T78">
            <v>0</v>
          </cell>
          <cell r="U78">
            <v>12</v>
          </cell>
          <cell r="V78">
            <v>23.534500000000001</v>
          </cell>
          <cell r="W78">
            <v>29.521999999999998</v>
          </cell>
          <cell r="X78">
            <v>-11.534500000000001</v>
          </cell>
          <cell r="Y78">
            <v>-17.521999999999998</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50.47</v>
          </cell>
          <cell r="W82">
            <v>53.16</v>
          </cell>
          <cell r="X82">
            <v>-12.405999999999999</v>
          </cell>
          <cell r="Y82">
            <v>-15.095999999999997</v>
          </cell>
        </row>
        <row r="83">
          <cell r="C83">
            <v>0</v>
          </cell>
          <cell r="E83">
            <v>6.4376250000000006</v>
          </cell>
          <cell r="F83">
            <v>6.4376250000000006</v>
          </cell>
          <cell r="G83">
            <v>6.4376250000000006</v>
          </cell>
          <cell r="H83">
            <v>6.4376250000000006</v>
          </cell>
          <cell r="I83">
            <v>6.4376250000000006</v>
          </cell>
          <cell r="J83">
            <v>6.4376250000000006</v>
          </cell>
          <cell r="K83">
            <v>6.4376250000000006</v>
          </cell>
          <cell r="L83">
            <v>6.4376250000000006</v>
          </cell>
          <cell r="M83">
            <v>6.4376250000000006</v>
          </cell>
          <cell r="N83">
            <v>6.4376250000000006</v>
          </cell>
          <cell r="O83">
            <v>6.4376250000000006</v>
          </cell>
          <cell r="P83">
            <v>6.4376250000000006</v>
          </cell>
          <cell r="R83">
            <v>0</v>
          </cell>
          <cell r="S83">
            <v>0</v>
          </cell>
          <cell r="T83">
            <v>0</v>
          </cell>
          <cell r="U83">
            <v>77.251499999999993</v>
          </cell>
          <cell r="V83">
            <v>121.23273</v>
          </cell>
          <cell r="W83">
            <v>86.550999999999988</v>
          </cell>
          <cell r="X83">
            <v>-43.981230000000011</v>
          </cell>
          <cell r="Y83">
            <v>-9.2994999999999948</v>
          </cell>
        </row>
        <row r="84">
          <cell r="X84" t="str">
            <v/>
          </cell>
          <cell r="Y84" t="str">
            <v/>
          </cell>
        </row>
        <row r="85">
          <cell r="B85" t="str">
            <v>10 Other Cost</v>
          </cell>
          <cell r="X85" t="str">
            <v/>
          </cell>
          <cell r="Y85" t="str">
            <v/>
          </cell>
        </row>
        <row r="86">
          <cell r="A86">
            <v>61</v>
          </cell>
          <cell r="B86" t="str">
            <v>Authors Rights</v>
          </cell>
          <cell r="E86">
            <v>0.63551999999999997</v>
          </cell>
          <cell r="F86">
            <v>0.66200000000000003</v>
          </cell>
          <cell r="G86">
            <v>0.84736</v>
          </cell>
          <cell r="H86">
            <v>0.5958</v>
          </cell>
          <cell r="I86">
            <v>0.68847999999999998</v>
          </cell>
          <cell r="J86">
            <v>0.99299999999999999</v>
          </cell>
          <cell r="K86">
            <v>0.68847999999999998</v>
          </cell>
          <cell r="L86">
            <v>0.71496000000000004</v>
          </cell>
          <cell r="M86">
            <v>0.7944</v>
          </cell>
          <cell r="N86">
            <v>0.67524000000000006</v>
          </cell>
          <cell r="O86">
            <v>0.78115999999999997</v>
          </cell>
          <cell r="P86">
            <v>0.86060000000000003</v>
          </cell>
          <cell r="U86">
            <v>8.9370000000000012</v>
          </cell>
          <cell r="V86">
            <v>9.3098986000000004</v>
          </cell>
          <cell r="W86">
            <v>13.560551999999999</v>
          </cell>
          <cell r="X86">
            <v>-0.37289859999999919</v>
          </cell>
          <cell r="Y86">
            <v>-4.6235519999999983</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0.63551999999999997</v>
          </cell>
          <cell r="F91">
            <v>0.66200000000000003</v>
          </cell>
          <cell r="G91">
            <v>0.84736</v>
          </cell>
          <cell r="H91">
            <v>0.5958</v>
          </cell>
          <cell r="I91">
            <v>0.68847999999999998</v>
          </cell>
          <cell r="J91">
            <v>0.99299999999999999</v>
          </cell>
          <cell r="K91">
            <v>0.68847999999999998</v>
          </cell>
          <cell r="L91">
            <v>0.71496000000000004</v>
          </cell>
          <cell r="M91">
            <v>0.7944</v>
          </cell>
          <cell r="N91">
            <v>0.67524000000000006</v>
          </cell>
          <cell r="O91">
            <v>0.78115999999999997</v>
          </cell>
          <cell r="P91">
            <v>0.86060000000000003</v>
          </cell>
          <cell r="U91">
            <v>8.9370000000000012</v>
          </cell>
          <cell r="V91">
            <v>9.3098986000000004</v>
          </cell>
          <cell r="W91">
            <v>13.560551999999999</v>
          </cell>
          <cell r="X91">
            <v>-0.37289859999999919</v>
          </cell>
          <cell r="Y91">
            <v>-4.6235519999999983</v>
          </cell>
        </row>
        <row r="92">
          <cell r="X92" t="str">
            <v/>
          </cell>
          <cell r="Y92" t="str">
            <v/>
          </cell>
        </row>
        <row r="93">
          <cell r="B93" t="str">
            <v>11 Direct Payroll</v>
          </cell>
          <cell r="X93" t="str">
            <v/>
          </cell>
          <cell r="Y93" t="str">
            <v/>
          </cell>
        </row>
        <row r="94">
          <cell r="A94">
            <v>66</v>
          </cell>
          <cell r="B94" t="str">
            <v>Salaries</v>
          </cell>
          <cell r="E94">
            <v>29.346519456896548</v>
          </cell>
          <cell r="F94">
            <v>29.346519456896548</v>
          </cell>
          <cell r="G94">
            <v>29.346519456896548</v>
          </cell>
          <cell r="H94">
            <v>29.346519456896548</v>
          </cell>
          <cell r="I94">
            <v>29.346519456896548</v>
          </cell>
          <cell r="J94">
            <v>29.346519456896548</v>
          </cell>
          <cell r="K94">
            <v>30.000174381896549</v>
          </cell>
          <cell r="L94">
            <v>30.000174381896549</v>
          </cell>
          <cell r="M94">
            <v>30.000174381896549</v>
          </cell>
          <cell r="N94">
            <v>30.000174381896549</v>
          </cell>
          <cell r="O94">
            <v>30.000174381896549</v>
          </cell>
          <cell r="P94">
            <v>30.000174381896549</v>
          </cell>
          <cell r="T94">
            <v>0</v>
          </cell>
          <cell r="U94">
            <v>356.08016303275861</v>
          </cell>
          <cell r="V94">
            <v>423.9189550000001</v>
          </cell>
          <cell r="W94">
            <v>579.53499999999997</v>
          </cell>
          <cell r="X94">
            <v>-67.838791967241491</v>
          </cell>
          <cell r="Y94">
            <v>-223.45483696724136</v>
          </cell>
        </row>
        <row r="95">
          <cell r="A95">
            <v>67</v>
          </cell>
          <cell r="B95" t="str">
            <v>Bonus/Commission</v>
          </cell>
          <cell r="E95">
            <v>1.3021374999999997</v>
          </cell>
          <cell r="F95">
            <v>1.3021374999999997</v>
          </cell>
          <cell r="G95">
            <v>1.3021374999999997</v>
          </cell>
          <cell r="H95">
            <v>1.3021374999999997</v>
          </cell>
          <cell r="I95">
            <v>1.3021374999999997</v>
          </cell>
          <cell r="J95">
            <v>1.3021374999999997</v>
          </cell>
          <cell r="K95">
            <v>1.3021374999999997</v>
          </cell>
          <cell r="L95">
            <v>1.3021374999999997</v>
          </cell>
          <cell r="M95">
            <v>1.3021374999999997</v>
          </cell>
          <cell r="N95">
            <v>1.3021374999999997</v>
          </cell>
          <cell r="O95">
            <v>1.3021374999999997</v>
          </cell>
          <cell r="P95">
            <v>1.3021374999999997</v>
          </cell>
          <cell r="T95">
            <v>0</v>
          </cell>
          <cell r="U95">
            <v>15.62565</v>
          </cell>
          <cell r="V95">
            <v>20.073341666666664</v>
          </cell>
          <cell r="W95">
            <v>44.957999999999998</v>
          </cell>
          <cell r="X95">
            <v>-4.4476916666666639</v>
          </cell>
          <cell r="Y95">
            <v>-29.332349999999998</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11.695999999999998</v>
          </cell>
          <cell r="W97">
            <v>24.59</v>
          </cell>
          <cell r="X97">
            <v>-5.0599999999999996</v>
          </cell>
          <cell r="Y97">
            <v>-17.954000000000001</v>
          </cell>
        </row>
        <row r="98">
          <cell r="A98">
            <v>70</v>
          </cell>
          <cell r="B98" t="str">
            <v>Miscellaneous</v>
          </cell>
          <cell r="E98">
            <v>0.628</v>
          </cell>
          <cell r="F98">
            <v>0.628</v>
          </cell>
          <cell r="G98">
            <v>0.628</v>
          </cell>
          <cell r="H98">
            <v>0.628</v>
          </cell>
          <cell r="I98">
            <v>0.628</v>
          </cell>
          <cell r="J98">
            <v>0.628</v>
          </cell>
          <cell r="K98">
            <v>0.628</v>
          </cell>
          <cell r="L98">
            <v>0.628</v>
          </cell>
          <cell r="M98">
            <v>0.628</v>
          </cell>
          <cell r="N98">
            <v>0.628</v>
          </cell>
          <cell r="O98">
            <v>0.628</v>
          </cell>
          <cell r="P98">
            <v>0.628</v>
          </cell>
          <cell r="T98">
            <v>0</v>
          </cell>
          <cell r="U98">
            <v>7.5360000000000005</v>
          </cell>
          <cell r="V98">
            <v>12.021739999999998</v>
          </cell>
          <cell r="W98">
            <v>10.64</v>
          </cell>
          <cell r="X98">
            <v>-4.4857399999999972</v>
          </cell>
          <cell r="Y98">
            <v>-3.1040000000000001</v>
          </cell>
        </row>
        <row r="99">
          <cell r="C99">
            <v>0</v>
          </cell>
          <cell r="E99">
            <v>31.82965695689655</v>
          </cell>
          <cell r="F99">
            <v>31.82965695689655</v>
          </cell>
          <cell r="G99">
            <v>31.82965695689655</v>
          </cell>
          <cell r="H99">
            <v>31.82965695689655</v>
          </cell>
          <cell r="I99">
            <v>31.82965695689655</v>
          </cell>
          <cell r="J99">
            <v>31.82965695689655</v>
          </cell>
          <cell r="K99">
            <v>32.483311881896547</v>
          </cell>
          <cell r="L99">
            <v>32.483311881896547</v>
          </cell>
          <cell r="M99">
            <v>32.483311881896547</v>
          </cell>
          <cell r="N99">
            <v>32.483311881896547</v>
          </cell>
          <cell r="O99">
            <v>32.483311881896547</v>
          </cell>
          <cell r="P99">
            <v>32.483311881896547</v>
          </cell>
          <cell r="R99">
            <v>0</v>
          </cell>
          <cell r="S99">
            <v>0</v>
          </cell>
          <cell r="T99">
            <v>0</v>
          </cell>
          <cell r="U99">
            <v>385.87781303275864</v>
          </cell>
          <cell r="V99">
            <v>467.71003666666684</v>
          </cell>
          <cell r="W99">
            <v>659.72299999999996</v>
          </cell>
          <cell r="X99">
            <v>-81.8322236339082</v>
          </cell>
          <cell r="Y99">
            <v>-273.84518696724132</v>
          </cell>
        </row>
        <row r="100">
          <cell r="X100" t="str">
            <v/>
          </cell>
          <cell r="Y100" t="str">
            <v/>
          </cell>
        </row>
        <row r="101">
          <cell r="B101" t="str">
            <v>16 Other Overhead Costs</v>
          </cell>
          <cell r="X101" t="str">
            <v/>
          </cell>
          <cell r="Y101" t="str">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T102">
            <v>0</v>
          </cell>
          <cell r="U102">
            <v>15.6</v>
          </cell>
          <cell r="V102">
            <v>13.375180000000002</v>
          </cell>
          <cell r="W102">
            <v>15.44</v>
          </cell>
          <cell r="X102">
            <v>2.2248200000000011</v>
          </cell>
          <cell r="Y102">
            <v>0.16000000000000369</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27.455693333333336</v>
          </cell>
          <cell r="W104">
            <v>29.145</v>
          </cell>
          <cell r="X104">
            <v>-3.4556933333333362</v>
          </cell>
          <cell r="Y104">
            <v>-5.1449999999999996</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9.746789999999999</v>
          </cell>
          <cell r="W105">
            <v>11.818</v>
          </cell>
          <cell r="X105">
            <v>2.253210000000001</v>
          </cell>
          <cell r="Y105">
            <v>0.18200000000000038</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3.2664300000000011</v>
          </cell>
          <cell r="W106">
            <v>0</v>
          </cell>
          <cell r="X106">
            <v>2.7335699999999989</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0.57099999999999995</v>
          </cell>
          <cell r="F108">
            <v>0.57099999999999995</v>
          </cell>
          <cell r="G108">
            <v>0.57099999999999995</v>
          </cell>
          <cell r="H108">
            <v>0.57099999999999995</v>
          </cell>
          <cell r="I108">
            <v>0.57099999999999995</v>
          </cell>
          <cell r="J108">
            <v>0.57099999999999995</v>
          </cell>
          <cell r="K108">
            <v>0.57099999999999995</v>
          </cell>
          <cell r="L108">
            <v>0.57099999999999995</v>
          </cell>
          <cell r="M108">
            <v>0.57099999999999995</v>
          </cell>
          <cell r="N108">
            <v>0.57099999999999995</v>
          </cell>
          <cell r="O108">
            <v>0.57099999999999995</v>
          </cell>
          <cell r="P108">
            <v>0.57099999999999995</v>
          </cell>
          <cell r="T108">
            <v>0</v>
          </cell>
          <cell r="U108">
            <v>6.8519999999999976</v>
          </cell>
          <cell r="V108">
            <v>8.6278332800000008</v>
          </cell>
          <cell r="W108">
            <v>18.860448000000002</v>
          </cell>
          <cell r="X108">
            <v>-1.7758332800000032</v>
          </cell>
          <cell r="Y108">
            <v>-12.008448000000005</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4.7119999999999997</v>
          </cell>
          <cell r="F111">
            <v>4.9004799999999999</v>
          </cell>
          <cell r="G111">
            <v>4.7423999999999999</v>
          </cell>
          <cell r="H111">
            <v>4.9004799999999999</v>
          </cell>
          <cell r="I111">
            <v>7.7423999999999999</v>
          </cell>
          <cell r="J111">
            <v>4.9004799999999999</v>
          </cell>
          <cell r="K111">
            <v>4.9004799999999999</v>
          </cell>
          <cell r="L111">
            <v>6.92624</v>
          </cell>
          <cell r="M111">
            <v>4.9004799999999999</v>
          </cell>
          <cell r="N111">
            <v>4.7423999999999999</v>
          </cell>
          <cell r="O111">
            <v>4.9004799999999999</v>
          </cell>
          <cell r="P111">
            <v>4.7423999999999999</v>
          </cell>
          <cell r="T111">
            <v>0</v>
          </cell>
          <cell r="U111">
            <v>63.010720000000006</v>
          </cell>
          <cell r="V111">
            <v>96.328870000000009</v>
          </cell>
          <cell r="W111">
            <v>133.678</v>
          </cell>
          <cell r="X111">
            <v>-33.318150000000003</v>
          </cell>
          <cell r="Y111">
            <v>-70.667279999999991</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53.842350000000003</v>
          </cell>
          <cell r="W112">
            <v>39.466000000000001</v>
          </cell>
          <cell r="X112">
            <v>-5.8423500000000033</v>
          </cell>
          <cell r="Y112">
            <v>8.5339999999999989</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8.3141499999999979</v>
          </cell>
          <cell r="W113">
            <v>8.1039999999999992</v>
          </cell>
          <cell r="X113">
            <v>-1.1141499999999995</v>
          </cell>
          <cell r="Y113">
            <v>-0.9040000000000008</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0.96699999999999919</v>
          </cell>
          <cell r="W114">
            <v>6.101</v>
          </cell>
          <cell r="X114">
            <v>1.4330000000000007</v>
          </cell>
          <cell r="Y114">
            <v>-3.7010000000000001</v>
          </cell>
        </row>
        <row r="115">
          <cell r="A115">
            <v>84</v>
          </cell>
          <cell r="B115" t="str">
            <v>Freight</v>
          </cell>
          <cell r="E115">
            <v>0</v>
          </cell>
          <cell r="F115">
            <v>0</v>
          </cell>
          <cell r="G115">
            <v>0</v>
          </cell>
          <cell r="H115">
            <v>0</v>
          </cell>
          <cell r="I115">
            <v>0</v>
          </cell>
          <cell r="J115">
            <v>0</v>
          </cell>
          <cell r="K115">
            <v>0</v>
          </cell>
          <cell r="L115">
            <v>0</v>
          </cell>
          <cell r="M115">
            <v>0</v>
          </cell>
          <cell r="N115">
            <v>0</v>
          </cell>
          <cell r="O115">
            <v>0</v>
          </cell>
          <cell r="P115">
            <v>0</v>
          </cell>
          <cell r="T115">
            <v>0</v>
          </cell>
          <cell r="U115">
            <v>0</v>
          </cell>
          <cell r="V115">
            <v>5.4541099999999982</v>
          </cell>
          <cell r="W115">
            <v>4.351</v>
          </cell>
          <cell r="X115">
            <v>-5.4541099999999982</v>
          </cell>
          <cell r="Y115">
            <v>-4.351</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0.3</v>
          </cell>
          <cell r="F117">
            <v>0.3</v>
          </cell>
          <cell r="G117">
            <v>0.3</v>
          </cell>
          <cell r="H117">
            <v>0.3</v>
          </cell>
          <cell r="I117">
            <v>0.3</v>
          </cell>
          <cell r="J117">
            <v>0.3</v>
          </cell>
          <cell r="K117">
            <v>0.3</v>
          </cell>
          <cell r="L117">
            <v>0.3</v>
          </cell>
          <cell r="M117">
            <v>0.3</v>
          </cell>
          <cell r="N117">
            <v>0.3</v>
          </cell>
          <cell r="O117">
            <v>0.3</v>
          </cell>
          <cell r="P117">
            <v>0.3</v>
          </cell>
          <cell r="T117">
            <v>0</v>
          </cell>
          <cell r="U117">
            <v>3.6</v>
          </cell>
          <cell r="V117">
            <v>1.7220299999999997</v>
          </cell>
          <cell r="W117">
            <v>6.7359999999999998</v>
          </cell>
          <cell r="X117">
            <v>1.8779699999999995</v>
          </cell>
          <cell r="Y117">
            <v>-3.1360000000000006</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0.4417265695689655</v>
          </cell>
          <cell r="F119">
            <v>0.4417265695689655</v>
          </cell>
          <cell r="G119">
            <v>0.4417265695689655</v>
          </cell>
          <cell r="H119">
            <v>0.4417265695689655</v>
          </cell>
          <cell r="I119">
            <v>0.4417265695689655</v>
          </cell>
          <cell r="J119">
            <v>0.4417265695689655</v>
          </cell>
          <cell r="K119">
            <v>0.44826311881896552</v>
          </cell>
          <cell r="L119">
            <v>0.44826311881896552</v>
          </cell>
          <cell r="M119">
            <v>0.44826311881896552</v>
          </cell>
          <cell r="N119">
            <v>0.44826311881896552</v>
          </cell>
          <cell r="O119">
            <v>0.44826311881896552</v>
          </cell>
          <cell r="P119">
            <v>0.44826311881896552</v>
          </cell>
          <cell r="T119">
            <v>0</v>
          </cell>
          <cell r="U119">
            <v>5.3399381303275852</v>
          </cell>
          <cell r="V119">
            <v>6.2772299999999994</v>
          </cell>
          <cell r="W119">
            <v>9.3019999999999996</v>
          </cell>
          <cell r="X119">
            <v>-0.93729186967241418</v>
          </cell>
          <cell r="Y119">
            <v>-3.9620618696724144</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2.74</v>
          </cell>
          <cell r="W124">
            <v>7.0289999999999981</v>
          </cell>
          <cell r="X124">
            <v>0.86000000000000076</v>
          </cell>
          <cell r="Y124">
            <v>-3.4289999999999989</v>
          </cell>
        </row>
        <row r="125">
          <cell r="C125">
            <v>0</v>
          </cell>
          <cell r="E125">
            <v>17.224726569568965</v>
          </cell>
          <cell r="F125">
            <v>17.413206569568967</v>
          </cell>
          <cell r="G125">
            <v>17.255126569568965</v>
          </cell>
          <cell r="H125">
            <v>17.413206569568967</v>
          </cell>
          <cell r="I125">
            <v>20.255126569568969</v>
          </cell>
          <cell r="J125">
            <v>17.413206569568967</v>
          </cell>
          <cell r="K125">
            <v>17.419743118818968</v>
          </cell>
          <cell r="L125">
            <v>19.445503118818966</v>
          </cell>
          <cell r="M125">
            <v>17.419743118818968</v>
          </cell>
          <cell r="N125">
            <v>17.261663118818966</v>
          </cell>
          <cell r="O125">
            <v>17.419743118818968</v>
          </cell>
          <cell r="P125">
            <v>17.261663118818966</v>
          </cell>
          <cell r="R125">
            <v>0</v>
          </cell>
          <cell r="S125">
            <v>0</v>
          </cell>
          <cell r="T125">
            <v>0</v>
          </cell>
          <cell r="U125">
            <v>213.20265813032756</v>
          </cell>
          <cell r="V125">
            <v>253.71766661333336</v>
          </cell>
          <cell r="W125">
            <v>305.630448</v>
          </cell>
          <cell r="X125">
            <v>-40.515008483005801</v>
          </cell>
          <cell r="Y125">
            <v>-92.427789869672438</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cell>
          <cell r="Y132" t="str">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32" refreshError="1">
        <row r="11">
          <cell r="A11">
            <v>1</v>
          </cell>
          <cell r="B11" t="str">
            <v>Net Film Revenue</v>
          </cell>
          <cell r="E11">
            <v>291.27999999999997</v>
          </cell>
          <cell r="F11">
            <v>297.89999999999998</v>
          </cell>
          <cell r="G11">
            <v>397.2</v>
          </cell>
          <cell r="H11">
            <v>317.76</v>
          </cell>
          <cell r="I11">
            <v>344.24</v>
          </cell>
          <cell r="J11">
            <v>470.02</v>
          </cell>
          <cell r="K11">
            <v>317.76</v>
          </cell>
          <cell r="L11">
            <v>364.1</v>
          </cell>
          <cell r="M11">
            <v>430.3</v>
          </cell>
          <cell r="N11">
            <v>331</v>
          </cell>
          <cell r="O11">
            <v>436.92</v>
          </cell>
          <cell r="P11">
            <v>430.3</v>
          </cell>
          <cell r="Q11">
            <v>0</v>
          </cell>
          <cell r="T11">
            <v>0</v>
          </cell>
          <cell r="U11">
            <v>4428.78</v>
          </cell>
          <cell r="V11">
            <v>4165.1659399999999</v>
          </cell>
          <cell r="W11">
            <v>5826.2250000000004</v>
          </cell>
          <cell r="X11">
            <v>263.61405999999988</v>
          </cell>
          <cell r="Y11">
            <v>-1397.4449999999999</v>
          </cell>
        </row>
        <row r="12">
          <cell r="A12">
            <v>2</v>
          </cell>
          <cell r="B12" t="str">
            <v>Concession Sales</v>
          </cell>
          <cell r="E12">
            <v>47.08</v>
          </cell>
          <cell r="F12">
            <v>48.15</v>
          </cell>
          <cell r="G12">
            <v>64.2</v>
          </cell>
          <cell r="H12">
            <v>51.36</v>
          </cell>
          <cell r="I12">
            <v>55.64</v>
          </cell>
          <cell r="J12">
            <v>75.97</v>
          </cell>
          <cell r="K12">
            <v>51.36</v>
          </cell>
          <cell r="L12">
            <v>58.85</v>
          </cell>
          <cell r="M12">
            <v>69.55</v>
          </cell>
          <cell r="N12">
            <v>53.5</v>
          </cell>
          <cell r="O12">
            <v>70.62</v>
          </cell>
          <cell r="P12">
            <v>69.55</v>
          </cell>
          <cell r="T12">
            <v>0</v>
          </cell>
          <cell r="U12">
            <v>715.83</v>
          </cell>
          <cell r="V12">
            <v>655.6629999999999</v>
          </cell>
          <cell r="W12">
            <v>781</v>
          </cell>
          <cell r="X12">
            <v>60.16700000000003</v>
          </cell>
          <cell r="Y12">
            <v>-65.170000000000073</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11</v>
          </cell>
          <cell r="F14">
            <v>11</v>
          </cell>
          <cell r="G14">
            <v>13</v>
          </cell>
          <cell r="H14">
            <v>11</v>
          </cell>
          <cell r="I14">
            <v>11</v>
          </cell>
          <cell r="J14">
            <v>14</v>
          </cell>
          <cell r="K14">
            <v>11</v>
          </cell>
          <cell r="L14">
            <v>13</v>
          </cell>
          <cell r="M14">
            <v>13</v>
          </cell>
          <cell r="N14">
            <v>11</v>
          </cell>
          <cell r="O14">
            <v>12</v>
          </cell>
          <cell r="P14">
            <v>13</v>
          </cell>
          <cell r="T14">
            <v>0</v>
          </cell>
          <cell r="U14">
            <v>144</v>
          </cell>
          <cell r="V14">
            <v>131.45067</v>
          </cell>
          <cell r="W14">
            <v>209.11</v>
          </cell>
          <cell r="X14">
            <v>12.549329999999998</v>
          </cell>
          <cell r="Y14">
            <v>-65.11</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242.03953999999999</v>
          </cell>
          <cell r="W15">
            <v>135.60499999999999</v>
          </cell>
          <cell r="X15">
            <v>-8.0395399999999881</v>
          </cell>
          <cell r="Y15">
            <v>98.394999999999996</v>
          </cell>
        </row>
        <row r="16">
          <cell r="A16">
            <v>6</v>
          </cell>
          <cell r="B16" t="str">
            <v>Other Income</v>
          </cell>
          <cell r="C16">
            <v>0</v>
          </cell>
          <cell r="E16">
            <v>9.4376250000000006</v>
          </cell>
          <cell r="F16">
            <v>9.4376250000000006</v>
          </cell>
          <cell r="G16">
            <v>9.4376250000000006</v>
          </cell>
          <cell r="H16">
            <v>9.4376250000000006</v>
          </cell>
          <cell r="I16">
            <v>9.4376250000000006</v>
          </cell>
          <cell r="J16">
            <v>9.4376250000000006</v>
          </cell>
          <cell r="K16">
            <v>9.4376250000000006</v>
          </cell>
          <cell r="L16">
            <v>9.4376250000000006</v>
          </cell>
          <cell r="M16">
            <v>9.4376250000000006</v>
          </cell>
          <cell r="N16">
            <v>9.4376250000000006</v>
          </cell>
          <cell r="O16">
            <v>9.4376250000000006</v>
          </cell>
          <cell r="P16">
            <v>9.4376250000000006</v>
          </cell>
          <cell r="R16">
            <v>0</v>
          </cell>
          <cell r="S16">
            <v>0</v>
          </cell>
          <cell r="T16">
            <v>0</v>
          </cell>
          <cell r="U16">
            <v>113.25149999999998</v>
          </cell>
          <cell r="V16">
            <v>129.18393</v>
          </cell>
          <cell r="W16">
            <v>57.073</v>
          </cell>
          <cell r="X16">
            <v>-15.932430000000025</v>
          </cell>
          <cell r="Y16">
            <v>56.178499999999978</v>
          </cell>
        </row>
        <row r="17">
          <cell r="B17" t="str">
            <v>TOTAL REVENUE</v>
          </cell>
          <cell r="C17">
            <v>0</v>
          </cell>
          <cell r="E17">
            <v>378.29762500000004</v>
          </cell>
          <cell r="F17">
            <v>385.98762499999998</v>
          </cell>
          <cell r="G17">
            <v>503.337625</v>
          </cell>
          <cell r="H17">
            <v>409.05762500000003</v>
          </cell>
          <cell r="I17">
            <v>439.81762500000002</v>
          </cell>
          <cell r="J17">
            <v>588.92762500000003</v>
          </cell>
          <cell r="K17">
            <v>409.05762500000003</v>
          </cell>
          <cell r="L17">
            <v>464.88762500000007</v>
          </cell>
          <cell r="M17">
            <v>541.78762500000005</v>
          </cell>
          <cell r="N17">
            <v>424.43762500000003</v>
          </cell>
          <cell r="O17">
            <v>548.47762499999999</v>
          </cell>
          <cell r="P17">
            <v>541.78762500000005</v>
          </cell>
          <cell r="R17">
            <v>0</v>
          </cell>
          <cell r="S17">
            <v>0</v>
          </cell>
          <cell r="T17">
            <v>0</v>
          </cell>
          <cell r="U17">
            <v>5635.8615</v>
          </cell>
          <cell r="V17">
            <v>5323.5030799999995</v>
          </cell>
          <cell r="W17">
            <v>7009.0129999999999</v>
          </cell>
          <cell r="X17">
            <v>312.35842000000048</v>
          </cell>
          <cell r="Y17">
            <v>-1373.1514999999999</v>
          </cell>
        </row>
        <row r="19">
          <cell r="A19">
            <v>7</v>
          </cell>
          <cell r="B19" t="str">
            <v>Film Hire</v>
          </cell>
          <cell r="E19">
            <v>135.44520000000003</v>
          </cell>
          <cell r="F19">
            <v>138.52349999999998</v>
          </cell>
          <cell r="G19">
            <v>184.69800000000001</v>
          </cell>
          <cell r="H19">
            <v>147.75839999999999</v>
          </cell>
          <cell r="I19">
            <v>160.07160000000002</v>
          </cell>
          <cell r="J19">
            <v>218.55930000000001</v>
          </cell>
          <cell r="K19">
            <v>147.75839999999999</v>
          </cell>
          <cell r="L19">
            <v>169.30650000000003</v>
          </cell>
          <cell r="M19">
            <v>200.08950000000002</v>
          </cell>
          <cell r="N19">
            <v>153.91499999999999</v>
          </cell>
          <cell r="O19">
            <v>203.16780000000003</v>
          </cell>
          <cell r="P19">
            <v>200.08950000000002</v>
          </cell>
          <cell r="U19">
            <v>2059.3826999999997</v>
          </cell>
          <cell r="V19">
            <v>1947.7115999999999</v>
          </cell>
          <cell r="W19">
            <v>2722.3969999999999</v>
          </cell>
          <cell r="X19">
            <v>111.6710999999998</v>
          </cell>
          <cell r="Y19">
            <v>-663.01430000000028</v>
          </cell>
        </row>
        <row r="20">
          <cell r="A20">
            <v>8</v>
          </cell>
          <cell r="B20" t="str">
            <v>Concession Cost</v>
          </cell>
          <cell r="E20">
            <v>10.357600000000001</v>
          </cell>
          <cell r="F20">
            <v>10.593000000000002</v>
          </cell>
          <cell r="G20">
            <v>14.124000000000001</v>
          </cell>
          <cell r="H20">
            <v>11.299200000000001</v>
          </cell>
          <cell r="I20">
            <v>12.2408</v>
          </cell>
          <cell r="J20">
            <v>16.7134</v>
          </cell>
          <cell r="K20">
            <v>11.299200000000001</v>
          </cell>
          <cell r="L20">
            <v>12.947000000000001</v>
          </cell>
          <cell r="M20">
            <v>15.301</v>
          </cell>
          <cell r="N20">
            <v>11.77</v>
          </cell>
          <cell r="O20">
            <v>15.5364</v>
          </cell>
          <cell r="P20">
            <v>15.301</v>
          </cell>
          <cell r="T20">
            <v>0</v>
          </cell>
          <cell r="U20">
            <v>157.48259999999999</v>
          </cell>
          <cell r="V20">
            <v>138.25742000000002</v>
          </cell>
          <cell r="W20">
            <v>207.95099999999999</v>
          </cell>
          <cell r="X20">
            <v>19.225179999999966</v>
          </cell>
          <cell r="Y20">
            <v>-50.468400000000003</v>
          </cell>
        </row>
        <row r="21">
          <cell r="A21">
            <v>9</v>
          </cell>
          <cell r="B21" t="str">
            <v>Less Concession Rebates</v>
          </cell>
          <cell r="E21">
            <v>-1.1770000000000003</v>
          </cell>
          <cell r="F21">
            <v>-1.2037500000000001</v>
          </cell>
          <cell r="G21">
            <v>-1.605</v>
          </cell>
          <cell r="H21">
            <v>-1.284</v>
          </cell>
          <cell r="I21">
            <v>-1.391</v>
          </cell>
          <cell r="J21">
            <v>-1.8992500000000001</v>
          </cell>
          <cell r="K21">
            <v>-1.284</v>
          </cell>
          <cell r="L21">
            <v>-1.4712499999999999</v>
          </cell>
          <cell r="M21">
            <v>-1.73875</v>
          </cell>
          <cell r="N21">
            <v>-1.3374999999999999</v>
          </cell>
          <cell r="O21">
            <v>-1.7655000000000003</v>
          </cell>
          <cell r="P21">
            <v>-1.73875</v>
          </cell>
          <cell r="U21">
            <v>-17.89575</v>
          </cell>
          <cell r="V21">
            <v>-22.54</v>
          </cell>
          <cell r="W21">
            <v>-37.252000000000002</v>
          </cell>
          <cell r="X21">
            <v>4.6442499999999995</v>
          </cell>
          <cell r="Y21">
            <v>19.356249999999999</v>
          </cell>
        </row>
        <row r="22">
          <cell r="A22">
            <v>10</v>
          </cell>
          <cell r="B22" t="str">
            <v>Advertising Cost</v>
          </cell>
          <cell r="E22">
            <v>6.6994400000000009</v>
          </cell>
          <cell r="F22">
            <v>6.8516999999999992</v>
          </cell>
          <cell r="G22">
            <v>9.1356000000000002</v>
          </cell>
          <cell r="H22">
            <v>7.3084799999999994</v>
          </cell>
          <cell r="I22">
            <v>7.9175199999999997</v>
          </cell>
          <cell r="J22">
            <v>10.810459999999999</v>
          </cell>
          <cell r="K22">
            <v>7.3084799999999994</v>
          </cell>
          <cell r="L22">
            <v>8.3742999999999999</v>
          </cell>
          <cell r="M22">
            <v>9.8969000000000005</v>
          </cell>
          <cell r="N22">
            <v>7.6129999999999995</v>
          </cell>
          <cell r="O22">
            <v>10.049160000000001</v>
          </cell>
          <cell r="P22">
            <v>9.8969000000000005</v>
          </cell>
          <cell r="T22">
            <v>0</v>
          </cell>
          <cell r="U22">
            <v>101.86194</v>
          </cell>
          <cell r="V22">
            <v>105.82353999999998</v>
          </cell>
          <cell r="W22">
            <v>137.756</v>
          </cell>
          <cell r="X22">
            <v>-3.9615999999999758</v>
          </cell>
          <cell r="Y22">
            <v>-35.894059999999996</v>
          </cell>
        </row>
        <row r="23">
          <cell r="A23">
            <v>11</v>
          </cell>
          <cell r="B23" t="str">
            <v>Other Cost</v>
          </cell>
          <cell r="C23">
            <v>0</v>
          </cell>
          <cell r="E23">
            <v>0.58256000000000008</v>
          </cell>
          <cell r="F23">
            <v>0.5958</v>
          </cell>
          <cell r="G23">
            <v>0.7944</v>
          </cell>
          <cell r="H23">
            <v>0.63551999999999997</v>
          </cell>
          <cell r="I23">
            <v>0.68847999999999998</v>
          </cell>
          <cell r="J23">
            <v>0.94003999999999999</v>
          </cell>
          <cell r="K23">
            <v>0.63551999999999997</v>
          </cell>
          <cell r="L23">
            <v>0.72820000000000007</v>
          </cell>
          <cell r="M23">
            <v>0.86060000000000003</v>
          </cell>
          <cell r="N23">
            <v>0.66200000000000003</v>
          </cell>
          <cell r="O23">
            <v>0.87384000000000006</v>
          </cell>
          <cell r="P23">
            <v>0.86060000000000003</v>
          </cell>
          <cell r="R23">
            <v>0</v>
          </cell>
          <cell r="S23">
            <v>0</v>
          </cell>
          <cell r="T23">
            <v>0</v>
          </cell>
          <cell r="U23">
            <v>8.8575599999999994</v>
          </cell>
          <cell r="V23">
            <v>8.3303318799999992</v>
          </cell>
          <cell r="W23">
            <v>11.652450000000002</v>
          </cell>
          <cell r="X23">
            <v>0.52722812000000019</v>
          </cell>
          <cell r="Y23">
            <v>-2.7948900000000023</v>
          </cell>
        </row>
        <row r="24">
          <cell r="A24">
            <v>12</v>
          </cell>
          <cell r="B24" t="str">
            <v>Direct Payroll</v>
          </cell>
          <cell r="C24">
            <v>0</v>
          </cell>
          <cell r="E24">
            <v>28.146414076896551</v>
          </cell>
          <cell r="F24">
            <v>28.146414076896551</v>
          </cell>
          <cell r="G24">
            <v>29.246414076896553</v>
          </cell>
          <cell r="H24">
            <v>28.146414076896551</v>
          </cell>
          <cell r="I24">
            <v>28.146414076896551</v>
          </cell>
          <cell r="J24">
            <v>29.246414076896553</v>
          </cell>
          <cell r="K24">
            <v>28.681991757996553</v>
          </cell>
          <cell r="L24">
            <v>28.681991757996553</v>
          </cell>
          <cell r="M24">
            <v>29.781991757996554</v>
          </cell>
          <cell r="N24">
            <v>28.681991757996553</v>
          </cell>
          <cell r="O24">
            <v>29.781991757996554</v>
          </cell>
          <cell r="P24">
            <v>29.781991757996554</v>
          </cell>
          <cell r="R24">
            <v>0</v>
          </cell>
          <cell r="S24">
            <v>0</v>
          </cell>
          <cell r="T24">
            <v>0</v>
          </cell>
          <cell r="U24">
            <v>346.4704350093586</v>
          </cell>
          <cell r="V24">
            <v>437.46495666666669</v>
          </cell>
          <cell r="W24">
            <v>559.02800000000002</v>
          </cell>
          <cell r="X24">
            <v>-90.994521657308098</v>
          </cell>
          <cell r="Y24">
            <v>-212.55756499064142</v>
          </cell>
        </row>
        <row r="25">
          <cell r="B25" t="str">
            <v>TOTAL COST</v>
          </cell>
          <cell r="C25">
            <v>0</v>
          </cell>
          <cell r="E25">
            <v>180.05421407689659</v>
          </cell>
          <cell r="F25">
            <v>183.5066640768965</v>
          </cell>
          <cell r="G25">
            <v>236.39341407689656</v>
          </cell>
          <cell r="H25">
            <v>193.86401407689658</v>
          </cell>
          <cell r="I25">
            <v>207.67381407689658</v>
          </cell>
          <cell r="J25">
            <v>274.37036407689658</v>
          </cell>
          <cell r="K25">
            <v>194.39959175799657</v>
          </cell>
          <cell r="L25">
            <v>218.56674175799657</v>
          </cell>
          <cell r="M25">
            <v>254.19124175799655</v>
          </cell>
          <cell r="N25">
            <v>201.30449175799657</v>
          </cell>
          <cell r="O25">
            <v>257.64369175799658</v>
          </cell>
          <cell r="P25">
            <v>254.19124175799655</v>
          </cell>
          <cell r="R25">
            <v>0</v>
          </cell>
          <cell r="S25">
            <v>0</v>
          </cell>
          <cell r="T25">
            <v>0</v>
          </cell>
          <cell r="U25">
            <v>2656.1594850093588</v>
          </cell>
          <cell r="V25">
            <v>2615.0478485466665</v>
          </cell>
          <cell r="W25">
            <v>3601.5324499999997</v>
          </cell>
          <cell r="X25">
            <v>41.111636462692331</v>
          </cell>
          <cell r="Y25">
            <v>-945.37296499064087</v>
          </cell>
        </row>
        <row r="27">
          <cell r="B27" t="str">
            <v>GROSS MARGIN</v>
          </cell>
          <cell r="C27">
            <v>0</v>
          </cell>
          <cell r="E27">
            <v>198.24341092310345</v>
          </cell>
          <cell r="F27">
            <v>202.48096092310348</v>
          </cell>
          <cell r="G27">
            <v>266.94421092310347</v>
          </cell>
          <cell r="H27">
            <v>215.19361092310345</v>
          </cell>
          <cell r="I27">
            <v>232.14381092310344</v>
          </cell>
          <cell r="J27">
            <v>314.55726092310346</v>
          </cell>
          <cell r="K27">
            <v>214.65803324200346</v>
          </cell>
          <cell r="L27">
            <v>246.3208832420035</v>
          </cell>
          <cell r="M27">
            <v>287.59638324200353</v>
          </cell>
          <cell r="N27">
            <v>223.13313324200345</v>
          </cell>
          <cell r="O27">
            <v>290.83393324200341</v>
          </cell>
          <cell r="P27">
            <v>287.59638324200353</v>
          </cell>
          <cell r="R27">
            <v>0</v>
          </cell>
          <cell r="S27">
            <v>0</v>
          </cell>
          <cell r="T27">
            <v>0</v>
          </cell>
          <cell r="U27">
            <v>2979.7020149906416</v>
          </cell>
          <cell r="V27">
            <v>2708.455231453333</v>
          </cell>
          <cell r="W27">
            <v>3407.4805500000002</v>
          </cell>
          <cell r="X27">
            <v>271.2467835373086</v>
          </cell>
          <cell r="Y27">
            <v>-427.77853500935862</v>
          </cell>
        </row>
        <row r="28">
          <cell r="X28" t="str">
            <v/>
          </cell>
          <cell r="Y28" t="str">
            <v/>
          </cell>
        </row>
        <row r="29">
          <cell r="A29">
            <v>13</v>
          </cell>
          <cell r="B29" t="str">
            <v>Direct Rent</v>
          </cell>
          <cell r="E29">
            <v>0.15</v>
          </cell>
          <cell r="F29">
            <v>0</v>
          </cell>
          <cell r="G29">
            <v>0</v>
          </cell>
          <cell r="H29">
            <v>0</v>
          </cell>
          <cell r="I29">
            <v>0</v>
          </cell>
          <cell r="J29">
            <v>0</v>
          </cell>
          <cell r="K29">
            <v>0</v>
          </cell>
          <cell r="L29">
            <v>0</v>
          </cell>
          <cell r="M29">
            <v>0</v>
          </cell>
          <cell r="N29">
            <v>0</v>
          </cell>
          <cell r="O29">
            <v>0</v>
          </cell>
          <cell r="P29">
            <v>0</v>
          </cell>
          <cell r="T29">
            <v>0</v>
          </cell>
          <cell r="U29">
            <v>0.15</v>
          </cell>
          <cell r="V29">
            <v>0.15</v>
          </cell>
          <cell r="W29">
            <v>1.8</v>
          </cell>
          <cell r="X29">
            <v>0</v>
          </cell>
          <cell r="Y29">
            <v>-1.65</v>
          </cell>
        </row>
        <row r="30">
          <cell r="A30">
            <v>14</v>
          </cell>
          <cell r="B30" t="str">
            <v>Light, Heat and Power</v>
          </cell>
          <cell r="E30">
            <v>15.3</v>
          </cell>
          <cell r="F30">
            <v>15.3</v>
          </cell>
          <cell r="G30">
            <v>15.3</v>
          </cell>
          <cell r="H30">
            <v>15.3</v>
          </cell>
          <cell r="I30">
            <v>15.3</v>
          </cell>
          <cell r="J30">
            <v>15.3</v>
          </cell>
          <cell r="K30">
            <v>15.3</v>
          </cell>
          <cell r="L30">
            <v>15.3</v>
          </cell>
          <cell r="M30">
            <v>15.3</v>
          </cell>
          <cell r="N30">
            <v>15.3</v>
          </cell>
          <cell r="O30">
            <v>15.3</v>
          </cell>
          <cell r="P30">
            <v>15.3</v>
          </cell>
          <cell r="Q30" t="str">
            <v/>
          </cell>
          <cell r="R30">
            <v>19</v>
          </cell>
          <cell r="S30">
            <v>19</v>
          </cell>
          <cell r="T30">
            <v>0</v>
          </cell>
          <cell r="U30">
            <v>183.6</v>
          </cell>
          <cell r="V30">
            <v>195.09496000000001</v>
          </cell>
          <cell r="W30">
            <v>238.048</v>
          </cell>
          <cell r="X30">
            <v>-11.494959999999992</v>
          </cell>
          <cell r="Y30">
            <v>-54.447999999999979</v>
          </cell>
        </row>
        <row r="31">
          <cell r="A31">
            <v>15</v>
          </cell>
          <cell r="B31" t="str">
            <v>Repair &amp; Maintenance</v>
          </cell>
          <cell r="E31">
            <v>13.007</v>
          </cell>
          <cell r="F31">
            <v>13.007</v>
          </cell>
          <cell r="G31">
            <v>13.007</v>
          </cell>
          <cell r="H31">
            <v>18.006999999999998</v>
          </cell>
          <cell r="I31">
            <v>13.007</v>
          </cell>
          <cell r="J31">
            <v>13.007</v>
          </cell>
          <cell r="K31">
            <v>13.007</v>
          </cell>
          <cell r="L31">
            <v>13.007</v>
          </cell>
          <cell r="M31">
            <v>13.007</v>
          </cell>
          <cell r="N31">
            <v>13.007</v>
          </cell>
          <cell r="O31">
            <v>13.007</v>
          </cell>
          <cell r="P31">
            <v>13.007</v>
          </cell>
          <cell r="Q31" t="str">
            <v/>
          </cell>
          <cell r="R31">
            <v>10.95</v>
          </cell>
          <cell r="S31">
            <v>10.95</v>
          </cell>
          <cell r="T31">
            <v>0</v>
          </cell>
          <cell r="U31">
            <v>161.08400000000003</v>
          </cell>
          <cell r="V31">
            <v>167.58857666666665</v>
          </cell>
          <cell r="W31">
            <v>234.62100000000001</v>
          </cell>
          <cell r="X31">
            <v>-6.5045766666666225</v>
          </cell>
          <cell r="Y31">
            <v>-73.536999999999978</v>
          </cell>
        </row>
        <row r="32">
          <cell r="A32">
            <v>16</v>
          </cell>
          <cell r="B32" t="str">
            <v>Common Area Maintenance</v>
          </cell>
          <cell r="E32">
            <v>18.853999999999999</v>
          </cell>
          <cell r="F32">
            <v>18.853999999999999</v>
          </cell>
          <cell r="G32">
            <v>18.853999999999999</v>
          </cell>
          <cell r="H32">
            <v>18.853999999999999</v>
          </cell>
          <cell r="I32">
            <v>18.853999999999999</v>
          </cell>
          <cell r="J32">
            <v>18.853999999999999</v>
          </cell>
          <cell r="K32">
            <v>18.853999999999999</v>
          </cell>
          <cell r="L32">
            <v>18.853999999999999</v>
          </cell>
          <cell r="M32">
            <v>18.853999999999999</v>
          </cell>
          <cell r="N32">
            <v>18.853999999999999</v>
          </cell>
          <cell r="O32">
            <v>18.853999999999999</v>
          </cell>
          <cell r="P32">
            <v>18.853999999999999</v>
          </cell>
          <cell r="T32">
            <v>0</v>
          </cell>
          <cell r="U32">
            <v>226.24799999999993</v>
          </cell>
          <cell r="V32">
            <v>228.36</v>
          </cell>
          <cell r="W32">
            <v>226.24799999999999</v>
          </cell>
          <cell r="X32">
            <v>-2.11200000000008</v>
          </cell>
          <cell r="Y32">
            <v>0</v>
          </cell>
        </row>
        <row r="33">
          <cell r="A33">
            <v>17</v>
          </cell>
          <cell r="B33" t="str">
            <v>Other Overhead Costs</v>
          </cell>
          <cell r="C33">
            <v>0</v>
          </cell>
          <cell r="E33">
            <v>21.498704140768968</v>
          </cell>
          <cell r="F33">
            <v>21.687184140768967</v>
          </cell>
          <cell r="G33">
            <v>21.540104140768971</v>
          </cell>
          <cell r="H33">
            <v>21.687184140768967</v>
          </cell>
          <cell r="I33">
            <v>21.529104140768968</v>
          </cell>
          <cell r="J33">
            <v>21.698184140768969</v>
          </cell>
          <cell r="K33">
            <v>21.692539917579968</v>
          </cell>
          <cell r="L33">
            <v>44.319299917579961</v>
          </cell>
          <cell r="M33">
            <v>23.203539917579967</v>
          </cell>
          <cell r="N33">
            <v>21.534459917579969</v>
          </cell>
          <cell r="O33">
            <v>21.703539917579967</v>
          </cell>
          <cell r="P33">
            <v>21.545459917579969</v>
          </cell>
          <cell r="R33">
            <v>0</v>
          </cell>
          <cell r="S33">
            <v>0</v>
          </cell>
          <cell r="T33">
            <v>0</v>
          </cell>
          <cell r="U33">
            <v>283.63930435009365</v>
          </cell>
          <cell r="V33">
            <v>303.58615905333329</v>
          </cell>
          <cell r="W33">
            <v>397.10354999999998</v>
          </cell>
          <cell r="X33">
            <v>-19.946854703239637</v>
          </cell>
          <cell r="Y33">
            <v>-113.46424564990633</v>
          </cell>
        </row>
        <row r="35">
          <cell r="B35" t="str">
            <v>Total Overhead Expenses</v>
          </cell>
          <cell r="C35">
            <v>0</v>
          </cell>
          <cell r="E35">
            <v>68.809704140768972</v>
          </cell>
          <cell r="F35">
            <v>68.848184140768964</v>
          </cell>
          <cell r="G35">
            <v>68.701104140768976</v>
          </cell>
          <cell r="H35">
            <v>73.848184140768964</v>
          </cell>
          <cell r="I35">
            <v>68.690104140768966</v>
          </cell>
          <cell r="J35">
            <v>68.859184140768974</v>
          </cell>
          <cell r="K35">
            <v>68.853539917579965</v>
          </cell>
          <cell r="L35">
            <v>91.48029991757997</v>
          </cell>
          <cell r="M35">
            <v>70.364539917579975</v>
          </cell>
          <cell r="N35">
            <v>68.695459917579967</v>
          </cell>
          <cell r="O35">
            <v>68.864539917579975</v>
          </cell>
          <cell r="P35">
            <v>68.706459917579963</v>
          </cell>
          <cell r="R35">
            <v>0</v>
          </cell>
          <cell r="S35">
            <v>0</v>
          </cell>
          <cell r="T35">
            <v>0</v>
          </cell>
          <cell r="U35">
            <v>854.72130435009365</v>
          </cell>
          <cell r="V35">
            <v>894.77969571999995</v>
          </cell>
          <cell r="W35">
            <v>1097.8205500000001</v>
          </cell>
          <cell r="X35">
            <v>-40.058391369906303</v>
          </cell>
          <cell r="Y35">
            <v>-243.09924564990649</v>
          </cell>
        </row>
        <row r="37">
          <cell r="B37" t="str">
            <v>E.B.I.T.D.</v>
          </cell>
          <cell r="C37">
            <v>0</v>
          </cell>
          <cell r="E37">
            <v>129.43370678233447</v>
          </cell>
          <cell r="F37">
            <v>133.63277678233453</v>
          </cell>
          <cell r="G37">
            <v>198.24310678233451</v>
          </cell>
          <cell r="H37">
            <v>141.34542678233447</v>
          </cell>
          <cell r="I37">
            <v>163.45370678233448</v>
          </cell>
          <cell r="J37">
            <v>245.69807678233448</v>
          </cell>
          <cell r="K37">
            <v>145.8044933244235</v>
          </cell>
          <cell r="L37">
            <v>154.84058332442353</v>
          </cell>
          <cell r="M37">
            <v>217.23184332442355</v>
          </cell>
          <cell r="N37">
            <v>154.43767332442349</v>
          </cell>
          <cell r="O37">
            <v>221.96939332442344</v>
          </cell>
          <cell r="P37">
            <v>218.88992332442356</v>
          </cell>
          <cell r="R37">
            <v>0</v>
          </cell>
          <cell r="S37">
            <v>0</v>
          </cell>
          <cell r="T37">
            <v>0</v>
          </cell>
          <cell r="U37">
            <v>2124.9807106405478</v>
          </cell>
          <cell r="V37">
            <v>1813.6755357333332</v>
          </cell>
          <cell r="W37">
            <v>2309.66</v>
          </cell>
          <cell r="X37">
            <v>311.30517490721491</v>
          </cell>
          <cell r="Y37">
            <v>-184.67928935945213</v>
          </cell>
        </row>
        <row r="39">
          <cell r="A39">
            <v>18</v>
          </cell>
          <cell r="B39" t="str">
            <v>Depreciation</v>
          </cell>
          <cell r="E39">
            <v>28.535173611111112</v>
          </cell>
          <cell r="F39">
            <v>28.535173611111112</v>
          </cell>
          <cell r="G39">
            <v>28.535173611111112</v>
          </cell>
          <cell r="H39">
            <v>32.851840277777775</v>
          </cell>
          <cell r="I39">
            <v>32.851840277777775</v>
          </cell>
          <cell r="J39">
            <v>32.851840277777775</v>
          </cell>
          <cell r="K39">
            <v>32.851840277777775</v>
          </cell>
          <cell r="L39">
            <v>32.851840277777775</v>
          </cell>
          <cell r="M39">
            <v>32.851840277777775</v>
          </cell>
          <cell r="N39">
            <v>32.851840277777775</v>
          </cell>
          <cell r="O39">
            <v>32.851840277777775</v>
          </cell>
          <cell r="P39">
            <v>32.851840277777775</v>
          </cell>
          <cell r="Q39" t="str">
            <v/>
          </cell>
          <cell r="R39" t="e">
            <v>#REF!</v>
          </cell>
          <cell r="S39" t="e">
            <v>#REF!</v>
          </cell>
          <cell r="T39">
            <v>0</v>
          </cell>
          <cell r="U39">
            <v>381.27208333333334</v>
          </cell>
          <cell r="V39">
            <v>336.86984990740746</v>
          </cell>
          <cell r="W39">
            <v>304.35500000000002</v>
          </cell>
          <cell r="X39">
            <v>44.402233425925886</v>
          </cell>
          <cell r="Y39">
            <v>76.917083333333323</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2.63</v>
          </cell>
          <cell r="W40">
            <v>25.629000000000001</v>
          </cell>
          <cell r="X40">
            <v>-2.63</v>
          </cell>
          <cell r="Y40">
            <v>-25.629000000000001</v>
          </cell>
        </row>
        <row r="41">
          <cell r="A41">
            <v>20</v>
          </cell>
          <cell r="B41" t="str">
            <v>External Interest</v>
          </cell>
          <cell r="T41">
            <v>0</v>
          </cell>
          <cell r="U41">
            <v>0</v>
          </cell>
          <cell r="V41">
            <v>691.80187095890415</v>
          </cell>
          <cell r="W41">
            <v>828.08799999999997</v>
          </cell>
          <cell r="X41">
            <v>-691.80187095890415</v>
          </cell>
          <cell r="Y41">
            <v>-828.08799999999997</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10.766209999999997</v>
          </cell>
          <cell r="W43">
            <v>19.210999999999999</v>
          </cell>
          <cell r="X43">
            <v>-10.766209999999997</v>
          </cell>
          <cell r="Y43">
            <v>-19.210999999999999</v>
          </cell>
        </row>
        <row r="44">
          <cell r="B44" t="str">
            <v>E.B.T.</v>
          </cell>
          <cell r="C44">
            <v>0</v>
          </cell>
          <cell r="E44">
            <v>100.89853317122336</v>
          </cell>
          <cell r="F44">
            <v>105.09760317122343</v>
          </cell>
          <cell r="G44">
            <v>169.7079331712234</v>
          </cell>
          <cell r="H44">
            <v>108.4935865045567</v>
          </cell>
          <cell r="I44">
            <v>130.60186650455671</v>
          </cell>
          <cell r="J44">
            <v>212.84623650455671</v>
          </cell>
          <cell r="K44">
            <v>112.95265304664574</v>
          </cell>
          <cell r="L44">
            <v>121.98874304664577</v>
          </cell>
          <cell r="M44">
            <v>184.38000304664578</v>
          </cell>
          <cell r="N44">
            <v>121.58583304664572</v>
          </cell>
          <cell r="O44">
            <v>189.11755304664567</v>
          </cell>
          <cell r="P44">
            <v>186.0380830466458</v>
          </cell>
          <cell r="Q44">
            <v>0</v>
          </cell>
          <cell r="R44">
            <v>0</v>
          </cell>
          <cell r="S44">
            <v>0</v>
          </cell>
          <cell r="T44">
            <v>0</v>
          </cell>
          <cell r="U44">
            <v>1743.7086273072146</v>
          </cell>
          <cell r="V44">
            <v>793.14002486702134</v>
          </cell>
          <cell r="W44">
            <v>1170.799</v>
          </cell>
          <cell r="X44">
            <v>950.56860244019322</v>
          </cell>
          <cell r="Y44">
            <v>572.90962730721458</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100.89853317122336</v>
          </cell>
          <cell r="F50">
            <v>105.09760317122343</v>
          </cell>
          <cell r="G50">
            <v>169.7079331712234</v>
          </cell>
          <cell r="H50">
            <v>108.4935865045567</v>
          </cell>
          <cell r="I50">
            <v>130.60186650455671</v>
          </cell>
          <cell r="J50">
            <v>212.84623650455671</v>
          </cell>
          <cell r="K50">
            <v>112.95265304664574</v>
          </cell>
          <cell r="L50">
            <v>121.98874304664577</v>
          </cell>
          <cell r="M50">
            <v>184.38000304664578</v>
          </cell>
          <cell r="N50">
            <v>121.58583304664572</v>
          </cell>
          <cell r="O50">
            <v>189.11755304664567</v>
          </cell>
          <cell r="P50">
            <v>186.0380830466458</v>
          </cell>
          <cell r="Q50">
            <v>0</v>
          </cell>
          <cell r="R50">
            <v>0</v>
          </cell>
          <cell r="S50">
            <v>0</v>
          </cell>
          <cell r="T50">
            <v>0</v>
          </cell>
          <cell r="U50">
            <v>1743.7086273072146</v>
          </cell>
          <cell r="V50">
            <v>793.14002486702134</v>
          </cell>
          <cell r="W50">
            <v>1170.799</v>
          </cell>
          <cell r="X50">
            <v>950.56860244019322</v>
          </cell>
          <cell r="Y50">
            <v>572.90962730721458</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43.12</v>
          </cell>
          <cell r="F54">
            <v>44.1</v>
          </cell>
          <cell r="G54">
            <v>58.8</v>
          </cell>
          <cell r="H54">
            <v>47.04</v>
          </cell>
          <cell r="I54">
            <v>50.96</v>
          </cell>
          <cell r="J54">
            <v>69.58</v>
          </cell>
          <cell r="K54">
            <v>47.04</v>
          </cell>
          <cell r="L54">
            <v>53.9</v>
          </cell>
          <cell r="M54">
            <v>63.7</v>
          </cell>
          <cell r="N54">
            <v>49</v>
          </cell>
          <cell r="O54">
            <v>64.680000000000007</v>
          </cell>
          <cell r="P54">
            <v>63.7</v>
          </cell>
          <cell r="T54">
            <v>0</v>
          </cell>
          <cell r="U54">
            <v>655.62</v>
          </cell>
          <cell r="V54">
            <v>627.029</v>
          </cell>
          <cell r="W54">
            <v>859.61300000000006</v>
          </cell>
          <cell r="X54">
            <v>28.591000000000008</v>
          </cell>
          <cell r="Y54">
            <v>-203.99300000000005</v>
          </cell>
        </row>
        <row r="55">
          <cell r="A55">
            <v>28</v>
          </cell>
          <cell r="B55" t="str">
            <v>Admissions</v>
          </cell>
          <cell r="E55">
            <v>44</v>
          </cell>
          <cell r="F55">
            <v>45</v>
          </cell>
          <cell r="G55">
            <v>60</v>
          </cell>
          <cell r="H55">
            <v>48</v>
          </cell>
          <cell r="I55">
            <v>52</v>
          </cell>
          <cell r="J55">
            <v>71</v>
          </cell>
          <cell r="K55">
            <v>48</v>
          </cell>
          <cell r="L55">
            <v>55</v>
          </cell>
          <cell r="M55">
            <v>65</v>
          </cell>
          <cell r="N55">
            <v>50</v>
          </cell>
          <cell r="O55">
            <v>66</v>
          </cell>
          <cell r="P55">
            <v>65</v>
          </cell>
          <cell r="T55">
            <v>0</v>
          </cell>
          <cell r="U55">
            <v>669</v>
          </cell>
          <cell r="V55">
            <v>627.029</v>
          </cell>
          <cell r="W55">
            <v>859.61300000000006</v>
          </cell>
          <cell r="X55">
            <v>41.971000000000004</v>
          </cell>
          <cell r="Y55">
            <v>-190.61300000000006</v>
          </cell>
        </row>
        <row r="56">
          <cell r="B56" t="str">
            <v>Utilisation Rate</v>
          </cell>
          <cell r="E56">
            <v>0.20299697349966783</v>
          </cell>
          <cell r="F56">
            <v>0.20761054107920573</v>
          </cell>
          <cell r="G56">
            <v>0.22145124381781944</v>
          </cell>
          <cell r="H56">
            <v>0.22145124381781944</v>
          </cell>
          <cell r="I56">
            <v>0.23990551413597105</v>
          </cell>
          <cell r="J56">
            <v>0.26205063851775301</v>
          </cell>
          <cell r="K56">
            <v>0.22145124381781944</v>
          </cell>
          <cell r="L56">
            <v>0.25374621687458476</v>
          </cell>
          <cell r="M56">
            <v>0.23990551413597105</v>
          </cell>
          <cell r="N56">
            <v>0.23067837897689525</v>
          </cell>
          <cell r="O56">
            <v>0.2435963681996014</v>
          </cell>
          <cell r="P56">
            <v>0.29988189266996385</v>
          </cell>
          <cell r="Q56" t="str">
            <v/>
          </cell>
          <cell r="R56" t="e">
            <v>#DIV/0!</v>
          </cell>
          <cell r="S56" t="e">
            <v>#DIV/0!</v>
          </cell>
          <cell r="T56" t="e">
            <v>#DIV/0!</v>
          </cell>
          <cell r="U56">
            <v>0.2374212854392968</v>
          </cell>
          <cell r="V56">
            <v>0.22252620506385176</v>
          </cell>
          <cell r="W56">
            <v>0.28884243675030963</v>
          </cell>
          <cell r="X56">
            <v>1.4895080375445041E-2</v>
          </cell>
          <cell r="Y56">
            <v>-5.1421151311012825E-2</v>
          </cell>
        </row>
        <row r="57">
          <cell r="B57" t="str">
            <v>Ave. Admission Price (S$)</v>
          </cell>
          <cell r="C57" t="str">
            <v>N.A.</v>
          </cell>
          <cell r="E57">
            <v>6.62</v>
          </cell>
          <cell r="F57">
            <v>6.62</v>
          </cell>
          <cell r="G57">
            <v>6.62</v>
          </cell>
          <cell r="H57">
            <v>6.62</v>
          </cell>
          <cell r="I57">
            <v>6.62</v>
          </cell>
          <cell r="J57">
            <v>6.62</v>
          </cell>
          <cell r="K57">
            <v>6.62</v>
          </cell>
          <cell r="L57">
            <v>6.62</v>
          </cell>
          <cell r="M57">
            <v>6.62</v>
          </cell>
          <cell r="N57">
            <v>6.62</v>
          </cell>
          <cell r="O57">
            <v>6.62</v>
          </cell>
          <cell r="P57">
            <v>6.62</v>
          </cell>
          <cell r="R57" t="str">
            <v>N.A.</v>
          </cell>
          <cell r="S57" t="str">
            <v>N.A.</v>
          </cell>
          <cell r="U57">
            <v>6.62</v>
          </cell>
          <cell r="V57">
            <v>6.6427006406402258</v>
          </cell>
          <cell r="W57">
            <v>6.7777302111531581</v>
          </cell>
          <cell r="X57">
            <v>-2.2700640640226588E-2</v>
          </cell>
          <cell r="Y57">
            <v>-0.15773021115315888</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2.3000000000000003E-2</v>
          </cell>
          <cell r="V58">
            <v>2.5406800479118481E-2</v>
          </cell>
          <cell r="W58">
            <v>2.3644126342528823E-2</v>
          </cell>
          <cell r="X58">
            <v>-2.4068004791184781E-3</v>
          </cell>
          <cell r="Y58">
            <v>-6.4412634252881962E-4</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Q59" t="str">
            <v/>
          </cell>
          <cell r="R59" t="str">
            <v>N.A.</v>
          </cell>
          <cell r="S59" t="str">
            <v>N.A.</v>
          </cell>
          <cell r="U59">
            <v>0.19500000000000001</v>
          </cell>
          <cell r="V59">
            <v>0.17648917202892347</v>
          </cell>
          <cell r="W59">
            <v>0.21856466069142125</v>
          </cell>
          <cell r="X59">
            <v>1.8510827971076532E-2</v>
          </cell>
          <cell r="Y59">
            <v>-2.3564660691421241E-2</v>
          </cell>
        </row>
        <row r="60">
          <cell r="B60" t="str">
            <v>Concess. Rev per Patron (S$)</v>
          </cell>
          <cell r="C60" t="str">
            <v>N.A.</v>
          </cell>
          <cell r="E60">
            <v>1.07</v>
          </cell>
          <cell r="F60">
            <v>1.07</v>
          </cell>
          <cell r="G60">
            <v>1.07</v>
          </cell>
          <cell r="H60">
            <v>1.07</v>
          </cell>
          <cell r="I60">
            <v>1.07</v>
          </cell>
          <cell r="J60">
            <v>1.07</v>
          </cell>
          <cell r="K60">
            <v>1.07</v>
          </cell>
          <cell r="L60">
            <v>1.07</v>
          </cell>
          <cell r="M60">
            <v>1.07</v>
          </cell>
          <cell r="N60">
            <v>1.07</v>
          </cell>
          <cell r="O60">
            <v>1.07</v>
          </cell>
          <cell r="P60">
            <v>1.07</v>
          </cell>
          <cell r="R60" t="str">
            <v>N.A.</v>
          </cell>
          <cell r="S60" t="str">
            <v>N.A.</v>
          </cell>
          <cell r="U60">
            <v>1.07</v>
          </cell>
          <cell r="V60">
            <v>1.045666149412547</v>
          </cell>
          <cell r="W60">
            <v>0.90854838165546581</v>
          </cell>
          <cell r="X60">
            <v>2.4333850587452854E-2</v>
          </cell>
          <cell r="Y60">
            <v>0.16145161834453403</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0.46761920846783839</v>
          </cell>
          <cell r="W61">
            <v>0.46726602559976654</v>
          </cell>
          <cell r="X61">
            <v>-2.6192084678384187E-3</v>
          </cell>
          <cell r="Y61">
            <v>-2.2660255997665746E-3</v>
          </cell>
        </row>
        <row r="62">
          <cell r="B62" t="str">
            <v>Direct Payroll : Net Box</v>
          </cell>
          <cell r="C62" t="str">
            <v>N.A.</v>
          </cell>
          <cell r="E62">
            <v>9.6630095018183704E-2</v>
          </cell>
          <cell r="F62">
            <v>9.4482759573335198E-2</v>
          </cell>
          <cell r="G62">
            <v>7.3631455379900693E-2</v>
          </cell>
          <cell r="H62">
            <v>8.8577587100001742E-2</v>
          </cell>
          <cell r="I62">
            <v>8.176392655384776E-2</v>
          </cell>
          <cell r="J62">
            <v>6.2223765109775231E-2</v>
          </cell>
          <cell r="K62">
            <v>9.026306570366488E-2</v>
          </cell>
          <cell r="L62">
            <v>7.8775039159562077E-2</v>
          </cell>
          <cell r="M62">
            <v>6.9212158396459569E-2</v>
          </cell>
          <cell r="N62">
            <v>8.6652543075518285E-2</v>
          </cell>
          <cell r="O62">
            <v>6.8163489329846547E-2</v>
          </cell>
          <cell r="P62">
            <v>6.9212158396459569E-2</v>
          </cell>
          <cell r="Q62" t="str">
            <v/>
          </cell>
          <cell r="R62" t="str">
            <v>N.A.</v>
          </cell>
          <cell r="S62" t="str">
            <v>N.A.</v>
          </cell>
          <cell r="T62" t="str">
            <v>N.A.</v>
          </cell>
          <cell r="U62">
            <v>7.82315750634167E-2</v>
          </cell>
          <cell r="V62">
            <v>0.1050294185077934</v>
          </cell>
          <cell r="W62">
            <v>9.5950293715055632E-2</v>
          </cell>
          <cell r="X62">
            <v>-2.6797843444376704E-2</v>
          </cell>
          <cell r="Y62">
            <v>-1.7718718651638932E-2</v>
          </cell>
        </row>
        <row r="63">
          <cell r="B63" t="str">
            <v>Direct Payroll : Net Box &amp; Conc.</v>
          </cell>
          <cell r="C63" t="str">
            <v>N.A.</v>
          </cell>
          <cell r="E63">
            <v>8.3184815217214061E-2</v>
          </cell>
          <cell r="F63">
            <v>8.133626376794266E-2</v>
          </cell>
          <cell r="G63">
            <v>6.3386246373854691E-2</v>
          </cell>
          <cell r="H63">
            <v>7.6252747282446229E-2</v>
          </cell>
          <cell r="I63">
            <v>7.0387151337642673E-2</v>
          </cell>
          <cell r="J63">
            <v>5.356584200607438E-2</v>
          </cell>
          <cell r="K63">
            <v>7.7703705456210859E-2</v>
          </cell>
          <cell r="L63">
            <v>6.7814142943602204E-2</v>
          </cell>
          <cell r="M63">
            <v>5.958185807341513E-2</v>
          </cell>
          <cell r="N63">
            <v>7.459555723796242E-2</v>
          </cell>
          <cell r="O63">
            <v>5.8679102648060352E-2</v>
          </cell>
          <cell r="P63">
            <v>5.958185807341513E-2</v>
          </cell>
          <cell r="Q63" t="str">
            <v/>
          </cell>
          <cell r="R63" t="str">
            <v>N.A.</v>
          </cell>
          <cell r="S63" t="str">
            <v>N.A.</v>
          </cell>
          <cell r="T63" t="str">
            <v>N.A.</v>
          </cell>
          <cell r="U63">
            <v>6.7346297388793053E-2</v>
          </cell>
          <cell r="V63">
            <v>9.0744758237919707E-2</v>
          </cell>
          <cell r="W63">
            <v>8.4608591352648047E-2</v>
          </cell>
          <cell r="X63">
            <v>-2.3398460849126654E-2</v>
          </cell>
          <cell r="Y63">
            <v>-1.7262293963854994E-2</v>
          </cell>
        </row>
        <row r="64">
          <cell r="B64" t="str">
            <v>Direct Payroll of Admissions (S$)</v>
          </cell>
          <cell r="C64" t="str">
            <v>N.A.</v>
          </cell>
          <cell r="E64">
            <v>0.63969122902037612</v>
          </cell>
          <cell r="F64">
            <v>0.62547586837547897</v>
          </cell>
          <cell r="G64">
            <v>0.48744023461494257</v>
          </cell>
          <cell r="H64">
            <v>0.58638362660201149</v>
          </cell>
          <cell r="I64">
            <v>0.5412771937864721</v>
          </cell>
          <cell r="J64">
            <v>0.41192132502671203</v>
          </cell>
          <cell r="K64">
            <v>0.59754149495826148</v>
          </cell>
          <cell r="L64">
            <v>0.52149075923630095</v>
          </cell>
          <cell r="M64">
            <v>0.45818448858456234</v>
          </cell>
          <cell r="N64">
            <v>0.573639835159931</v>
          </cell>
          <cell r="O64">
            <v>0.45124229936358418</v>
          </cell>
          <cell r="P64">
            <v>0.45818448858456234</v>
          </cell>
          <cell r="Q64" t="str">
            <v/>
          </cell>
          <cell r="R64" t="str">
            <v>N.A.</v>
          </cell>
          <cell r="S64" t="str">
            <v>N.A.</v>
          </cell>
          <cell r="T64" t="str">
            <v>N.A.</v>
          </cell>
          <cell r="U64">
            <v>0.51789302691981853</v>
          </cell>
          <cell r="V64">
            <v>0.69767898560778963</v>
          </cell>
          <cell r="W64">
            <v>0.65032520448155151</v>
          </cell>
          <cell r="X64">
            <v>-0.17978595868797109</v>
          </cell>
          <cell r="Y64">
            <v>-0.13243217756173298</v>
          </cell>
        </row>
        <row r="65">
          <cell r="B65" t="str">
            <v>Gross Margin :Total Rev</v>
          </cell>
          <cell r="C65" t="str">
            <v>N.A.</v>
          </cell>
          <cell r="E65">
            <v>0.52404085519464583</v>
          </cell>
          <cell r="F65">
            <v>0.52457889271217828</v>
          </cell>
          <cell r="G65">
            <v>0.53034821492453199</v>
          </cell>
          <cell r="H65">
            <v>0.52607162847313615</v>
          </cell>
          <cell r="I65">
            <v>0.52781834498584146</v>
          </cell>
          <cell r="J65">
            <v>0.53411870588190435</v>
          </cell>
          <cell r="K65">
            <v>0.52476233206019185</v>
          </cell>
          <cell r="L65">
            <v>0.52985037672707136</v>
          </cell>
          <cell r="M65">
            <v>0.53082863094557298</v>
          </cell>
          <cell r="N65">
            <v>0.52571478139338712</v>
          </cell>
          <cell r="O65">
            <v>0.53025669596276315</v>
          </cell>
          <cell r="P65">
            <v>0.53082863094557298</v>
          </cell>
          <cell r="Q65" t="str">
            <v/>
          </cell>
          <cell r="R65" t="str">
            <v>N.A.</v>
          </cell>
          <cell r="S65" t="str">
            <v>N.A.</v>
          </cell>
          <cell r="T65" t="str">
            <v>N.A.</v>
          </cell>
          <cell r="U65">
            <v>0.52870391066044498</v>
          </cell>
          <cell r="V65">
            <v>0.50877311250721269</v>
          </cell>
          <cell r="W65">
            <v>0.4861569738849108</v>
          </cell>
          <cell r="X65">
            <v>1.9930798153232288E-2</v>
          </cell>
          <cell r="Y65">
            <v>4.2546936775534172E-2</v>
          </cell>
        </row>
        <row r="66">
          <cell r="B66" t="str">
            <v>G&amp;A % of total revenue</v>
          </cell>
          <cell r="C66" t="str">
            <v>N.A.</v>
          </cell>
          <cell r="E66">
            <v>5.6830132467178364E-2</v>
          </cell>
          <cell r="F66">
            <v>5.6186216179259549E-2</v>
          </cell>
          <cell r="G66">
            <v>4.2794544001690658E-2</v>
          </cell>
          <cell r="H66">
            <v>5.3017430345587528E-2</v>
          </cell>
          <cell r="I66">
            <v>4.8950071386450161E-2</v>
          </cell>
          <cell r="J66">
            <v>3.684354956310458E-2</v>
          </cell>
          <cell r="K66">
            <v>5.3030523309716977E-2</v>
          </cell>
          <cell r="L66">
            <v>9.5333361299045016E-2</v>
          </cell>
          <cell r="M66">
            <v>4.2827740699282239E-2</v>
          </cell>
          <cell r="N66">
            <v>5.0736453719389202E-2</v>
          </cell>
          <cell r="O66">
            <v>3.9570511044238074E-2</v>
          </cell>
          <cell r="P66">
            <v>3.9767353338090672E-2</v>
          </cell>
          <cell r="Q66" t="str">
            <v/>
          </cell>
          <cell r="R66" t="e">
            <v>#DIV/0!</v>
          </cell>
          <cell r="S66" t="e">
            <v>#DIV/0!</v>
          </cell>
          <cell r="T66" t="e">
            <v>#DIV/0!</v>
          </cell>
          <cell r="U66">
            <v>5.0327586004392348E-2</v>
          </cell>
          <cell r="V66">
            <v>5.7027516372420942E-2</v>
          </cell>
          <cell r="W66">
            <v>5.6656129757499375E-2</v>
          </cell>
          <cell r="X66">
            <v>-6.6999303680285935E-3</v>
          </cell>
          <cell r="Y66">
            <v>-6.3285437531070271E-3</v>
          </cell>
        </row>
        <row r="67">
          <cell r="B67" t="str">
            <v>E.B.I.T.D. : Total Rev</v>
          </cell>
          <cell r="C67" t="str">
            <v>N.A.</v>
          </cell>
          <cell r="E67">
            <v>0.34214781756119789</v>
          </cell>
          <cell r="F67">
            <v>0.34621000293036475</v>
          </cell>
          <cell r="G67">
            <v>0.39385711883218449</v>
          </cell>
          <cell r="H67">
            <v>0.34553915669542762</v>
          </cell>
          <cell r="I67">
            <v>0.37163973768066816</v>
          </cell>
          <cell r="J67">
            <v>0.41719570682787122</v>
          </cell>
          <cell r="K67">
            <v>0.3564399840350696</v>
          </cell>
          <cell r="L67">
            <v>0.33307099392982015</v>
          </cell>
          <cell r="M67">
            <v>0.40095386697771757</v>
          </cell>
          <cell r="N67">
            <v>0.36386423876635227</v>
          </cell>
          <cell r="O67">
            <v>0.40470090885553162</v>
          </cell>
          <cell r="P67">
            <v>0.4040142543389092</v>
          </cell>
          <cell r="Q67" t="str">
            <v/>
          </cell>
          <cell r="R67" t="str">
            <v>N.A.</v>
          </cell>
          <cell r="S67" t="str">
            <v>N.A.</v>
          </cell>
          <cell r="T67" t="str">
            <v>N.A.</v>
          </cell>
          <cell r="U67">
            <v>0.37704629729466344</v>
          </cell>
          <cell r="V67">
            <v>0.34069211729155857</v>
          </cell>
          <cell r="W67">
            <v>0.32952713884251605</v>
          </cell>
          <cell r="X67">
            <v>3.6354180003104863E-2</v>
          </cell>
          <cell r="Y67">
            <v>4.7519158452147381E-2</v>
          </cell>
        </row>
        <row r="68">
          <cell r="B68" t="str">
            <v>No of Concession Transactions</v>
          </cell>
          <cell r="E68">
            <v>10</v>
          </cell>
          <cell r="F68">
            <v>12</v>
          </cell>
          <cell r="G68">
            <v>13</v>
          </cell>
          <cell r="H68">
            <v>11</v>
          </cell>
          <cell r="I68">
            <v>13</v>
          </cell>
          <cell r="J68">
            <v>18</v>
          </cell>
          <cell r="K68">
            <v>10</v>
          </cell>
          <cell r="L68">
            <v>13</v>
          </cell>
          <cell r="M68">
            <v>15.744</v>
          </cell>
          <cell r="N68">
            <v>13</v>
          </cell>
          <cell r="O68">
            <v>16</v>
          </cell>
          <cell r="P68">
            <v>15</v>
          </cell>
          <cell r="Q68" t="str">
            <v/>
          </cell>
          <cell r="R68">
            <v>20.744</v>
          </cell>
          <cell r="S68">
            <v>21.744</v>
          </cell>
          <cell r="T68">
            <v>22.744</v>
          </cell>
          <cell r="U68">
            <v>159.744</v>
          </cell>
          <cell r="V68">
            <v>149.744</v>
          </cell>
          <cell r="W68">
            <v>0</v>
          </cell>
          <cell r="X68">
            <v>10</v>
          </cell>
          <cell r="Y68">
            <v>159.744</v>
          </cell>
        </row>
        <row r="69">
          <cell r="B69" t="str">
            <v>Strike Rate %(No of Trans/Adm)</v>
          </cell>
          <cell r="E69">
            <v>0.22727272727272727</v>
          </cell>
          <cell r="F69">
            <v>0.26666666666666666</v>
          </cell>
          <cell r="G69">
            <v>0.21666666666666667</v>
          </cell>
          <cell r="H69">
            <v>0.22916666666666666</v>
          </cell>
          <cell r="I69">
            <v>0.25</v>
          </cell>
          <cell r="J69">
            <v>0.25352112676056338</v>
          </cell>
          <cell r="K69">
            <v>0.20833333333333334</v>
          </cell>
          <cell r="L69">
            <v>0.23636363636363636</v>
          </cell>
          <cell r="M69">
            <v>0.24221538461538461</v>
          </cell>
          <cell r="N69">
            <v>0.26</v>
          </cell>
          <cell r="O69">
            <v>0.24242424242424243</v>
          </cell>
          <cell r="P69">
            <v>0.23076923076923078</v>
          </cell>
          <cell r="Q69" t="str">
            <v/>
          </cell>
          <cell r="R69" t="e">
            <v>#DIV/0!</v>
          </cell>
          <cell r="S69" t="e">
            <v>#DIV/0!</v>
          </cell>
          <cell r="T69" t="e">
            <v>#DIV/0!</v>
          </cell>
          <cell r="U69">
            <v>0.23878026905829597</v>
          </cell>
          <cell r="V69">
            <v>0.23881511062486743</v>
          </cell>
          <cell r="W69">
            <v>0</v>
          </cell>
          <cell r="X69">
            <v>-3.4841566571464089E-5</v>
          </cell>
          <cell r="Y69">
            <v>0.23878026905829597</v>
          </cell>
        </row>
        <row r="70">
          <cell r="B70" t="str">
            <v>Ave Sales (Total Sale/No of Trans) (S$)</v>
          </cell>
          <cell r="E70">
            <v>4.7080000000000002</v>
          </cell>
          <cell r="F70">
            <v>4.0125000000000002</v>
          </cell>
          <cell r="G70">
            <v>4.9384615384615387</v>
          </cell>
          <cell r="H70">
            <v>4.669090909090909</v>
          </cell>
          <cell r="I70">
            <v>4.28</v>
          </cell>
          <cell r="J70">
            <v>4.2205555555555554</v>
          </cell>
          <cell r="K70">
            <v>5.1360000000000001</v>
          </cell>
          <cell r="L70">
            <v>4.5269230769230768</v>
          </cell>
          <cell r="M70">
            <v>4.4175558943089426</v>
          </cell>
          <cell r="N70">
            <v>4.115384615384615</v>
          </cell>
          <cell r="O70">
            <v>4.4137500000000003</v>
          </cell>
          <cell r="P70">
            <v>4.6366666666666667</v>
          </cell>
          <cell r="Q70" t="str">
            <v/>
          </cell>
          <cell r="R70">
            <v>0</v>
          </cell>
          <cell r="S70">
            <v>0</v>
          </cell>
          <cell r="T70">
            <v>0</v>
          </cell>
          <cell r="U70">
            <v>4.481107271634615</v>
          </cell>
          <cell r="V70">
            <v>4.3785594080564154</v>
          </cell>
          <cell r="W70" t="str">
            <v>N.A.</v>
          </cell>
          <cell r="X70">
            <v>0.10254786357819956</v>
          </cell>
          <cell r="Y70" t="str">
            <v>N.A.</v>
          </cell>
        </row>
        <row r="71">
          <cell r="B71" t="str">
            <v xml:space="preserve">Total Concession Combo Sales </v>
          </cell>
          <cell r="E71">
            <v>21</v>
          </cell>
          <cell r="F71">
            <v>21</v>
          </cell>
          <cell r="G71">
            <v>28</v>
          </cell>
          <cell r="H71">
            <v>23</v>
          </cell>
          <cell r="I71">
            <v>24</v>
          </cell>
          <cell r="J71">
            <v>34</v>
          </cell>
          <cell r="K71">
            <v>20</v>
          </cell>
          <cell r="L71">
            <v>24</v>
          </cell>
          <cell r="M71">
            <v>30</v>
          </cell>
          <cell r="N71">
            <v>22</v>
          </cell>
          <cell r="O71">
            <v>30</v>
          </cell>
          <cell r="P71">
            <v>30</v>
          </cell>
          <cell r="Q71" t="str">
            <v/>
          </cell>
          <cell r="R71">
            <v>43.881999999999998</v>
          </cell>
          <cell r="S71">
            <v>44.881999999999998</v>
          </cell>
          <cell r="T71">
            <v>45.881999999999998</v>
          </cell>
          <cell r="U71">
            <v>307</v>
          </cell>
          <cell r="V71">
            <v>286</v>
          </cell>
          <cell r="W71">
            <v>0</v>
          </cell>
          <cell r="X71">
            <v>21</v>
          </cell>
          <cell r="Y71">
            <v>307</v>
          </cell>
        </row>
        <row r="72">
          <cell r="B72" t="str">
            <v>Combo Sales as % of Total Sales</v>
          </cell>
          <cell r="E72">
            <v>0.44604927782497872</v>
          </cell>
          <cell r="F72">
            <v>0.43613707165109028</v>
          </cell>
          <cell r="G72">
            <v>0.43613707165109034</v>
          </cell>
          <cell r="H72">
            <v>0.44781931464174457</v>
          </cell>
          <cell r="I72">
            <v>0.43134435657800141</v>
          </cell>
          <cell r="J72">
            <v>0.44754508358562589</v>
          </cell>
          <cell r="K72">
            <v>0.38940809968847351</v>
          </cell>
          <cell r="L72">
            <v>0.4078164825828377</v>
          </cell>
          <cell r="M72">
            <v>0.43134435657800146</v>
          </cell>
          <cell r="N72">
            <v>0.41121495327102803</v>
          </cell>
          <cell r="O72">
            <v>0.42480883602378927</v>
          </cell>
          <cell r="P72">
            <v>0.43134435657800146</v>
          </cell>
          <cell r="Q72" t="str">
            <v/>
          </cell>
          <cell r="R72" t="e">
            <v>#DIV/0!</v>
          </cell>
          <cell r="S72" t="e">
            <v>#DIV/0!</v>
          </cell>
          <cell r="T72" t="e">
            <v>#DIV/0!</v>
          </cell>
          <cell r="U72">
            <v>0.42887277705600496</v>
          </cell>
          <cell r="V72">
            <v>0.43619969405014475</v>
          </cell>
          <cell r="W72">
            <v>0</v>
          </cell>
          <cell r="X72">
            <v>-7.3269169941397871E-3</v>
          </cell>
          <cell r="Y72">
            <v>0.42887277705600496</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Q73" t="str">
            <v/>
          </cell>
          <cell r="R73">
            <v>4.5860000000000003</v>
          </cell>
          <cell r="S73">
            <v>4.5860000000000003</v>
          </cell>
          <cell r="T73">
            <v>4.5860000000000003</v>
          </cell>
          <cell r="U73">
            <v>69.319999999999993</v>
          </cell>
          <cell r="V73">
            <v>64.545000000000002</v>
          </cell>
          <cell r="W73">
            <v>0</v>
          </cell>
          <cell r="X73">
            <v>4.7749999999999915</v>
          </cell>
          <cell r="Y73">
            <v>69.319999999999993</v>
          </cell>
        </row>
        <row r="74">
          <cell r="B74" t="str">
            <v>Admissions/labour hour paid</v>
          </cell>
          <cell r="E74">
            <v>9.2146596858638734</v>
          </cell>
          <cell r="F74">
            <v>9.4260578131545874</v>
          </cell>
          <cell r="G74">
            <v>8.3507306889352826</v>
          </cell>
          <cell r="H74">
            <v>9.6</v>
          </cell>
          <cell r="I74">
            <v>10.4</v>
          </cell>
          <cell r="J74">
            <v>10.142857142857142</v>
          </cell>
          <cell r="K74">
            <v>9.6</v>
          </cell>
          <cell r="L74">
            <v>9.1666666666666661</v>
          </cell>
          <cell r="M74">
            <v>9.2857142857142865</v>
          </cell>
          <cell r="N74">
            <v>10.902747492368077</v>
          </cell>
          <cell r="O74">
            <v>9.4285714285714288</v>
          </cell>
          <cell r="P74">
            <v>10.833333333333334</v>
          </cell>
          <cell r="Q74" t="str">
            <v/>
          </cell>
          <cell r="R74">
            <v>0</v>
          </cell>
          <cell r="S74">
            <v>0</v>
          </cell>
          <cell r="T74">
            <v>0</v>
          </cell>
          <cell r="U74">
            <v>9.6508944027697652</v>
          </cell>
          <cell r="V74">
            <v>9.7146022155085596</v>
          </cell>
          <cell r="W74" t="str">
            <v>N.A.</v>
          </cell>
          <cell r="X74">
            <v>-6.3707812738794445E-2</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45.376930000000002</v>
          </cell>
          <cell r="W77">
            <v>3.8690000000000002</v>
          </cell>
          <cell r="X77">
            <v>-18.189430000000002</v>
          </cell>
          <cell r="Y77">
            <v>23.3185</v>
          </cell>
        </row>
        <row r="78">
          <cell r="A78">
            <v>53</v>
          </cell>
          <cell r="B78" t="str">
            <v>Auditorium Rentals</v>
          </cell>
          <cell r="E78">
            <v>4</v>
          </cell>
          <cell r="F78">
            <v>4</v>
          </cell>
          <cell r="G78">
            <v>4</v>
          </cell>
          <cell r="H78">
            <v>4</v>
          </cell>
          <cell r="I78">
            <v>4</v>
          </cell>
          <cell r="J78">
            <v>4</v>
          </cell>
          <cell r="K78">
            <v>4</v>
          </cell>
          <cell r="L78">
            <v>4</v>
          </cell>
          <cell r="M78">
            <v>4</v>
          </cell>
          <cell r="N78">
            <v>4</v>
          </cell>
          <cell r="O78">
            <v>4</v>
          </cell>
          <cell r="P78">
            <v>4</v>
          </cell>
          <cell r="T78">
            <v>0</v>
          </cell>
          <cell r="U78">
            <v>48</v>
          </cell>
          <cell r="V78">
            <v>32.137</v>
          </cell>
          <cell r="W78">
            <v>0</v>
          </cell>
          <cell r="X78">
            <v>15.863</v>
          </cell>
          <cell r="Y78">
            <v>48</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51.67</v>
          </cell>
          <cell r="W82">
            <v>53.204000000000001</v>
          </cell>
          <cell r="X82">
            <v>-13.606000000000002</v>
          </cell>
          <cell r="Y82">
            <v>-15.14</v>
          </cell>
        </row>
        <row r="83">
          <cell r="C83">
            <v>0</v>
          </cell>
          <cell r="E83">
            <v>9.4376250000000006</v>
          </cell>
          <cell r="F83">
            <v>9.4376250000000006</v>
          </cell>
          <cell r="G83">
            <v>9.4376250000000006</v>
          </cell>
          <cell r="H83">
            <v>9.4376250000000006</v>
          </cell>
          <cell r="I83">
            <v>9.4376250000000006</v>
          </cell>
          <cell r="J83">
            <v>9.4376250000000006</v>
          </cell>
          <cell r="K83">
            <v>9.4376250000000006</v>
          </cell>
          <cell r="L83">
            <v>9.4376250000000006</v>
          </cell>
          <cell r="M83">
            <v>9.4376250000000006</v>
          </cell>
          <cell r="N83">
            <v>9.4376250000000006</v>
          </cell>
          <cell r="O83">
            <v>9.4376250000000006</v>
          </cell>
          <cell r="P83">
            <v>9.4376250000000006</v>
          </cell>
          <cell r="R83">
            <v>0</v>
          </cell>
          <cell r="S83">
            <v>0</v>
          </cell>
          <cell r="T83">
            <v>0</v>
          </cell>
          <cell r="U83">
            <v>113.25149999999999</v>
          </cell>
          <cell r="V83">
            <v>129.18393</v>
          </cell>
          <cell r="W83">
            <v>57.073</v>
          </cell>
          <cell r="X83">
            <v>-15.932430000000011</v>
          </cell>
          <cell r="Y83">
            <v>56.178499999999993</v>
          </cell>
        </row>
        <row r="84">
          <cell r="X84" t="str">
            <v/>
          </cell>
          <cell r="Y84" t="str">
            <v/>
          </cell>
        </row>
        <row r="85">
          <cell r="B85" t="str">
            <v>10 Other Cost</v>
          </cell>
          <cell r="X85" t="str">
            <v/>
          </cell>
          <cell r="Y85" t="str">
            <v/>
          </cell>
        </row>
        <row r="86">
          <cell r="A86">
            <v>61</v>
          </cell>
          <cell r="B86" t="str">
            <v>Authors Rights</v>
          </cell>
          <cell r="E86">
            <v>0.58256000000000008</v>
          </cell>
          <cell r="F86">
            <v>0.5958</v>
          </cell>
          <cell r="G86">
            <v>0.7944</v>
          </cell>
          <cell r="H86">
            <v>0.63551999999999997</v>
          </cell>
          <cell r="I86">
            <v>0.68847999999999998</v>
          </cell>
          <cell r="J86">
            <v>0.94003999999999999</v>
          </cell>
          <cell r="K86">
            <v>0.63551999999999997</v>
          </cell>
          <cell r="L86">
            <v>0.72820000000000007</v>
          </cell>
          <cell r="M86">
            <v>0.86060000000000003</v>
          </cell>
          <cell r="N86">
            <v>0.66200000000000003</v>
          </cell>
          <cell r="O86">
            <v>0.87384000000000006</v>
          </cell>
          <cell r="P86">
            <v>0.86060000000000003</v>
          </cell>
          <cell r="U86">
            <v>8.8575599999999994</v>
          </cell>
          <cell r="V86">
            <v>8.3303318799999992</v>
          </cell>
          <cell r="W86">
            <v>11.652450000000002</v>
          </cell>
          <cell r="X86">
            <v>0.52722812000000019</v>
          </cell>
          <cell r="Y86">
            <v>-2.7948900000000023</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0.58256000000000008</v>
          </cell>
          <cell r="F91">
            <v>0.5958</v>
          </cell>
          <cell r="G91">
            <v>0.7944</v>
          </cell>
          <cell r="H91">
            <v>0.63551999999999997</v>
          </cell>
          <cell r="I91">
            <v>0.68847999999999998</v>
          </cell>
          <cell r="J91">
            <v>0.94003999999999999</v>
          </cell>
          <cell r="K91">
            <v>0.63551999999999997</v>
          </cell>
          <cell r="L91">
            <v>0.72820000000000007</v>
          </cell>
          <cell r="M91">
            <v>0.86060000000000003</v>
          </cell>
          <cell r="N91">
            <v>0.66200000000000003</v>
          </cell>
          <cell r="O91">
            <v>0.87384000000000006</v>
          </cell>
          <cell r="P91">
            <v>0.86060000000000003</v>
          </cell>
          <cell r="U91">
            <v>8.8575599999999994</v>
          </cell>
          <cell r="V91">
            <v>8.3303318799999992</v>
          </cell>
          <cell r="W91">
            <v>11.652450000000002</v>
          </cell>
          <cell r="X91">
            <v>0.52722812000000019</v>
          </cell>
          <cell r="Y91">
            <v>-2.7948900000000023</v>
          </cell>
        </row>
        <row r="92">
          <cell r="X92" t="str">
            <v/>
          </cell>
          <cell r="Y92" t="str">
            <v/>
          </cell>
        </row>
        <row r="93">
          <cell r="B93" t="str">
            <v>11 Direct Payroll</v>
          </cell>
          <cell r="X93" t="str">
            <v/>
          </cell>
          <cell r="Y93" t="str">
            <v/>
          </cell>
        </row>
        <row r="94">
          <cell r="A94">
            <v>66</v>
          </cell>
          <cell r="B94" t="str">
            <v>Salaries</v>
          </cell>
          <cell r="E94">
            <v>26.039009076896551</v>
          </cell>
          <cell r="F94">
            <v>26.039009076896551</v>
          </cell>
          <cell r="G94">
            <v>27.139009076896553</v>
          </cell>
          <cell r="H94">
            <v>26.039009076896551</v>
          </cell>
          <cell r="I94">
            <v>26.039009076896551</v>
          </cell>
          <cell r="J94">
            <v>27.139009076896553</v>
          </cell>
          <cell r="K94">
            <v>26.574586757996553</v>
          </cell>
          <cell r="L94">
            <v>26.574586757996553</v>
          </cell>
          <cell r="M94">
            <v>27.674586757996554</v>
          </cell>
          <cell r="N94">
            <v>26.574586757996553</v>
          </cell>
          <cell r="O94">
            <v>27.674586757996554</v>
          </cell>
          <cell r="P94">
            <v>27.674586757996554</v>
          </cell>
          <cell r="T94">
            <v>0</v>
          </cell>
          <cell r="U94">
            <v>321.18157500935865</v>
          </cell>
          <cell r="V94">
            <v>402.18689499999999</v>
          </cell>
          <cell r="W94">
            <v>496.024</v>
          </cell>
          <cell r="X94">
            <v>-81.00531999064134</v>
          </cell>
          <cell r="Y94">
            <v>-174.84242499064135</v>
          </cell>
        </row>
        <row r="95">
          <cell r="A95">
            <v>67</v>
          </cell>
          <cell r="B95" t="str">
            <v>Bonus/Commission</v>
          </cell>
          <cell r="E95">
            <v>1.0834049999999997</v>
          </cell>
          <cell r="F95">
            <v>1.0834049999999997</v>
          </cell>
          <cell r="G95">
            <v>1.0834049999999997</v>
          </cell>
          <cell r="H95">
            <v>1.0834049999999997</v>
          </cell>
          <cell r="I95">
            <v>1.0834049999999997</v>
          </cell>
          <cell r="J95">
            <v>1.0834049999999997</v>
          </cell>
          <cell r="K95">
            <v>1.0834049999999997</v>
          </cell>
          <cell r="L95">
            <v>1.0834049999999997</v>
          </cell>
          <cell r="M95">
            <v>1.0834049999999997</v>
          </cell>
          <cell r="N95">
            <v>1.0834049999999997</v>
          </cell>
          <cell r="O95">
            <v>1.0834049999999997</v>
          </cell>
          <cell r="P95">
            <v>1.0834049999999997</v>
          </cell>
          <cell r="T95">
            <v>0</v>
          </cell>
          <cell r="U95">
            <v>13.000859999999994</v>
          </cell>
          <cell r="V95">
            <v>19.007021666666667</v>
          </cell>
          <cell r="W95">
            <v>32.884</v>
          </cell>
          <cell r="X95">
            <v>-6.0061616666666726</v>
          </cell>
          <cell r="Y95">
            <v>-19.883140000000004</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10.016299999999998</v>
          </cell>
          <cell r="W97">
            <v>18.571000000000002</v>
          </cell>
          <cell r="X97">
            <v>-3.3802999999999974</v>
          </cell>
          <cell r="Y97">
            <v>-11.935</v>
          </cell>
        </row>
        <row r="98">
          <cell r="A98">
            <v>70</v>
          </cell>
          <cell r="B98" t="str">
            <v>Miscellaneous</v>
          </cell>
          <cell r="E98">
            <v>0.47099999999999997</v>
          </cell>
          <cell r="F98">
            <v>0.47099999999999997</v>
          </cell>
          <cell r="G98">
            <v>0.47099999999999997</v>
          </cell>
          <cell r="H98">
            <v>0.47099999999999997</v>
          </cell>
          <cell r="I98">
            <v>0.47099999999999997</v>
          </cell>
          <cell r="J98">
            <v>0.47099999999999997</v>
          </cell>
          <cell r="K98">
            <v>0.47099999999999997</v>
          </cell>
          <cell r="L98">
            <v>0.47099999999999997</v>
          </cell>
          <cell r="M98">
            <v>0.47099999999999997</v>
          </cell>
          <cell r="N98">
            <v>0.47099999999999997</v>
          </cell>
          <cell r="O98">
            <v>0.47099999999999997</v>
          </cell>
          <cell r="P98">
            <v>0.47099999999999997</v>
          </cell>
          <cell r="T98">
            <v>0</v>
          </cell>
          <cell r="U98">
            <v>5.6520000000000001</v>
          </cell>
          <cell r="V98">
            <v>6.2547400000000017</v>
          </cell>
          <cell r="W98">
            <v>11.548999999999999</v>
          </cell>
          <cell r="X98">
            <v>-0.60274000000000161</v>
          </cell>
          <cell r="Y98">
            <v>-5.8969999999999994</v>
          </cell>
        </row>
        <row r="99">
          <cell r="C99">
            <v>0</v>
          </cell>
          <cell r="E99">
            <v>28.146414076896551</v>
          </cell>
          <cell r="F99">
            <v>28.146414076896551</v>
          </cell>
          <cell r="G99">
            <v>29.246414076896553</v>
          </cell>
          <cell r="H99">
            <v>28.146414076896551</v>
          </cell>
          <cell r="I99">
            <v>28.146414076896551</v>
          </cell>
          <cell r="J99">
            <v>29.246414076896553</v>
          </cell>
          <cell r="K99">
            <v>28.681991757996553</v>
          </cell>
          <cell r="L99">
            <v>28.681991757996553</v>
          </cell>
          <cell r="M99">
            <v>29.781991757996554</v>
          </cell>
          <cell r="N99">
            <v>28.681991757996553</v>
          </cell>
          <cell r="O99">
            <v>29.781991757996554</v>
          </cell>
          <cell r="P99">
            <v>29.781991757996554</v>
          </cell>
          <cell r="R99">
            <v>0</v>
          </cell>
          <cell r="S99">
            <v>0</v>
          </cell>
          <cell r="T99">
            <v>0</v>
          </cell>
          <cell r="U99">
            <v>346.47043500935865</v>
          </cell>
          <cell r="V99">
            <v>437.46495666666669</v>
          </cell>
          <cell r="W99">
            <v>559.02800000000002</v>
          </cell>
          <cell r="X99">
            <v>-90.994521657308042</v>
          </cell>
          <cell r="Y99">
            <v>-212.55756499064137</v>
          </cell>
        </row>
        <row r="100">
          <cell r="X100" t="str">
            <v/>
          </cell>
          <cell r="Y100" t="str">
            <v/>
          </cell>
        </row>
        <row r="101">
          <cell r="B101" t="str">
            <v>16 Other Overhead Costs</v>
          </cell>
          <cell r="X101" t="str">
            <v/>
          </cell>
          <cell r="Y101" t="str">
            <v/>
          </cell>
        </row>
        <row r="102">
          <cell r="A102">
            <v>71</v>
          </cell>
          <cell r="B102" t="str">
            <v>Insurance (Other than employee)</v>
          </cell>
          <cell r="E102">
            <v>1.38124</v>
          </cell>
          <cell r="F102">
            <v>1.38124</v>
          </cell>
          <cell r="G102">
            <v>1.38124</v>
          </cell>
          <cell r="H102">
            <v>1.38124</v>
          </cell>
          <cell r="I102">
            <v>1.38124</v>
          </cell>
          <cell r="J102">
            <v>1.38124</v>
          </cell>
          <cell r="K102">
            <v>1.38124</v>
          </cell>
          <cell r="L102">
            <v>1.38124</v>
          </cell>
          <cell r="M102">
            <v>1.38124</v>
          </cell>
          <cell r="N102">
            <v>1.38124</v>
          </cell>
          <cell r="O102">
            <v>1.38124</v>
          </cell>
          <cell r="P102">
            <v>1.38124</v>
          </cell>
          <cell r="T102">
            <v>0</v>
          </cell>
          <cell r="U102">
            <v>16.57488</v>
          </cell>
          <cell r="V102">
            <v>16.582999999999995</v>
          </cell>
          <cell r="W102">
            <v>18.888000000000002</v>
          </cell>
          <cell r="X102">
            <v>-8.119999999994576E-3</v>
          </cell>
          <cell r="Y102">
            <v>-2.3131200000000014</v>
          </cell>
        </row>
        <row r="103">
          <cell r="A103">
            <v>72</v>
          </cell>
          <cell r="B103" t="str">
            <v>Property Taxes</v>
          </cell>
          <cell r="E103">
            <v>3.8340000000000001</v>
          </cell>
          <cell r="F103">
            <v>3.8340000000000001</v>
          </cell>
          <cell r="G103">
            <v>3.8340000000000001</v>
          </cell>
          <cell r="H103">
            <v>3.8340000000000001</v>
          </cell>
          <cell r="I103">
            <v>3.8340000000000001</v>
          </cell>
          <cell r="J103">
            <v>3.8340000000000001</v>
          </cell>
          <cell r="K103">
            <v>3.8340000000000001</v>
          </cell>
          <cell r="L103">
            <v>3.8340000000000001</v>
          </cell>
          <cell r="M103">
            <v>3.8340000000000001</v>
          </cell>
          <cell r="N103">
            <v>3.8340000000000001</v>
          </cell>
          <cell r="O103">
            <v>3.8340000000000001</v>
          </cell>
          <cell r="P103">
            <v>3.8340000000000001</v>
          </cell>
          <cell r="T103">
            <v>0</v>
          </cell>
          <cell r="U103">
            <v>46.00800000000001</v>
          </cell>
          <cell r="V103">
            <v>45.558000000000014</v>
          </cell>
          <cell r="W103">
            <v>102.239</v>
          </cell>
          <cell r="X103">
            <v>0.44999999999999574</v>
          </cell>
          <cell r="Y103">
            <v>-56.230999999999995</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25.35393333333333</v>
          </cell>
          <cell r="W104">
            <v>24.881</v>
          </cell>
          <cell r="X104">
            <v>-1.3539333333333303</v>
          </cell>
          <cell r="Y104">
            <v>-0.88100000000000023</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12.682220000000003</v>
          </cell>
          <cell r="W105">
            <v>14.42</v>
          </cell>
          <cell r="X105">
            <v>-0.68222000000000271</v>
          </cell>
          <cell r="Y105">
            <v>-2.42</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2.806280000000001</v>
          </cell>
          <cell r="W106">
            <v>0</v>
          </cell>
          <cell r="X106">
            <v>3.193719999999999</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0.71499999999999997</v>
          </cell>
          <cell r="F108">
            <v>0.71499999999999997</v>
          </cell>
          <cell r="G108">
            <v>0.71499999999999997</v>
          </cell>
          <cell r="H108">
            <v>0.71499999999999997</v>
          </cell>
          <cell r="I108">
            <v>0.71499999999999997</v>
          </cell>
          <cell r="J108">
            <v>0.71499999999999997</v>
          </cell>
          <cell r="K108">
            <v>0.71499999999999997</v>
          </cell>
          <cell r="L108">
            <v>0.71499999999999997</v>
          </cell>
          <cell r="M108">
            <v>0.71499999999999997</v>
          </cell>
          <cell r="N108">
            <v>0.71499999999999997</v>
          </cell>
          <cell r="O108">
            <v>0.71499999999999997</v>
          </cell>
          <cell r="P108">
            <v>0.71499999999999997</v>
          </cell>
          <cell r="T108">
            <v>0</v>
          </cell>
          <cell r="U108">
            <v>8.58</v>
          </cell>
          <cell r="V108">
            <v>11.235595719999999</v>
          </cell>
          <cell r="W108">
            <v>19.821549999999998</v>
          </cell>
          <cell r="X108">
            <v>-2.6555957199999991</v>
          </cell>
          <cell r="Y108">
            <v>-11.241549999999998</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4.7119999999999997</v>
          </cell>
          <cell r="F111">
            <v>4.9004799999999999</v>
          </cell>
          <cell r="G111">
            <v>4.7423999999999999</v>
          </cell>
          <cell r="H111">
            <v>4.9004799999999999</v>
          </cell>
          <cell r="I111">
            <v>4.7423999999999999</v>
          </cell>
          <cell r="J111">
            <v>4.9004799999999999</v>
          </cell>
          <cell r="K111">
            <v>4.9004799999999999</v>
          </cell>
          <cell r="L111">
            <v>27.527239999999999</v>
          </cell>
          <cell r="M111">
            <v>6.4004799999999999</v>
          </cell>
          <cell r="N111">
            <v>4.7423999999999999</v>
          </cell>
          <cell r="O111">
            <v>4.9004799999999999</v>
          </cell>
          <cell r="P111">
            <v>4.7423999999999999</v>
          </cell>
          <cell r="T111">
            <v>0</v>
          </cell>
          <cell r="U111">
            <v>82.111720000000005</v>
          </cell>
          <cell r="V111">
            <v>98.715360000000004</v>
          </cell>
          <cell r="W111">
            <v>129.697</v>
          </cell>
          <cell r="X111">
            <v>-16.603639999999999</v>
          </cell>
          <cell r="Y111">
            <v>-47.585279999999997</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53.321359999999999</v>
          </cell>
          <cell r="W112">
            <v>35.734000000000002</v>
          </cell>
          <cell r="X112">
            <v>-5.3213599999999985</v>
          </cell>
          <cell r="Y112">
            <v>12.265999999999998</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7.118990000000001</v>
          </cell>
          <cell r="W113">
            <v>8.7919999999999998</v>
          </cell>
          <cell r="X113">
            <v>8.1009999999997362E-2</v>
          </cell>
          <cell r="Y113">
            <v>-1.5920000000000014</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1.02</v>
          </cell>
          <cell r="W114">
            <v>4.26</v>
          </cell>
          <cell r="X114">
            <v>1.38</v>
          </cell>
          <cell r="Y114">
            <v>-1.86</v>
          </cell>
        </row>
        <row r="115">
          <cell r="A115">
            <v>84</v>
          </cell>
          <cell r="B115" t="str">
            <v>Freight</v>
          </cell>
          <cell r="E115">
            <v>0.25</v>
          </cell>
          <cell r="F115">
            <v>0.25</v>
          </cell>
          <cell r="G115">
            <v>0.25</v>
          </cell>
          <cell r="H115">
            <v>0.25</v>
          </cell>
          <cell r="I115">
            <v>0.25</v>
          </cell>
          <cell r="J115">
            <v>0.25</v>
          </cell>
          <cell r="K115">
            <v>0.25</v>
          </cell>
          <cell r="L115">
            <v>0.25</v>
          </cell>
          <cell r="M115">
            <v>0.25</v>
          </cell>
          <cell r="N115">
            <v>0.25</v>
          </cell>
          <cell r="O115">
            <v>0.25</v>
          </cell>
          <cell r="P115">
            <v>0.25</v>
          </cell>
          <cell r="T115">
            <v>0</v>
          </cell>
          <cell r="U115">
            <v>3</v>
          </cell>
          <cell r="V115">
            <v>4.1071099999999996</v>
          </cell>
          <cell r="W115">
            <v>4.5830000000000002</v>
          </cell>
          <cell r="X115">
            <v>-1.1071099999999996</v>
          </cell>
          <cell r="Y115">
            <v>-1.5830000000000002</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0.3</v>
          </cell>
          <cell r="F117">
            <v>0.3</v>
          </cell>
          <cell r="G117">
            <v>0.3</v>
          </cell>
          <cell r="H117">
            <v>0.3</v>
          </cell>
          <cell r="I117">
            <v>0.3</v>
          </cell>
          <cell r="J117">
            <v>0.3</v>
          </cell>
          <cell r="K117">
            <v>0.3</v>
          </cell>
          <cell r="L117">
            <v>0.3</v>
          </cell>
          <cell r="M117">
            <v>0.3</v>
          </cell>
          <cell r="N117">
            <v>0.3</v>
          </cell>
          <cell r="O117">
            <v>0.3</v>
          </cell>
          <cell r="P117">
            <v>0.3</v>
          </cell>
          <cell r="T117">
            <v>0</v>
          </cell>
          <cell r="U117">
            <v>3.6</v>
          </cell>
          <cell r="V117">
            <v>1.8329299999999997</v>
          </cell>
          <cell r="W117">
            <v>3.387</v>
          </cell>
          <cell r="X117">
            <v>1.7670699999999995</v>
          </cell>
          <cell r="Y117">
            <v>0.21299999999999919</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0.40646414076896553</v>
          </cell>
          <cell r="F119">
            <v>0.40646414076896553</v>
          </cell>
          <cell r="G119">
            <v>0.41746414076896554</v>
          </cell>
          <cell r="H119">
            <v>0.40646414076896553</v>
          </cell>
          <cell r="I119">
            <v>0.40646414076896553</v>
          </cell>
          <cell r="J119">
            <v>0.41746414076896554</v>
          </cell>
          <cell r="K119">
            <v>0.41181991757996556</v>
          </cell>
          <cell r="L119">
            <v>0.41181991757996556</v>
          </cell>
          <cell r="M119">
            <v>0.42281991757996551</v>
          </cell>
          <cell r="N119">
            <v>0.41181991757996556</v>
          </cell>
          <cell r="O119">
            <v>0.42281991757996551</v>
          </cell>
          <cell r="P119">
            <v>0.42281991757996551</v>
          </cell>
          <cell r="T119">
            <v>0</v>
          </cell>
          <cell r="U119">
            <v>4.9647043500935863</v>
          </cell>
          <cell r="V119">
            <v>5.7293799999999999</v>
          </cell>
          <cell r="W119">
            <v>11.51</v>
          </cell>
          <cell r="X119">
            <v>-0.76467564990641357</v>
          </cell>
          <cell r="Y119">
            <v>-6.5452956499064134</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1.921999999999997</v>
          </cell>
          <cell r="W124">
            <v>3.2909999999999986</v>
          </cell>
          <cell r="X124">
            <v>1.6780000000000022</v>
          </cell>
          <cell r="Y124">
            <v>0.30900000000000061</v>
          </cell>
        </row>
        <row r="125">
          <cell r="C125">
            <v>0</v>
          </cell>
          <cell r="E125">
            <v>21.498704140768968</v>
          </cell>
          <cell r="F125">
            <v>21.687184140768967</v>
          </cell>
          <cell r="G125">
            <v>21.540104140768971</v>
          </cell>
          <cell r="H125">
            <v>21.687184140768967</v>
          </cell>
          <cell r="I125">
            <v>21.529104140768968</v>
          </cell>
          <cell r="J125">
            <v>21.698184140768969</v>
          </cell>
          <cell r="K125">
            <v>21.692539917579968</v>
          </cell>
          <cell r="L125">
            <v>44.319299917579961</v>
          </cell>
          <cell r="M125">
            <v>23.203539917579967</v>
          </cell>
          <cell r="N125">
            <v>21.534459917579969</v>
          </cell>
          <cell r="O125">
            <v>21.703539917579967</v>
          </cell>
          <cell r="P125">
            <v>21.545459917579969</v>
          </cell>
          <cell r="R125">
            <v>0</v>
          </cell>
          <cell r="S125">
            <v>0</v>
          </cell>
          <cell r="T125">
            <v>0</v>
          </cell>
          <cell r="U125">
            <v>283.63930435009365</v>
          </cell>
          <cell r="V125">
            <v>303.58615905333329</v>
          </cell>
          <cell r="W125">
            <v>397.10354999999998</v>
          </cell>
          <cell r="X125">
            <v>-19.946854703239637</v>
          </cell>
          <cell r="Y125">
            <v>-113.46424564990633</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W132">
            <v>0</v>
          </cell>
          <cell r="X132">
            <v>0</v>
          </cell>
          <cell r="Y132" t="e">
            <v>#REF!</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33" refreshError="1">
        <row r="11">
          <cell r="A11">
            <v>1</v>
          </cell>
          <cell r="B11" t="str">
            <v>Net Film Revenue</v>
          </cell>
          <cell r="E11">
            <v>410.44</v>
          </cell>
          <cell r="F11">
            <v>423.68</v>
          </cell>
          <cell r="G11">
            <v>542.84</v>
          </cell>
          <cell r="H11">
            <v>410.44</v>
          </cell>
          <cell r="I11">
            <v>436.92</v>
          </cell>
          <cell r="J11">
            <v>622.28</v>
          </cell>
          <cell r="K11">
            <v>410.44</v>
          </cell>
          <cell r="L11">
            <v>503.12</v>
          </cell>
          <cell r="M11">
            <v>556.08000000000004</v>
          </cell>
          <cell r="N11">
            <v>423.68</v>
          </cell>
          <cell r="O11">
            <v>589.17999999999995</v>
          </cell>
          <cell r="P11">
            <v>529.6</v>
          </cell>
          <cell r="Q11">
            <v>0</v>
          </cell>
          <cell r="T11">
            <v>0</v>
          </cell>
          <cell r="U11">
            <v>5858.7</v>
          </cell>
          <cell r="V11">
            <v>5447.2133200000007</v>
          </cell>
          <cell r="W11">
            <v>6875.9660000000003</v>
          </cell>
          <cell r="X11">
            <v>411.48668000000089</v>
          </cell>
          <cell r="Y11">
            <v>-1017.2659999999987</v>
          </cell>
        </row>
        <row r="12">
          <cell r="A12">
            <v>2</v>
          </cell>
          <cell r="B12" t="str">
            <v>Concession Sales</v>
          </cell>
          <cell r="E12">
            <v>77.5</v>
          </cell>
          <cell r="F12">
            <v>80</v>
          </cell>
          <cell r="G12">
            <v>102.5</v>
          </cell>
          <cell r="H12">
            <v>77.5</v>
          </cell>
          <cell r="I12">
            <v>82.5</v>
          </cell>
          <cell r="J12">
            <v>117.5</v>
          </cell>
          <cell r="K12">
            <v>77.5</v>
          </cell>
          <cell r="L12">
            <v>95</v>
          </cell>
          <cell r="M12">
            <v>105</v>
          </cell>
          <cell r="N12">
            <v>80</v>
          </cell>
          <cell r="O12">
            <v>111.25</v>
          </cell>
          <cell r="P12">
            <v>100</v>
          </cell>
          <cell r="T12">
            <v>0</v>
          </cell>
          <cell r="U12">
            <v>1106.25</v>
          </cell>
          <cell r="V12">
            <v>1058.65578</v>
          </cell>
          <cell r="W12">
            <v>1093.7619999999999</v>
          </cell>
          <cell r="X12">
            <v>47.59421999999995</v>
          </cell>
          <cell r="Y12">
            <v>12.488000000000056</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26</v>
          </cell>
          <cell r="F15">
            <v>26</v>
          </cell>
          <cell r="G15">
            <v>26</v>
          </cell>
          <cell r="H15">
            <v>26</v>
          </cell>
          <cell r="I15">
            <v>26</v>
          </cell>
          <cell r="J15">
            <v>26</v>
          </cell>
          <cell r="K15">
            <v>26</v>
          </cell>
          <cell r="L15">
            <v>26</v>
          </cell>
          <cell r="M15">
            <v>26</v>
          </cell>
          <cell r="N15">
            <v>26</v>
          </cell>
          <cell r="O15">
            <v>26</v>
          </cell>
          <cell r="P15">
            <v>26</v>
          </cell>
          <cell r="T15">
            <v>0</v>
          </cell>
          <cell r="U15">
            <v>312</v>
          </cell>
          <cell r="V15">
            <v>328.11124000000001</v>
          </cell>
          <cell r="W15">
            <v>250.84800000000001</v>
          </cell>
          <cell r="X15">
            <v>-16.111240000000009</v>
          </cell>
          <cell r="Y15">
            <v>61.151999999999987</v>
          </cell>
        </row>
        <row r="16">
          <cell r="A16">
            <v>6</v>
          </cell>
          <cell r="B16" t="str">
            <v>Other Income</v>
          </cell>
          <cell r="C16">
            <v>0</v>
          </cell>
          <cell r="E16">
            <v>7.9376250000000006</v>
          </cell>
          <cell r="F16">
            <v>7.9376250000000006</v>
          </cell>
          <cell r="G16">
            <v>7.9376250000000006</v>
          </cell>
          <cell r="H16">
            <v>7.9376250000000006</v>
          </cell>
          <cell r="I16">
            <v>7.9376250000000006</v>
          </cell>
          <cell r="J16">
            <v>7.9376250000000006</v>
          </cell>
          <cell r="K16">
            <v>7.9376250000000006</v>
          </cell>
          <cell r="L16">
            <v>7.9376250000000006</v>
          </cell>
          <cell r="M16">
            <v>7.9376250000000006</v>
          </cell>
          <cell r="N16">
            <v>7.9376250000000006</v>
          </cell>
          <cell r="O16">
            <v>7.9376250000000006</v>
          </cell>
          <cell r="P16">
            <v>7.9376250000000006</v>
          </cell>
          <cell r="R16">
            <v>0</v>
          </cell>
          <cell r="S16">
            <v>0</v>
          </cell>
          <cell r="T16">
            <v>0</v>
          </cell>
          <cell r="U16">
            <v>95.251499999999979</v>
          </cell>
          <cell r="V16">
            <v>129.14752999999999</v>
          </cell>
          <cell r="W16">
            <v>61.19</v>
          </cell>
          <cell r="X16">
            <v>-33.89603000000001</v>
          </cell>
          <cell r="Y16">
            <v>34.061499999999981</v>
          </cell>
        </row>
        <row r="17">
          <cell r="B17" t="str">
            <v>TOTAL REVENUE</v>
          </cell>
          <cell r="C17">
            <v>0</v>
          </cell>
          <cell r="E17">
            <v>521.87762500000008</v>
          </cell>
          <cell r="F17">
            <v>537.61762500000009</v>
          </cell>
          <cell r="G17">
            <v>679.27762500000006</v>
          </cell>
          <cell r="H17">
            <v>521.87762500000008</v>
          </cell>
          <cell r="I17">
            <v>553.3576250000001</v>
          </cell>
          <cell r="J17">
            <v>773.717625</v>
          </cell>
          <cell r="K17">
            <v>521.87762500000008</v>
          </cell>
          <cell r="L17">
            <v>632.05762500000003</v>
          </cell>
          <cell r="M17">
            <v>695.01762500000007</v>
          </cell>
          <cell r="N17">
            <v>537.61762500000009</v>
          </cell>
          <cell r="O17">
            <v>734.36762500000009</v>
          </cell>
          <cell r="P17">
            <v>663.53762500000005</v>
          </cell>
          <cell r="R17">
            <v>0</v>
          </cell>
          <cell r="S17">
            <v>0</v>
          </cell>
          <cell r="T17">
            <v>0</v>
          </cell>
          <cell r="U17">
            <v>7372.201500000001</v>
          </cell>
          <cell r="V17">
            <v>6963.1278700000012</v>
          </cell>
          <cell r="W17">
            <v>8281.7660000000014</v>
          </cell>
          <cell r="X17">
            <v>409.07362999999987</v>
          </cell>
          <cell r="Y17">
            <v>-909.56450000000041</v>
          </cell>
        </row>
        <row r="19">
          <cell r="A19">
            <v>7</v>
          </cell>
          <cell r="B19" t="str">
            <v>Film Hire</v>
          </cell>
          <cell r="E19">
            <v>190.8546</v>
          </cell>
          <cell r="F19">
            <v>197.0112</v>
          </cell>
          <cell r="G19">
            <v>252.42060000000004</v>
          </cell>
          <cell r="H19">
            <v>190.8546</v>
          </cell>
          <cell r="I19">
            <v>203.16780000000003</v>
          </cell>
          <cell r="J19">
            <v>289.36020000000002</v>
          </cell>
          <cell r="K19">
            <v>190.8546</v>
          </cell>
          <cell r="L19">
            <v>233.95080000000002</v>
          </cell>
          <cell r="M19">
            <v>258.5772</v>
          </cell>
          <cell r="N19">
            <v>197.0112</v>
          </cell>
          <cell r="O19">
            <v>273.96870000000007</v>
          </cell>
          <cell r="P19">
            <v>246.26400000000001</v>
          </cell>
          <cell r="U19">
            <v>2724.2955000000002</v>
          </cell>
          <cell r="V19">
            <v>2526.9412400000006</v>
          </cell>
          <cell r="W19">
            <v>3150.1010000000001</v>
          </cell>
          <cell r="X19">
            <v>197.35425999999961</v>
          </cell>
          <cell r="Y19">
            <v>-425.80549999999994</v>
          </cell>
        </row>
        <row r="20">
          <cell r="A20">
            <v>8</v>
          </cell>
          <cell r="B20" t="str">
            <v>Concession Cost</v>
          </cell>
          <cell r="E20">
            <v>17.05</v>
          </cell>
          <cell r="F20">
            <v>17.600000000000001</v>
          </cell>
          <cell r="G20">
            <v>22.55</v>
          </cell>
          <cell r="H20">
            <v>17.05</v>
          </cell>
          <cell r="I20">
            <v>18.149999999999999</v>
          </cell>
          <cell r="J20">
            <v>25.85</v>
          </cell>
          <cell r="K20">
            <v>17.05</v>
          </cell>
          <cell r="L20">
            <v>20.9</v>
          </cell>
          <cell r="M20">
            <v>23.1</v>
          </cell>
          <cell r="N20">
            <v>17.600000000000001</v>
          </cell>
          <cell r="O20">
            <v>24.475000000000001</v>
          </cell>
          <cell r="P20">
            <v>22</v>
          </cell>
          <cell r="T20">
            <v>0</v>
          </cell>
          <cell r="U20">
            <v>243.375</v>
          </cell>
          <cell r="V20">
            <v>212.72319999999999</v>
          </cell>
          <cell r="W20">
            <v>296.96600000000001</v>
          </cell>
          <cell r="X20">
            <v>30.651800000000009</v>
          </cell>
          <cell r="Y20">
            <v>-53.591000000000008</v>
          </cell>
        </row>
        <row r="21">
          <cell r="A21">
            <v>9</v>
          </cell>
          <cell r="B21" t="str">
            <v>Less Concession Rebates</v>
          </cell>
          <cell r="E21">
            <v>-1.9375</v>
          </cell>
          <cell r="F21">
            <v>-2</v>
          </cell>
          <cell r="G21">
            <v>-2.5625</v>
          </cell>
          <cell r="H21">
            <v>-1.9375</v>
          </cell>
          <cell r="I21">
            <v>-2.0625</v>
          </cell>
          <cell r="J21">
            <v>-2.9375</v>
          </cell>
          <cell r="K21">
            <v>-1.9375</v>
          </cell>
          <cell r="L21">
            <v>-2.375</v>
          </cell>
          <cell r="M21">
            <v>-2.625</v>
          </cell>
          <cell r="N21">
            <v>-2</v>
          </cell>
          <cell r="O21">
            <v>-2.78125</v>
          </cell>
          <cell r="P21">
            <v>-2.5</v>
          </cell>
          <cell r="U21">
            <v>-27.65625</v>
          </cell>
          <cell r="V21">
            <v>-31.79</v>
          </cell>
          <cell r="W21">
            <v>-49.798999999999999</v>
          </cell>
          <cell r="X21">
            <v>4.13375</v>
          </cell>
          <cell r="Y21">
            <v>22.142749999999999</v>
          </cell>
        </row>
        <row r="22">
          <cell r="A22">
            <v>10</v>
          </cell>
          <cell r="B22" t="str">
            <v>Advertising Cost</v>
          </cell>
          <cell r="E22">
            <v>9.4401200000000003</v>
          </cell>
          <cell r="F22">
            <v>9.7446400000000004</v>
          </cell>
          <cell r="G22">
            <v>12.48532</v>
          </cell>
          <cell r="H22">
            <v>9.4401200000000003</v>
          </cell>
          <cell r="I22">
            <v>10.049160000000001</v>
          </cell>
          <cell r="J22">
            <v>14.312439999999999</v>
          </cell>
          <cell r="K22">
            <v>9.4401200000000003</v>
          </cell>
          <cell r="L22">
            <v>11.571759999999999</v>
          </cell>
          <cell r="M22">
            <v>12.78984</v>
          </cell>
          <cell r="N22">
            <v>9.7446400000000004</v>
          </cell>
          <cell r="O22">
            <v>13.551140000000002</v>
          </cell>
          <cell r="P22">
            <v>12.1808</v>
          </cell>
          <cell r="T22">
            <v>0</v>
          </cell>
          <cell r="U22">
            <v>134.7501</v>
          </cell>
          <cell r="V22">
            <v>133.23182499999999</v>
          </cell>
          <cell r="W22">
            <v>170.59299999999999</v>
          </cell>
          <cell r="X22">
            <v>1.5182750000000169</v>
          </cell>
          <cell r="Y22">
            <v>-35.842899999999986</v>
          </cell>
        </row>
        <row r="23">
          <cell r="A23">
            <v>11</v>
          </cell>
          <cell r="B23" t="str">
            <v>Other Cost</v>
          </cell>
          <cell r="C23">
            <v>0</v>
          </cell>
          <cell r="E23">
            <v>0.82088000000000005</v>
          </cell>
          <cell r="F23">
            <v>0.84736</v>
          </cell>
          <cell r="G23">
            <v>1.08568</v>
          </cell>
          <cell r="H23">
            <v>0.82088000000000005</v>
          </cell>
          <cell r="I23">
            <v>0.87384000000000006</v>
          </cell>
          <cell r="J23">
            <v>1.2445599999999999</v>
          </cell>
          <cell r="K23">
            <v>0.82088000000000005</v>
          </cell>
          <cell r="L23">
            <v>1.00624</v>
          </cell>
          <cell r="M23">
            <v>1.11216</v>
          </cell>
          <cell r="N23">
            <v>0.84736</v>
          </cell>
          <cell r="O23">
            <v>1.1783600000000001</v>
          </cell>
          <cell r="P23">
            <v>1.0592000000000001</v>
          </cell>
          <cell r="R23">
            <v>0</v>
          </cell>
          <cell r="S23">
            <v>0</v>
          </cell>
          <cell r="T23">
            <v>0</v>
          </cell>
          <cell r="U23">
            <v>11.7174</v>
          </cell>
          <cell r="V23">
            <v>10.894426640000002</v>
          </cell>
          <cell r="W23">
            <v>13.751932000000002</v>
          </cell>
          <cell r="X23">
            <v>0.8229733599999971</v>
          </cell>
          <cell r="Y23">
            <v>-2.0345320000000022</v>
          </cell>
        </row>
        <row r="24">
          <cell r="A24">
            <v>12</v>
          </cell>
          <cell r="B24" t="str">
            <v>Direct Payroll</v>
          </cell>
          <cell r="C24">
            <v>0</v>
          </cell>
          <cell r="E24">
            <v>38.387453579195395</v>
          </cell>
          <cell r="F24">
            <v>38.387453579195395</v>
          </cell>
          <cell r="G24">
            <v>39.487453579195396</v>
          </cell>
          <cell r="H24">
            <v>38.387453579195395</v>
          </cell>
          <cell r="I24">
            <v>38.387453579195395</v>
          </cell>
          <cell r="J24">
            <v>39.487453579195396</v>
          </cell>
          <cell r="K24">
            <v>39.099739157045398</v>
          </cell>
          <cell r="L24">
            <v>39.099739157045398</v>
          </cell>
          <cell r="M24">
            <v>40.1997391570454</v>
          </cell>
          <cell r="N24">
            <v>39.099739157045398</v>
          </cell>
          <cell r="O24">
            <v>40.1997391570454</v>
          </cell>
          <cell r="P24">
            <v>40.1997391570454</v>
          </cell>
          <cell r="R24">
            <v>0</v>
          </cell>
          <cell r="S24">
            <v>0</v>
          </cell>
          <cell r="T24">
            <v>0</v>
          </cell>
          <cell r="U24">
            <v>470.42315641744483</v>
          </cell>
          <cell r="V24">
            <v>545.15700500000003</v>
          </cell>
          <cell r="W24">
            <v>713.63300000000004</v>
          </cell>
          <cell r="X24">
            <v>-74.733848582555197</v>
          </cell>
          <cell r="Y24">
            <v>-243.20984358255521</v>
          </cell>
        </row>
        <row r="25">
          <cell r="B25" t="str">
            <v>TOTAL COST</v>
          </cell>
          <cell r="C25">
            <v>0</v>
          </cell>
          <cell r="E25">
            <v>254.61555357919542</v>
          </cell>
          <cell r="F25">
            <v>261.59065357919542</v>
          </cell>
          <cell r="G25">
            <v>325.46655357919548</v>
          </cell>
          <cell r="H25">
            <v>254.61555357919542</v>
          </cell>
          <cell r="I25">
            <v>268.56575357919542</v>
          </cell>
          <cell r="J25">
            <v>367.31715357919541</v>
          </cell>
          <cell r="K25">
            <v>255.32783915704542</v>
          </cell>
          <cell r="L25">
            <v>304.15353915704543</v>
          </cell>
          <cell r="M25">
            <v>333.15393915704544</v>
          </cell>
          <cell r="N25">
            <v>262.30293915704539</v>
          </cell>
          <cell r="O25">
            <v>350.59168915704549</v>
          </cell>
          <cell r="P25">
            <v>319.20373915704533</v>
          </cell>
          <cell r="R25">
            <v>0</v>
          </cell>
          <cell r="S25">
            <v>0</v>
          </cell>
          <cell r="T25">
            <v>0</v>
          </cell>
          <cell r="U25">
            <v>3556.9049064174446</v>
          </cell>
          <cell r="V25">
            <v>3397.1576966400003</v>
          </cell>
          <cell r="W25">
            <v>4295.2459319999998</v>
          </cell>
          <cell r="X25">
            <v>159.74720977744437</v>
          </cell>
          <cell r="Y25">
            <v>-738.34102558255518</v>
          </cell>
        </row>
        <row r="27">
          <cell r="B27" t="str">
            <v>GROSS MARGIN</v>
          </cell>
          <cell r="C27">
            <v>0</v>
          </cell>
          <cell r="E27">
            <v>267.26207142080466</v>
          </cell>
          <cell r="F27">
            <v>276.02697142080467</v>
          </cell>
          <cell r="G27">
            <v>353.81107142080458</v>
          </cell>
          <cell r="H27">
            <v>267.26207142080466</v>
          </cell>
          <cell r="I27">
            <v>284.79187142080468</v>
          </cell>
          <cell r="J27">
            <v>406.40047142080459</v>
          </cell>
          <cell r="K27">
            <v>266.54978584295463</v>
          </cell>
          <cell r="L27">
            <v>327.9040858429546</v>
          </cell>
          <cell r="M27">
            <v>361.86368584295462</v>
          </cell>
          <cell r="N27">
            <v>275.3146858429547</v>
          </cell>
          <cell r="O27">
            <v>383.7759358429546</v>
          </cell>
          <cell r="P27">
            <v>344.33388584295471</v>
          </cell>
          <cell r="R27">
            <v>0</v>
          </cell>
          <cell r="S27">
            <v>0</v>
          </cell>
          <cell r="T27">
            <v>0</v>
          </cell>
          <cell r="U27">
            <v>3815.2965935825555</v>
          </cell>
          <cell r="V27">
            <v>3565.9701733600009</v>
          </cell>
          <cell r="W27">
            <v>3986.5200680000016</v>
          </cell>
          <cell r="X27">
            <v>249.32642022255459</v>
          </cell>
          <cell r="Y27">
            <v>-171.22347441744614</v>
          </cell>
        </row>
        <row r="28">
          <cell r="X28" t="str">
            <v/>
          </cell>
          <cell r="Y28" t="str">
            <v/>
          </cell>
        </row>
        <row r="29">
          <cell r="A29">
            <v>13</v>
          </cell>
          <cell r="B29" t="str">
            <v>Direct Rent</v>
          </cell>
          <cell r="E29">
            <v>158.66038</v>
          </cell>
          <cell r="F29">
            <v>158.66038</v>
          </cell>
          <cell r="G29">
            <v>158.66038</v>
          </cell>
          <cell r="H29">
            <v>158.66038</v>
          </cell>
          <cell r="I29">
            <v>158.66038</v>
          </cell>
          <cell r="J29">
            <v>158.66038</v>
          </cell>
          <cell r="K29">
            <v>158.66038</v>
          </cell>
          <cell r="L29">
            <v>158.66038</v>
          </cell>
          <cell r="M29">
            <v>158.66038</v>
          </cell>
          <cell r="N29">
            <v>158.66038</v>
          </cell>
          <cell r="O29">
            <v>158.66038</v>
          </cell>
          <cell r="P29">
            <v>158.66038</v>
          </cell>
          <cell r="T29">
            <v>0</v>
          </cell>
          <cell r="U29">
            <v>1903.9245600000002</v>
          </cell>
          <cell r="V29">
            <v>1797.2759500000004</v>
          </cell>
          <cell r="W29">
            <v>1848.47</v>
          </cell>
          <cell r="X29">
            <v>106.64860999999974</v>
          </cell>
          <cell r="Y29">
            <v>55.454560000000129</v>
          </cell>
        </row>
        <row r="30">
          <cell r="A30">
            <v>14</v>
          </cell>
          <cell r="B30" t="str">
            <v>Light, Heat and Power</v>
          </cell>
          <cell r="E30">
            <v>15</v>
          </cell>
          <cell r="F30">
            <v>15</v>
          </cell>
          <cell r="G30">
            <v>15</v>
          </cell>
          <cell r="H30">
            <v>15</v>
          </cell>
          <cell r="I30">
            <v>15</v>
          </cell>
          <cell r="J30">
            <v>15</v>
          </cell>
          <cell r="K30">
            <v>15</v>
          </cell>
          <cell r="L30">
            <v>15</v>
          </cell>
          <cell r="M30">
            <v>15</v>
          </cell>
          <cell r="N30">
            <v>15</v>
          </cell>
          <cell r="O30">
            <v>15</v>
          </cell>
          <cell r="P30">
            <v>15</v>
          </cell>
          <cell r="T30">
            <v>0</v>
          </cell>
          <cell r="U30">
            <v>180</v>
          </cell>
          <cell r="V30">
            <v>200.88871</v>
          </cell>
          <cell r="W30">
            <v>233.072</v>
          </cell>
          <cell r="X30">
            <v>-20.888710000000003</v>
          </cell>
          <cell r="Y30">
            <v>-53.072000000000003</v>
          </cell>
        </row>
        <row r="31">
          <cell r="A31">
            <v>15</v>
          </cell>
          <cell r="B31" t="str">
            <v>Repair &amp; Maintenance</v>
          </cell>
          <cell r="E31">
            <v>12.25</v>
          </cell>
          <cell r="F31">
            <v>12.25</v>
          </cell>
          <cell r="G31">
            <v>12.25</v>
          </cell>
          <cell r="H31">
            <v>17.25</v>
          </cell>
          <cell r="I31">
            <v>12.25</v>
          </cell>
          <cell r="J31">
            <v>12.25</v>
          </cell>
          <cell r="K31">
            <v>12.25</v>
          </cell>
          <cell r="L31">
            <v>12.25</v>
          </cell>
          <cell r="M31">
            <v>37.25</v>
          </cell>
          <cell r="N31">
            <v>12.25</v>
          </cell>
          <cell r="O31">
            <v>12.25</v>
          </cell>
          <cell r="P31">
            <v>12.25</v>
          </cell>
          <cell r="T31">
            <v>0</v>
          </cell>
          <cell r="U31">
            <v>177</v>
          </cell>
          <cell r="V31">
            <v>171.74321666666668</v>
          </cell>
          <cell r="W31">
            <v>271.601</v>
          </cell>
          <cell r="X31">
            <v>5.2567833333333169</v>
          </cell>
          <cell r="Y31">
            <v>-94.600999999999999</v>
          </cell>
        </row>
        <row r="32">
          <cell r="A32">
            <v>16</v>
          </cell>
          <cell r="B32" t="str">
            <v>Common Area Maintenance</v>
          </cell>
          <cell r="E32">
            <v>0</v>
          </cell>
          <cell r="F32">
            <v>0</v>
          </cell>
          <cell r="G32">
            <v>0</v>
          </cell>
          <cell r="H32">
            <v>0</v>
          </cell>
          <cell r="I32">
            <v>0</v>
          </cell>
          <cell r="J32">
            <v>0</v>
          </cell>
          <cell r="K32">
            <v>0</v>
          </cell>
          <cell r="L32">
            <v>0</v>
          </cell>
          <cell r="M32">
            <v>0</v>
          </cell>
          <cell r="N32">
            <v>0</v>
          </cell>
          <cell r="O32">
            <v>0</v>
          </cell>
          <cell r="P32">
            <v>0</v>
          </cell>
          <cell r="T32">
            <v>0</v>
          </cell>
          <cell r="U32">
            <v>0</v>
          </cell>
          <cell r="V32">
            <v>0</v>
          </cell>
          <cell r="W32">
            <v>0</v>
          </cell>
          <cell r="X32">
            <v>0</v>
          </cell>
          <cell r="Y32">
            <v>0</v>
          </cell>
        </row>
        <row r="33">
          <cell r="A33">
            <v>17</v>
          </cell>
          <cell r="B33" t="str">
            <v>Other Overhead Costs</v>
          </cell>
          <cell r="C33">
            <v>0</v>
          </cell>
          <cell r="E33">
            <v>20.645654535791955</v>
          </cell>
          <cell r="F33">
            <v>20.645654535791955</v>
          </cell>
          <cell r="G33">
            <v>20.441374535791955</v>
          </cell>
          <cell r="H33">
            <v>20.645654535791955</v>
          </cell>
          <cell r="I33">
            <v>20.430374535791955</v>
          </cell>
          <cell r="J33">
            <v>20.656654535791954</v>
          </cell>
          <cell r="K33">
            <v>20.652777391570456</v>
          </cell>
          <cell r="L33">
            <v>22.506937391570457</v>
          </cell>
          <cell r="M33">
            <v>20.663777391570456</v>
          </cell>
          <cell r="N33">
            <v>20.437497391570457</v>
          </cell>
          <cell r="O33">
            <v>20.663777391570456</v>
          </cell>
          <cell r="P33">
            <v>20.448497391570456</v>
          </cell>
          <cell r="R33">
            <v>0</v>
          </cell>
          <cell r="S33">
            <v>0</v>
          </cell>
          <cell r="T33">
            <v>0</v>
          </cell>
          <cell r="U33">
            <v>248.83863156417442</v>
          </cell>
          <cell r="V33">
            <v>288.56553573333338</v>
          </cell>
          <cell r="W33">
            <v>348.07306800000003</v>
          </cell>
          <cell r="X33">
            <v>-39.726904169158956</v>
          </cell>
          <cell r="Y33">
            <v>-99.234436435825614</v>
          </cell>
        </row>
        <row r="35">
          <cell r="B35" t="str">
            <v>Total Overhead Expenses</v>
          </cell>
          <cell r="C35">
            <v>0</v>
          </cell>
          <cell r="E35">
            <v>206.55603453579195</v>
          </cell>
          <cell r="F35">
            <v>206.55603453579195</v>
          </cell>
          <cell r="G35">
            <v>206.35175453579197</v>
          </cell>
          <cell r="H35">
            <v>211.55603453579195</v>
          </cell>
          <cell r="I35">
            <v>206.34075453579197</v>
          </cell>
          <cell r="J35">
            <v>206.56703453579195</v>
          </cell>
          <cell r="K35">
            <v>206.56315739157046</v>
          </cell>
          <cell r="L35">
            <v>208.41731739157046</v>
          </cell>
          <cell r="M35">
            <v>231.57415739157045</v>
          </cell>
          <cell r="N35">
            <v>206.34787739157045</v>
          </cell>
          <cell r="O35">
            <v>206.57415739157045</v>
          </cell>
          <cell r="P35">
            <v>206.35887739157045</v>
          </cell>
          <cell r="R35">
            <v>0</v>
          </cell>
          <cell r="S35">
            <v>0</v>
          </cell>
          <cell r="T35">
            <v>0</v>
          </cell>
          <cell r="U35">
            <v>2509.7631915641746</v>
          </cell>
          <cell r="V35">
            <v>2458.4734124000006</v>
          </cell>
          <cell r="W35">
            <v>2701.2160680000002</v>
          </cell>
          <cell r="X35">
            <v>51.289779164173979</v>
          </cell>
          <cell r="Y35">
            <v>-191.4528764358256</v>
          </cell>
        </row>
        <row r="37">
          <cell r="B37" t="str">
            <v>E.B.I.T.D.</v>
          </cell>
          <cell r="C37">
            <v>0</v>
          </cell>
          <cell r="E37">
            <v>60.706036885012708</v>
          </cell>
          <cell r="F37">
            <v>69.470936885012719</v>
          </cell>
          <cell r="G37">
            <v>147.45931688501261</v>
          </cell>
          <cell r="H37">
            <v>55.706036885012708</v>
          </cell>
          <cell r="I37">
            <v>78.451116885012709</v>
          </cell>
          <cell r="J37">
            <v>199.83343688501265</v>
          </cell>
          <cell r="K37">
            <v>59.986628451384178</v>
          </cell>
          <cell r="L37">
            <v>119.48676845138414</v>
          </cell>
          <cell r="M37">
            <v>130.28952845138417</v>
          </cell>
          <cell r="N37">
            <v>68.966808451384253</v>
          </cell>
          <cell r="O37">
            <v>177.20177845138414</v>
          </cell>
          <cell r="P37">
            <v>137.97500845138427</v>
          </cell>
          <cell r="R37">
            <v>0</v>
          </cell>
          <cell r="S37">
            <v>0</v>
          </cell>
          <cell r="T37">
            <v>0</v>
          </cell>
          <cell r="U37">
            <v>1305.5334020183809</v>
          </cell>
          <cell r="V37">
            <v>1107.4967609600003</v>
          </cell>
          <cell r="W37">
            <v>1285.3040000000015</v>
          </cell>
          <cell r="X37">
            <v>198.03664105838061</v>
          </cell>
          <cell r="Y37">
            <v>20.22940201837946</v>
          </cell>
        </row>
        <row r="39">
          <cell r="A39">
            <v>18</v>
          </cell>
          <cell r="B39" t="str">
            <v>Depreciation</v>
          </cell>
          <cell r="E39">
            <v>37.618506944444448</v>
          </cell>
          <cell r="F39">
            <v>37.618506944444448</v>
          </cell>
          <cell r="G39">
            <v>37.618506944444448</v>
          </cell>
          <cell r="H39">
            <v>37.618506944444448</v>
          </cell>
          <cell r="I39">
            <v>37.618506944444448</v>
          </cell>
          <cell r="J39">
            <v>37.618506944444448</v>
          </cell>
          <cell r="K39">
            <v>38.201840277777784</v>
          </cell>
          <cell r="L39">
            <v>38.201840277777784</v>
          </cell>
          <cell r="M39">
            <v>38.201840277777784</v>
          </cell>
          <cell r="N39">
            <v>38.201840277777784</v>
          </cell>
          <cell r="O39">
            <v>38.201840277777784</v>
          </cell>
          <cell r="P39">
            <v>38.201840277777784</v>
          </cell>
          <cell r="T39">
            <v>0</v>
          </cell>
          <cell r="U39">
            <v>454.92208333333326</v>
          </cell>
          <cell r="V39">
            <v>449.09136115740739</v>
          </cell>
          <cell r="W39">
            <v>419.072</v>
          </cell>
          <cell r="X39">
            <v>5.8307221759258709</v>
          </cell>
          <cell r="Y39">
            <v>35.850083333333259</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2.63</v>
          </cell>
          <cell r="W40">
            <v>19.963999999999999</v>
          </cell>
          <cell r="X40">
            <v>-2.63</v>
          </cell>
          <cell r="Y40">
            <v>-19.963999999999999</v>
          </cell>
        </row>
        <row r="41">
          <cell r="A41">
            <v>20</v>
          </cell>
          <cell r="B41" t="str">
            <v>External Interest</v>
          </cell>
          <cell r="T41">
            <v>0</v>
          </cell>
          <cell r="U41">
            <v>0</v>
          </cell>
          <cell r="V41">
            <v>195.98373809452056</v>
          </cell>
          <cell r="W41">
            <v>221.048</v>
          </cell>
          <cell r="X41">
            <v>-195.98373809452056</v>
          </cell>
          <cell r="Y41">
            <v>-221.048</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2.72343</v>
          </cell>
          <cell r="W43">
            <v>0.90700000000000003</v>
          </cell>
          <cell r="X43">
            <v>-2.72343</v>
          </cell>
          <cell r="Y43">
            <v>-0.90700000000000003</v>
          </cell>
        </row>
        <row r="44">
          <cell r="B44" t="str">
            <v>E.B.T.</v>
          </cell>
          <cell r="C44">
            <v>0</v>
          </cell>
          <cell r="E44">
            <v>23.08752994056826</v>
          </cell>
          <cell r="F44">
            <v>31.852429940568271</v>
          </cell>
          <cell r="G44">
            <v>109.84080994056816</v>
          </cell>
          <cell r="H44">
            <v>18.08752994056826</v>
          </cell>
          <cell r="I44">
            <v>40.832609940568261</v>
          </cell>
          <cell r="J44">
            <v>162.2149299405682</v>
          </cell>
          <cell r="K44">
            <v>21.784788173606394</v>
          </cell>
          <cell r="L44">
            <v>81.284928173606346</v>
          </cell>
          <cell r="M44">
            <v>92.087688173606381</v>
          </cell>
          <cell r="N44">
            <v>30.764968173606469</v>
          </cell>
          <cell r="O44">
            <v>138.99993817360635</v>
          </cell>
          <cell r="P44">
            <v>99.773168173606479</v>
          </cell>
          <cell r="Q44">
            <v>0</v>
          </cell>
          <cell r="R44">
            <v>0</v>
          </cell>
          <cell r="S44">
            <v>0</v>
          </cell>
          <cell r="T44">
            <v>0</v>
          </cell>
          <cell r="U44">
            <v>850.61131868504765</v>
          </cell>
          <cell r="V44">
            <v>462.51509170807236</v>
          </cell>
          <cell r="W44">
            <v>626.12700000000143</v>
          </cell>
          <cell r="X44">
            <v>388.09622697697529</v>
          </cell>
          <cell r="Y44">
            <v>224.48431868504622</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23.08752994056826</v>
          </cell>
          <cell r="F50">
            <v>31.852429940568271</v>
          </cell>
          <cell r="G50">
            <v>109.84080994056816</v>
          </cell>
          <cell r="H50">
            <v>18.08752994056826</v>
          </cell>
          <cell r="I50">
            <v>40.832609940568261</v>
          </cell>
          <cell r="J50">
            <v>162.2149299405682</v>
          </cell>
          <cell r="K50">
            <v>21.784788173606394</v>
          </cell>
          <cell r="L50">
            <v>81.284928173606346</v>
          </cell>
          <cell r="M50">
            <v>92.087688173606381</v>
          </cell>
          <cell r="N50">
            <v>30.764968173606469</v>
          </cell>
          <cell r="O50">
            <v>138.99993817360635</v>
          </cell>
          <cell r="P50">
            <v>99.773168173606479</v>
          </cell>
          <cell r="Q50">
            <v>0</v>
          </cell>
          <cell r="R50">
            <v>0</v>
          </cell>
          <cell r="S50">
            <v>0</v>
          </cell>
          <cell r="T50">
            <v>0</v>
          </cell>
          <cell r="U50">
            <v>850.61131868504765</v>
          </cell>
          <cell r="V50">
            <v>462.51509170807236</v>
          </cell>
          <cell r="W50">
            <v>626.12700000000143</v>
          </cell>
          <cell r="X50">
            <v>388.09622697697529</v>
          </cell>
          <cell r="Y50">
            <v>224.48431868504622</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60.76</v>
          </cell>
          <cell r="F54">
            <v>62.72</v>
          </cell>
          <cell r="G54">
            <v>80.36</v>
          </cell>
          <cell r="H54">
            <v>60.76</v>
          </cell>
          <cell r="I54">
            <v>64.680000000000007</v>
          </cell>
          <cell r="J54">
            <v>92.12</v>
          </cell>
          <cell r="K54">
            <v>60.76</v>
          </cell>
          <cell r="L54">
            <v>74.48</v>
          </cell>
          <cell r="M54">
            <v>82.32</v>
          </cell>
          <cell r="N54">
            <v>62.72</v>
          </cell>
          <cell r="O54">
            <v>87.22</v>
          </cell>
          <cell r="P54">
            <v>78.400000000000006</v>
          </cell>
          <cell r="T54">
            <v>0</v>
          </cell>
          <cell r="U54">
            <v>867.3</v>
          </cell>
          <cell r="V54">
            <v>820</v>
          </cell>
          <cell r="W54">
            <v>1016.269</v>
          </cell>
          <cell r="X54">
            <v>47.300000000000068</v>
          </cell>
          <cell r="Y54">
            <v>-148.96899999999994</v>
          </cell>
        </row>
        <row r="55">
          <cell r="A55">
            <v>28</v>
          </cell>
          <cell r="B55" t="str">
            <v>Admissions</v>
          </cell>
          <cell r="E55">
            <v>62</v>
          </cell>
          <cell r="F55">
            <v>64</v>
          </cell>
          <cell r="G55">
            <v>82</v>
          </cell>
          <cell r="H55">
            <v>62</v>
          </cell>
          <cell r="I55">
            <v>66</v>
          </cell>
          <cell r="J55">
            <v>94</v>
          </cell>
          <cell r="K55">
            <v>62</v>
          </cell>
          <cell r="L55">
            <v>76</v>
          </cell>
          <cell r="M55">
            <v>84</v>
          </cell>
          <cell r="N55">
            <v>64</v>
          </cell>
          <cell r="O55">
            <v>89</v>
          </cell>
          <cell r="P55">
            <v>80</v>
          </cell>
          <cell r="T55">
            <v>0</v>
          </cell>
          <cell r="U55">
            <v>885</v>
          </cell>
          <cell r="V55">
            <v>820</v>
          </cell>
          <cell r="W55">
            <v>1016.269</v>
          </cell>
          <cell r="X55">
            <v>65</v>
          </cell>
          <cell r="Y55">
            <v>-131.26900000000001</v>
          </cell>
        </row>
        <row r="56">
          <cell r="B56" t="str">
            <v>Utilisation Rate</v>
          </cell>
          <cell r="E56">
            <v>0.21777615421361735</v>
          </cell>
          <cell r="F56">
            <v>0.22480119144631466</v>
          </cell>
          <cell r="G56">
            <v>0.23042122123247252</v>
          </cell>
          <cell r="H56">
            <v>0.21777615421361735</v>
          </cell>
          <cell r="I56">
            <v>0.23182622867901201</v>
          </cell>
          <cell r="J56">
            <v>0.26414139994941971</v>
          </cell>
          <cell r="K56">
            <v>0.21777615421361735</v>
          </cell>
          <cell r="L56">
            <v>0.26695141484249868</v>
          </cell>
          <cell r="M56">
            <v>0.23604125101863041</v>
          </cell>
          <cell r="N56">
            <v>0.22480119144631466</v>
          </cell>
          <cell r="O56">
            <v>0.25009132548402507</v>
          </cell>
          <cell r="P56">
            <v>0.28100148930789332</v>
          </cell>
          <cell r="U56">
            <v>0.23912145965142845</v>
          </cell>
          <cell r="V56">
            <v>0.22590079318727285</v>
          </cell>
          <cell r="W56">
            <v>0.26584463244543977</v>
          </cell>
          <cell r="X56">
            <v>1.3220666464155595E-2</v>
          </cell>
          <cell r="Y56">
            <v>-2.6723172794011318E-2</v>
          </cell>
        </row>
        <row r="57">
          <cell r="B57" t="str">
            <v>Ave. Admission Price (S$)</v>
          </cell>
          <cell r="C57" t="str">
            <v>N.A.</v>
          </cell>
          <cell r="E57">
            <v>6.62</v>
          </cell>
          <cell r="F57">
            <v>6.62</v>
          </cell>
          <cell r="G57">
            <v>6.62</v>
          </cell>
          <cell r="H57">
            <v>6.62</v>
          </cell>
          <cell r="I57">
            <v>6.62</v>
          </cell>
          <cell r="J57">
            <v>6.62</v>
          </cell>
          <cell r="K57">
            <v>6.62</v>
          </cell>
          <cell r="L57">
            <v>6.62</v>
          </cell>
          <cell r="M57">
            <v>6.62</v>
          </cell>
          <cell r="N57">
            <v>6.62</v>
          </cell>
          <cell r="O57">
            <v>6.62</v>
          </cell>
          <cell r="P57">
            <v>6.62</v>
          </cell>
          <cell r="R57" t="str">
            <v>N.A.</v>
          </cell>
          <cell r="S57" t="str">
            <v>N.A.</v>
          </cell>
          <cell r="U57">
            <v>6.62</v>
          </cell>
          <cell r="V57">
            <v>6.6429430731707324</v>
          </cell>
          <cell r="W57">
            <v>6.765891707805709</v>
          </cell>
          <cell r="X57">
            <v>-2.2943073170730521E-2</v>
          </cell>
          <cell r="Y57">
            <v>-0.14589170780570715</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2.2999999999999993E-2</v>
          </cell>
          <cell r="V58">
            <v>2.4458712588109173E-2</v>
          </cell>
          <cell r="W58">
            <v>2.4810041236387727E-2</v>
          </cell>
          <cell r="X58">
            <v>-1.4587125881091803E-3</v>
          </cell>
          <cell r="Y58">
            <v>-1.8100412363877341E-3</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R59" t="str">
            <v>N.A.</v>
          </cell>
          <cell r="S59" t="str">
            <v>N.A.</v>
          </cell>
          <cell r="U59">
            <v>0.19500000000000001</v>
          </cell>
          <cell r="V59">
            <v>0.17090843257852897</v>
          </cell>
          <cell r="W59">
            <v>0.22597877783283751</v>
          </cell>
          <cell r="X59">
            <v>2.4091567421471033E-2</v>
          </cell>
          <cell r="Y59">
            <v>-3.0978777832837506E-2</v>
          </cell>
        </row>
        <row r="60">
          <cell r="B60" t="str">
            <v>Concess. Rev per Patron (S$)</v>
          </cell>
          <cell r="C60" t="str">
            <v>N.A.</v>
          </cell>
          <cell r="E60">
            <v>1.25</v>
          </cell>
          <cell r="F60">
            <v>1.25</v>
          </cell>
          <cell r="G60">
            <v>1.25</v>
          </cell>
          <cell r="H60">
            <v>1.25</v>
          </cell>
          <cell r="I60">
            <v>1.25</v>
          </cell>
          <cell r="J60">
            <v>1.25</v>
          </cell>
          <cell r="K60">
            <v>1.25</v>
          </cell>
          <cell r="L60">
            <v>1.25</v>
          </cell>
          <cell r="M60">
            <v>1.25</v>
          </cell>
          <cell r="N60">
            <v>1.25</v>
          </cell>
          <cell r="O60">
            <v>1.25</v>
          </cell>
          <cell r="P60">
            <v>1.25</v>
          </cell>
          <cell r="R60" t="str">
            <v>N.A.</v>
          </cell>
          <cell r="S60" t="str">
            <v>N.A.</v>
          </cell>
          <cell r="U60">
            <v>1.25</v>
          </cell>
          <cell r="V60">
            <v>1.2910436341463416</v>
          </cell>
          <cell r="W60">
            <v>1.0762524489087042</v>
          </cell>
          <cell r="X60">
            <v>-4.1043634146341601E-2</v>
          </cell>
          <cell r="Y60">
            <v>0.1737475510912958</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0.46389614130257711</v>
          </cell>
          <cell r="W61">
            <v>0.4581321373607723</v>
          </cell>
          <cell r="X61">
            <v>1.1038586974227993E-3</v>
          </cell>
          <cell r="Y61">
            <v>6.8678626392276176E-3</v>
          </cell>
        </row>
        <row r="62">
          <cell r="B62" t="str">
            <v>Direct Payroll : Net Box</v>
          </cell>
          <cell r="C62" t="str">
            <v>N.A.</v>
          </cell>
          <cell r="E62">
            <v>9.3527564514168687E-2</v>
          </cell>
          <cell r="F62">
            <v>9.0604828123100917E-2</v>
          </cell>
          <cell r="G62">
            <v>7.2742343193566053E-2</v>
          </cell>
          <cell r="H62">
            <v>9.3527564514168687E-2</v>
          </cell>
          <cell r="I62">
            <v>8.7859227270885729E-2</v>
          </cell>
          <cell r="J62">
            <v>6.3456086615664001E-2</v>
          </cell>
          <cell r="K62">
            <v>9.52629840099537E-2</v>
          </cell>
          <cell r="L62">
            <v>7.7714539587067491E-2</v>
          </cell>
          <cell r="M62">
            <v>7.2291287507274843E-2</v>
          </cell>
          <cell r="N62">
            <v>9.2286015759642653E-2</v>
          </cell>
          <cell r="O62">
            <v>6.8229979220349291E-2</v>
          </cell>
          <cell r="P62">
            <v>7.5905851882638598E-2</v>
          </cell>
          <cell r="R62" t="str">
            <v>N.A.</v>
          </cell>
          <cell r="S62" t="str">
            <v>N.A.</v>
          </cell>
          <cell r="U62">
            <v>8.0294801989766448E-2</v>
          </cell>
          <cell r="V62">
            <v>0.10007998089562609</v>
          </cell>
          <cell r="W62">
            <v>0.10378658067826398</v>
          </cell>
          <cell r="X62">
            <v>-1.9785178905859638E-2</v>
          </cell>
          <cell r="Y62">
            <v>-2.3491778688497528E-2</v>
          </cell>
        </row>
        <row r="63">
          <cell r="B63" t="str">
            <v>Direct Payroll : Net Box &amp; Conc.</v>
          </cell>
          <cell r="C63" t="str">
            <v>N.A.</v>
          </cell>
          <cell r="E63">
            <v>7.8672487558296908E-2</v>
          </cell>
          <cell r="F63">
            <v>7.6213972322100129E-2</v>
          </cell>
          <cell r="G63">
            <v>6.1188603804499017E-2</v>
          </cell>
          <cell r="H63">
            <v>7.8672487558296908E-2</v>
          </cell>
          <cell r="I63">
            <v>7.3904458009309212E-2</v>
          </cell>
          <cell r="J63">
            <v>5.3377292680520425E-2</v>
          </cell>
          <cell r="K63">
            <v>8.0132268633531581E-2</v>
          </cell>
          <cell r="L63">
            <v>6.5371061253670495E-2</v>
          </cell>
          <cell r="M63">
            <v>6.0809189745636531E-2</v>
          </cell>
          <cell r="N63">
            <v>7.7628135238733714E-2</v>
          </cell>
          <cell r="O63">
            <v>5.739294313071313E-2</v>
          </cell>
          <cell r="P63">
            <v>6.384964923291836E-2</v>
          </cell>
          <cell r="Q63" t="str">
            <v/>
          </cell>
          <cell r="R63" t="str">
            <v>N.A.</v>
          </cell>
          <cell r="S63" t="str">
            <v>N.A.</v>
          </cell>
          <cell r="T63" t="str">
            <v>N.A.</v>
          </cell>
          <cell r="U63">
            <v>6.7541497988850563E-2</v>
          </cell>
          <cell r="V63">
            <v>8.3794647051844307E-2</v>
          </cell>
          <cell r="W63">
            <v>8.9542955543777655E-2</v>
          </cell>
          <cell r="X63">
            <v>-1.6253149062993744E-2</v>
          </cell>
          <cell r="Y63">
            <v>-2.2001457554927092E-2</v>
          </cell>
        </row>
        <row r="64">
          <cell r="B64" t="str">
            <v>Direct Payroll of Admissions (S$)</v>
          </cell>
          <cell r="C64" t="str">
            <v>N.A.</v>
          </cell>
          <cell r="E64">
            <v>0.61915247708379673</v>
          </cell>
          <cell r="F64">
            <v>0.59980396217492804</v>
          </cell>
          <cell r="G64">
            <v>0.48155431194140724</v>
          </cell>
          <cell r="H64">
            <v>0.61915247708379673</v>
          </cell>
          <cell r="I64">
            <v>0.58162808453326353</v>
          </cell>
          <cell r="J64">
            <v>0.42007929339569572</v>
          </cell>
          <cell r="K64">
            <v>0.6306409541458935</v>
          </cell>
          <cell r="L64">
            <v>0.51447025206638686</v>
          </cell>
          <cell r="M64">
            <v>0.47856832329815951</v>
          </cell>
          <cell r="N64">
            <v>0.61093342432883435</v>
          </cell>
          <cell r="O64">
            <v>0.45168246243871235</v>
          </cell>
          <cell r="P64">
            <v>0.5024967394630675</v>
          </cell>
          <cell r="Q64" t="str">
            <v/>
          </cell>
          <cell r="R64" t="str">
            <v>N.A.</v>
          </cell>
          <cell r="S64" t="str">
            <v>N.A.</v>
          </cell>
          <cell r="T64" t="str">
            <v>N.A.</v>
          </cell>
          <cell r="U64">
            <v>0.53155158917225409</v>
          </cell>
          <cell r="V64">
            <v>0.66482561585365851</v>
          </cell>
          <cell r="W64">
            <v>0.70220876559257439</v>
          </cell>
          <cell r="X64">
            <v>-0.13327402668140442</v>
          </cell>
          <cell r="Y64">
            <v>-0.1706571764203203</v>
          </cell>
        </row>
        <row r="65">
          <cell r="B65" t="str">
            <v>Gross Margin :Total Rev</v>
          </cell>
          <cell r="C65" t="str">
            <v>N.A.</v>
          </cell>
          <cell r="E65">
            <v>0.51211636333480404</v>
          </cell>
          <cell r="F65">
            <v>0.51342619472493045</v>
          </cell>
          <cell r="G65">
            <v>0.52086372110490842</v>
          </cell>
          <cell r="H65">
            <v>0.51211636333480404</v>
          </cell>
          <cell r="I65">
            <v>0.51466151102698665</v>
          </cell>
          <cell r="J65">
            <v>0.52525683568447157</v>
          </cell>
          <cell r="K65">
            <v>0.51075151160763899</v>
          </cell>
          <cell r="L65">
            <v>0.51878827637425395</v>
          </cell>
          <cell r="M65">
            <v>0.52065397023989801</v>
          </cell>
          <cell r="N65">
            <v>0.51210130219029681</v>
          </cell>
          <cell r="O65">
            <v>0.52259375655749329</v>
          </cell>
          <cell r="P65">
            <v>0.51893648961195638</v>
          </cell>
          <cell r="Q65" t="str">
            <v/>
          </cell>
          <cell r="R65" t="str">
            <v>N.A.</v>
          </cell>
          <cell r="S65" t="str">
            <v>N.A.</v>
          </cell>
          <cell r="T65" t="str">
            <v>N.A.</v>
          </cell>
          <cell r="U65">
            <v>0.51752473037837543</v>
          </cell>
          <cell r="V65">
            <v>0.51212188544226755</v>
          </cell>
          <cell r="W65">
            <v>0.48136110921269704</v>
          </cell>
          <cell r="X65">
            <v>5.4028449361078756E-3</v>
          </cell>
          <cell r="Y65">
            <v>3.6163621165678395E-2</v>
          </cell>
        </row>
        <row r="66">
          <cell r="B66" t="str">
            <v>G&amp;A % of total revenue</v>
          </cell>
          <cell r="C66" t="str">
            <v>N.A.</v>
          </cell>
          <cell r="E66">
            <v>3.9560336651321186E-2</v>
          </cell>
          <cell r="F66">
            <v>3.8402116254637207E-2</v>
          </cell>
          <cell r="G66">
            <v>3.0092812987608641E-2</v>
          </cell>
          <cell r="H66">
            <v>3.9560336651321186E-2</v>
          </cell>
          <cell r="I66">
            <v>3.692074277605184E-2</v>
          </cell>
          <cell r="J66">
            <v>2.6697924240503056E-2</v>
          </cell>
          <cell r="K66">
            <v>3.9573985168592833E-2</v>
          </cell>
          <cell r="L66">
            <v>3.5608995922753808E-2</v>
          </cell>
          <cell r="M66">
            <v>2.9731299823613038E-2</v>
          </cell>
          <cell r="N66">
            <v>3.8014931879456988E-2</v>
          </cell>
          <cell r="O66">
            <v>2.8138192218877367E-2</v>
          </cell>
          <cell r="P66">
            <v>3.081738943073568E-2</v>
          </cell>
          <cell r="Q66" t="str">
            <v/>
          </cell>
          <cell r="R66" t="e">
            <v>#DIV/0!</v>
          </cell>
          <cell r="S66" t="e">
            <v>#DIV/0!</v>
          </cell>
          <cell r="T66" t="e">
            <v>#DIV/0!</v>
          </cell>
          <cell r="U66">
            <v>3.3753639474473719E-2</v>
          </cell>
          <cell r="V66">
            <v>4.1441941196655535E-2</v>
          </cell>
          <cell r="W66">
            <v>4.2028846021488653E-2</v>
          </cell>
          <cell r="X66">
            <v>-7.6883017221818159E-3</v>
          </cell>
          <cell r="Y66">
            <v>-8.2752065470149336E-3</v>
          </cell>
        </row>
        <row r="67">
          <cell r="B67" t="str">
            <v>E.B.I.T.D. : Total Rev</v>
          </cell>
          <cell r="C67" t="str">
            <v>N.A.</v>
          </cell>
          <cell r="E67">
            <v>0.1163223598348611</v>
          </cell>
          <cell r="F67">
            <v>0.12921997653074099</v>
          </cell>
          <cell r="G67">
            <v>0.21708254689680467</v>
          </cell>
          <cell r="H67">
            <v>0.10674156970230847</v>
          </cell>
          <cell r="I67">
            <v>0.14177290298477896</v>
          </cell>
          <cell r="J67">
            <v>0.25827696103602737</v>
          </cell>
          <cell r="K67">
            <v>0.11494385959042441</v>
          </cell>
          <cell r="L67">
            <v>0.18904410567214364</v>
          </cell>
          <cell r="M67">
            <v>0.18746219342478423</v>
          </cell>
          <cell r="N67">
            <v>0.12828226837128756</v>
          </cell>
          <cell r="O67">
            <v>0.24129846199494989</v>
          </cell>
          <cell r="P67">
            <v>0.20793848495235559</v>
          </cell>
          <cell r="Q67" t="str">
            <v/>
          </cell>
          <cell r="R67" t="str">
            <v>N.A.</v>
          </cell>
          <cell r="S67" t="str">
            <v>N.A.</v>
          </cell>
          <cell r="T67" t="str">
            <v>N.A.</v>
          </cell>
          <cell r="U67">
            <v>0.17708867588852267</v>
          </cell>
          <cell r="V67">
            <v>0.15905161899030301</v>
          </cell>
          <cell r="W67">
            <v>0.15519685052680807</v>
          </cell>
          <cell r="X67">
            <v>1.8037056898219661E-2</v>
          </cell>
          <cell r="Y67">
            <v>2.1891825361714606E-2</v>
          </cell>
        </row>
        <row r="68">
          <cell r="B68" t="str">
            <v>No of Concession Transactions</v>
          </cell>
          <cell r="E68">
            <v>16</v>
          </cell>
          <cell r="F68">
            <v>15</v>
          </cell>
          <cell r="G68">
            <v>22</v>
          </cell>
          <cell r="H68">
            <v>16</v>
          </cell>
          <cell r="I68">
            <v>17</v>
          </cell>
          <cell r="J68">
            <v>22</v>
          </cell>
          <cell r="K68">
            <v>16</v>
          </cell>
          <cell r="L68">
            <v>19</v>
          </cell>
          <cell r="M68">
            <v>22</v>
          </cell>
          <cell r="N68">
            <v>19</v>
          </cell>
          <cell r="O68">
            <v>20</v>
          </cell>
          <cell r="P68">
            <v>26</v>
          </cell>
          <cell r="Q68" t="str">
            <v/>
          </cell>
          <cell r="R68">
            <v>30.509</v>
          </cell>
          <cell r="S68">
            <v>31.509</v>
          </cell>
          <cell r="T68">
            <v>32.509</v>
          </cell>
          <cell r="U68">
            <v>230</v>
          </cell>
          <cell r="V68">
            <v>216</v>
          </cell>
          <cell r="W68">
            <v>0</v>
          </cell>
          <cell r="X68">
            <v>14</v>
          </cell>
          <cell r="Y68">
            <v>230</v>
          </cell>
        </row>
        <row r="69">
          <cell r="B69" t="str">
            <v>Strike Rate %(No of Trans/Adm)</v>
          </cell>
          <cell r="E69">
            <v>0.25806451612903225</v>
          </cell>
          <cell r="F69">
            <v>0.234375</v>
          </cell>
          <cell r="G69">
            <v>0.26829268292682928</v>
          </cell>
          <cell r="H69">
            <v>0.25806451612903225</v>
          </cell>
          <cell r="I69">
            <v>0.25757575757575757</v>
          </cell>
          <cell r="J69">
            <v>0.23404255319148937</v>
          </cell>
          <cell r="K69">
            <v>0.25806451612903225</v>
          </cell>
          <cell r="L69">
            <v>0.25</v>
          </cell>
          <cell r="M69">
            <v>0.26190476190476192</v>
          </cell>
          <cell r="N69">
            <v>0.296875</v>
          </cell>
          <cell r="O69">
            <v>0.2247191011235955</v>
          </cell>
          <cell r="P69">
            <v>0.32500000000000001</v>
          </cell>
          <cell r="Q69" t="str">
            <v/>
          </cell>
          <cell r="R69" t="e">
            <v>#DIV/0!</v>
          </cell>
          <cell r="S69" t="e">
            <v>#DIV/0!</v>
          </cell>
          <cell r="T69" t="e">
            <v>#DIV/0!</v>
          </cell>
          <cell r="U69">
            <v>0.25988700564971751</v>
          </cell>
          <cell r="V69">
            <v>0.26341463414634148</v>
          </cell>
          <cell r="W69">
            <v>0</v>
          </cell>
          <cell r="X69">
            <v>-3.527628496623969E-3</v>
          </cell>
          <cell r="Y69">
            <v>0.25988700564971751</v>
          </cell>
        </row>
        <row r="70">
          <cell r="B70" t="str">
            <v>Ave Sales (Total Sale/No of Trans) (S$)</v>
          </cell>
          <cell r="E70">
            <v>4.84375</v>
          </cell>
          <cell r="F70">
            <v>5.333333333333333</v>
          </cell>
          <cell r="G70">
            <v>4.6590909090909092</v>
          </cell>
          <cell r="H70">
            <v>4.84375</v>
          </cell>
          <cell r="I70">
            <v>4.8529411764705879</v>
          </cell>
          <cell r="J70">
            <v>5.3409090909090908</v>
          </cell>
          <cell r="K70">
            <v>4.84375</v>
          </cell>
          <cell r="L70">
            <v>5</v>
          </cell>
          <cell r="M70">
            <v>4.7727272727272725</v>
          </cell>
          <cell r="N70">
            <v>4.2105263157894735</v>
          </cell>
          <cell r="O70">
            <v>5.5625</v>
          </cell>
          <cell r="P70">
            <v>3.8461538461538463</v>
          </cell>
          <cell r="Q70" t="str">
            <v/>
          </cell>
          <cell r="R70">
            <v>0</v>
          </cell>
          <cell r="S70">
            <v>0</v>
          </cell>
          <cell r="T70">
            <v>0</v>
          </cell>
          <cell r="U70">
            <v>4.8097826086956523</v>
          </cell>
          <cell r="V70">
            <v>4.9011841666666669</v>
          </cell>
          <cell r="W70" t="str">
            <v>N.A.</v>
          </cell>
          <cell r="X70">
            <v>-9.1401557971014569E-2</v>
          </cell>
          <cell r="Y70" t="str">
            <v>N.A.</v>
          </cell>
        </row>
        <row r="71">
          <cell r="B71" t="str">
            <v xml:space="preserve">Total Concession Combo Sales </v>
          </cell>
          <cell r="E71">
            <v>30</v>
          </cell>
          <cell r="F71">
            <v>31</v>
          </cell>
          <cell r="G71">
            <v>44</v>
          </cell>
          <cell r="H71">
            <v>31</v>
          </cell>
          <cell r="I71">
            <v>35</v>
          </cell>
          <cell r="J71">
            <v>50</v>
          </cell>
          <cell r="K71">
            <v>30</v>
          </cell>
          <cell r="L71">
            <v>35</v>
          </cell>
          <cell r="M71">
            <v>46</v>
          </cell>
          <cell r="N71">
            <v>34</v>
          </cell>
          <cell r="O71">
            <v>46</v>
          </cell>
          <cell r="P71">
            <v>45</v>
          </cell>
          <cell r="Q71" t="str">
            <v/>
          </cell>
          <cell r="R71">
            <v>71.703000000000003</v>
          </cell>
          <cell r="S71">
            <v>72.703000000000003</v>
          </cell>
          <cell r="T71">
            <v>73.703000000000003</v>
          </cell>
          <cell r="U71">
            <v>457</v>
          </cell>
          <cell r="V71">
            <v>550</v>
          </cell>
          <cell r="W71">
            <v>0</v>
          </cell>
          <cell r="X71">
            <v>-93</v>
          </cell>
          <cell r="Y71">
            <v>457</v>
          </cell>
        </row>
        <row r="72">
          <cell r="B72" t="str">
            <v>Combo Sales as % of Total Sales</v>
          </cell>
          <cell r="E72">
            <v>0.38709677419354838</v>
          </cell>
          <cell r="F72">
            <v>0.38750000000000001</v>
          </cell>
          <cell r="G72">
            <v>0.42926829268292682</v>
          </cell>
          <cell r="H72">
            <v>0.4</v>
          </cell>
          <cell r="I72">
            <v>0.42424242424242425</v>
          </cell>
          <cell r="J72">
            <v>0.42553191489361702</v>
          </cell>
          <cell r="K72">
            <v>0.38709677419354838</v>
          </cell>
          <cell r="L72">
            <v>0.36842105263157893</v>
          </cell>
          <cell r="M72">
            <v>0.43809523809523809</v>
          </cell>
          <cell r="N72">
            <v>0.42499999999999999</v>
          </cell>
          <cell r="O72">
            <v>0.41348314606741571</v>
          </cell>
          <cell r="P72">
            <v>0.45</v>
          </cell>
          <cell r="Q72" t="str">
            <v/>
          </cell>
          <cell r="R72" t="e">
            <v>#DIV/0!</v>
          </cell>
          <cell r="S72" t="e">
            <v>#DIV/0!</v>
          </cell>
          <cell r="T72" t="e">
            <v>#DIV/0!</v>
          </cell>
          <cell r="U72">
            <v>0.41310734463276838</v>
          </cell>
          <cell r="V72">
            <v>0.51952675306793294</v>
          </cell>
          <cell r="W72">
            <v>0</v>
          </cell>
          <cell r="X72">
            <v>-0.10641940843516456</v>
          </cell>
          <cell r="Y72">
            <v>0.41310734463276838</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Q73" t="str">
            <v/>
          </cell>
          <cell r="R73">
            <v>6.0760000000000005</v>
          </cell>
          <cell r="S73">
            <v>6.0760000000000005</v>
          </cell>
          <cell r="T73">
            <v>6.0760000000000005</v>
          </cell>
          <cell r="U73">
            <v>69.617000000000004</v>
          </cell>
          <cell r="V73">
            <v>68</v>
          </cell>
          <cell r="W73">
            <v>0</v>
          </cell>
          <cell r="X73">
            <v>1.6170000000000044</v>
          </cell>
          <cell r="Y73">
            <v>69.617000000000004</v>
          </cell>
        </row>
        <row r="74">
          <cell r="B74" t="str">
            <v>Admissions/labour hour paid</v>
          </cell>
          <cell r="E74">
            <v>13.451941852896507</v>
          </cell>
          <cell r="F74">
            <v>12.576144625663193</v>
          </cell>
          <cell r="G74">
            <v>11.714285714285714</v>
          </cell>
          <cell r="H74">
            <v>13.006083490664988</v>
          </cell>
          <cell r="I74">
            <v>13.2</v>
          </cell>
          <cell r="J74">
            <v>13.428571428571429</v>
          </cell>
          <cell r="K74">
            <v>10.204081632653061</v>
          </cell>
          <cell r="L74">
            <v>15.2</v>
          </cell>
          <cell r="M74">
            <v>12</v>
          </cell>
          <cell r="N74">
            <v>12.8</v>
          </cell>
          <cell r="O74">
            <v>12.714285714285714</v>
          </cell>
          <cell r="P74">
            <v>13.166556945358787</v>
          </cell>
          <cell r="Q74" t="str">
            <v/>
          </cell>
          <cell r="R74">
            <v>0</v>
          </cell>
          <cell r="S74">
            <v>0</v>
          </cell>
          <cell r="T74">
            <v>0</v>
          </cell>
          <cell r="U74">
            <v>12.712412198169986</v>
          </cell>
          <cell r="V74">
            <v>12.058823529411764</v>
          </cell>
          <cell r="W74" t="str">
            <v>N.A.</v>
          </cell>
          <cell r="X74">
            <v>0.6535886687582213</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46.892529999999994</v>
          </cell>
          <cell r="W77">
            <v>3.8690000000000002</v>
          </cell>
          <cell r="X77">
            <v>-19.705029999999994</v>
          </cell>
          <cell r="Y77">
            <v>23.3185</v>
          </cell>
        </row>
        <row r="78">
          <cell r="A78">
            <v>53</v>
          </cell>
          <cell r="B78" t="str">
            <v>Auditorium Rentals</v>
          </cell>
          <cell r="E78">
            <v>2.5</v>
          </cell>
          <cell r="F78">
            <v>2.5</v>
          </cell>
          <cell r="G78">
            <v>2.5</v>
          </cell>
          <cell r="H78">
            <v>2.5</v>
          </cell>
          <cell r="I78">
            <v>2.5</v>
          </cell>
          <cell r="J78">
            <v>2.5</v>
          </cell>
          <cell r="K78">
            <v>2.5</v>
          </cell>
          <cell r="L78">
            <v>2.5</v>
          </cell>
          <cell r="M78">
            <v>2.5</v>
          </cell>
          <cell r="N78">
            <v>2.5</v>
          </cell>
          <cell r="O78">
            <v>2.5</v>
          </cell>
          <cell r="P78">
            <v>2.5</v>
          </cell>
          <cell r="T78">
            <v>0</v>
          </cell>
          <cell r="U78">
            <v>30</v>
          </cell>
          <cell r="V78">
            <v>26.965</v>
          </cell>
          <cell r="W78">
            <v>3.2970000000000002</v>
          </cell>
          <cell r="X78">
            <v>3.0350000000000001</v>
          </cell>
          <cell r="Y78">
            <v>26.702999999999999</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55.29</v>
          </cell>
          <cell r="W82">
            <v>54.024000000000001</v>
          </cell>
          <cell r="X82">
            <v>-17.225999999999999</v>
          </cell>
          <cell r="Y82">
            <v>-15.96</v>
          </cell>
        </row>
        <row r="83">
          <cell r="C83">
            <v>0</v>
          </cell>
          <cell r="E83">
            <v>7.9376250000000006</v>
          </cell>
          <cell r="F83">
            <v>7.9376250000000006</v>
          </cell>
          <cell r="G83">
            <v>7.9376250000000006</v>
          </cell>
          <cell r="H83">
            <v>7.9376250000000006</v>
          </cell>
          <cell r="I83">
            <v>7.9376250000000006</v>
          </cell>
          <cell r="J83">
            <v>7.9376250000000006</v>
          </cell>
          <cell r="K83">
            <v>7.9376250000000006</v>
          </cell>
          <cell r="L83">
            <v>7.9376250000000006</v>
          </cell>
          <cell r="M83">
            <v>7.9376250000000006</v>
          </cell>
          <cell r="N83">
            <v>7.9376250000000006</v>
          </cell>
          <cell r="O83">
            <v>7.9376250000000006</v>
          </cell>
          <cell r="P83">
            <v>7.9376250000000006</v>
          </cell>
          <cell r="R83">
            <v>0</v>
          </cell>
          <cell r="S83">
            <v>0</v>
          </cell>
          <cell r="T83">
            <v>0</v>
          </cell>
          <cell r="U83">
            <v>95.251499999999993</v>
          </cell>
          <cell r="V83">
            <v>129.14752999999999</v>
          </cell>
          <cell r="W83">
            <v>61.19</v>
          </cell>
          <cell r="X83">
            <v>-33.896029999999996</v>
          </cell>
          <cell r="Y83">
            <v>34.061499999999995</v>
          </cell>
        </row>
        <row r="84">
          <cell r="X84" t="str">
            <v/>
          </cell>
          <cell r="Y84" t="str">
            <v/>
          </cell>
        </row>
        <row r="85">
          <cell r="B85" t="str">
            <v>10 Other Cost</v>
          </cell>
          <cell r="X85" t="str">
            <v/>
          </cell>
          <cell r="Y85" t="str">
            <v/>
          </cell>
        </row>
        <row r="86">
          <cell r="A86">
            <v>61</v>
          </cell>
          <cell r="B86" t="str">
            <v>Authors Rights</v>
          </cell>
          <cell r="E86">
            <v>0.82088000000000005</v>
          </cell>
          <cell r="F86">
            <v>0.84736</v>
          </cell>
          <cell r="G86">
            <v>1.08568</v>
          </cell>
          <cell r="H86">
            <v>0.82088000000000005</v>
          </cell>
          <cell r="I86">
            <v>0.87384000000000006</v>
          </cell>
          <cell r="J86">
            <v>1.2445599999999999</v>
          </cell>
          <cell r="K86">
            <v>0.82088000000000005</v>
          </cell>
          <cell r="L86">
            <v>1.00624</v>
          </cell>
          <cell r="M86">
            <v>1.11216</v>
          </cell>
          <cell r="N86">
            <v>0.84736</v>
          </cell>
          <cell r="O86">
            <v>1.1783600000000001</v>
          </cell>
          <cell r="P86">
            <v>1.0592000000000001</v>
          </cell>
          <cell r="U86">
            <v>11.7174</v>
          </cell>
          <cell r="V86">
            <v>10.894426640000002</v>
          </cell>
          <cell r="W86">
            <v>13.751932000000002</v>
          </cell>
          <cell r="X86">
            <v>0.8229733599999971</v>
          </cell>
          <cell r="Y86">
            <v>-2.0345320000000022</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0.82088000000000005</v>
          </cell>
          <cell r="F91">
            <v>0.84736</v>
          </cell>
          <cell r="G91">
            <v>1.08568</v>
          </cell>
          <cell r="H91">
            <v>0.82088000000000005</v>
          </cell>
          <cell r="I91">
            <v>0.87384000000000006</v>
          </cell>
          <cell r="J91">
            <v>1.2445599999999999</v>
          </cell>
          <cell r="K91">
            <v>0.82088000000000005</v>
          </cell>
          <cell r="L91">
            <v>1.00624</v>
          </cell>
          <cell r="M91">
            <v>1.11216</v>
          </cell>
          <cell r="N91">
            <v>0.84736</v>
          </cell>
          <cell r="O91">
            <v>1.1783600000000001</v>
          </cell>
          <cell r="P91">
            <v>1.0592000000000001</v>
          </cell>
          <cell r="U91">
            <v>11.7174</v>
          </cell>
          <cell r="V91">
            <v>10.894426640000002</v>
          </cell>
          <cell r="W91">
            <v>13.751932000000002</v>
          </cell>
          <cell r="X91">
            <v>0.8229733599999971</v>
          </cell>
          <cell r="Y91">
            <v>-2.0345320000000022</v>
          </cell>
        </row>
        <row r="92">
          <cell r="X92" t="str">
            <v/>
          </cell>
          <cell r="Y92" t="str">
            <v/>
          </cell>
        </row>
        <row r="93">
          <cell r="B93" t="str">
            <v>11 Direct Payroll</v>
          </cell>
          <cell r="X93" t="str">
            <v/>
          </cell>
          <cell r="Y93" t="str">
            <v/>
          </cell>
        </row>
        <row r="94">
          <cell r="A94">
            <v>66</v>
          </cell>
          <cell r="B94" t="str">
            <v>Salaries</v>
          </cell>
          <cell r="E94">
            <v>35.670478995862062</v>
          </cell>
          <cell r="F94">
            <v>35.670478995862062</v>
          </cell>
          <cell r="G94">
            <v>36.770478995862064</v>
          </cell>
          <cell r="H94">
            <v>35.670478995862062</v>
          </cell>
          <cell r="I94">
            <v>35.670478995862062</v>
          </cell>
          <cell r="J94">
            <v>36.770478995862064</v>
          </cell>
          <cell r="K94">
            <v>36.382764573712066</v>
          </cell>
          <cell r="L94">
            <v>36.382764573712066</v>
          </cell>
          <cell r="M94">
            <v>37.482764573712068</v>
          </cell>
          <cell r="N94">
            <v>36.382764573712066</v>
          </cell>
          <cell r="O94">
            <v>37.482764573712068</v>
          </cell>
          <cell r="P94">
            <v>37.482764573712068</v>
          </cell>
          <cell r="Q94" t="str">
            <v xml:space="preserve"> </v>
          </cell>
          <cell r="T94">
            <v>0</v>
          </cell>
          <cell r="U94">
            <v>437.81946141744476</v>
          </cell>
          <cell r="V94">
            <v>502.37193500000001</v>
          </cell>
          <cell r="W94">
            <v>640.92899999999997</v>
          </cell>
          <cell r="X94">
            <v>-64.552473582555251</v>
          </cell>
          <cell r="Y94">
            <v>-203.10953858255522</v>
          </cell>
        </row>
        <row r="95">
          <cell r="A95">
            <v>67</v>
          </cell>
          <cell r="B95" t="str">
            <v>Bonus/Commission</v>
          </cell>
          <cell r="E95">
            <v>1.5359745833333331</v>
          </cell>
          <cell r="F95">
            <v>1.5359745833333331</v>
          </cell>
          <cell r="G95">
            <v>1.5359745833333331</v>
          </cell>
          <cell r="H95">
            <v>1.5359745833333331</v>
          </cell>
          <cell r="I95">
            <v>1.5359745833333331</v>
          </cell>
          <cell r="J95">
            <v>1.5359745833333331</v>
          </cell>
          <cell r="K95">
            <v>1.5359745833333331</v>
          </cell>
          <cell r="L95">
            <v>1.5359745833333331</v>
          </cell>
          <cell r="M95">
            <v>1.5359745833333331</v>
          </cell>
          <cell r="N95">
            <v>1.5359745833333331</v>
          </cell>
          <cell r="O95">
            <v>1.5359745833333331</v>
          </cell>
          <cell r="P95">
            <v>1.5359745833333331</v>
          </cell>
          <cell r="Q95" t="str">
            <v xml:space="preserve"> </v>
          </cell>
          <cell r="T95">
            <v>0</v>
          </cell>
          <cell r="U95">
            <v>18.431694999999998</v>
          </cell>
          <cell r="V95">
            <v>24.458890000000004</v>
          </cell>
          <cell r="W95">
            <v>39.375999999999998</v>
          </cell>
          <cell r="X95">
            <v>-6.0271950000000061</v>
          </cell>
          <cell r="Y95">
            <v>-20.944305</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Q96" t="str">
            <v xml:space="preserve"> </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Q97" t="str">
            <v xml:space="preserve"> </v>
          </cell>
          <cell r="T97">
            <v>0</v>
          </cell>
          <cell r="U97">
            <v>6.6360000000000001</v>
          </cell>
          <cell r="V97">
            <v>9.9864999999999977</v>
          </cell>
          <cell r="W97">
            <v>18.306000000000001</v>
          </cell>
          <cell r="X97">
            <v>-3.3504999999999976</v>
          </cell>
          <cell r="Y97">
            <v>-11.67</v>
          </cell>
        </row>
        <row r="98">
          <cell r="A98">
            <v>70</v>
          </cell>
          <cell r="B98" t="str">
            <v>Miscellaneous</v>
          </cell>
          <cell r="E98">
            <v>0.628</v>
          </cell>
          <cell r="F98">
            <v>0.628</v>
          </cell>
          <cell r="G98">
            <v>0.628</v>
          </cell>
          <cell r="H98">
            <v>0.628</v>
          </cell>
          <cell r="I98">
            <v>0.628</v>
          </cell>
          <cell r="J98">
            <v>0.628</v>
          </cell>
          <cell r="K98">
            <v>0.628</v>
          </cell>
          <cell r="L98">
            <v>0.628</v>
          </cell>
          <cell r="M98">
            <v>0.628</v>
          </cell>
          <cell r="N98">
            <v>0.628</v>
          </cell>
          <cell r="O98">
            <v>0.628</v>
          </cell>
          <cell r="P98">
            <v>0.628</v>
          </cell>
          <cell r="Q98" t="str">
            <v xml:space="preserve"> </v>
          </cell>
          <cell r="T98">
            <v>0</v>
          </cell>
          <cell r="U98">
            <v>7.5360000000000005</v>
          </cell>
          <cell r="V98">
            <v>8.3396799999999995</v>
          </cell>
          <cell r="W98">
            <v>15.022</v>
          </cell>
          <cell r="X98">
            <v>-0.80367999999999906</v>
          </cell>
          <cell r="Y98">
            <v>-7.4859999999999998</v>
          </cell>
        </row>
        <row r="99">
          <cell r="C99">
            <v>0</v>
          </cell>
          <cell r="E99">
            <v>38.387453579195395</v>
          </cell>
          <cell r="F99">
            <v>38.387453579195395</v>
          </cell>
          <cell r="G99">
            <v>39.487453579195396</v>
          </cell>
          <cell r="H99">
            <v>38.387453579195395</v>
          </cell>
          <cell r="I99">
            <v>38.387453579195395</v>
          </cell>
          <cell r="J99">
            <v>39.487453579195396</v>
          </cell>
          <cell r="K99">
            <v>39.099739157045398</v>
          </cell>
          <cell r="L99">
            <v>39.099739157045398</v>
          </cell>
          <cell r="M99">
            <v>40.1997391570454</v>
          </cell>
          <cell r="N99">
            <v>39.099739157045398</v>
          </cell>
          <cell r="O99">
            <v>40.1997391570454</v>
          </cell>
          <cell r="P99">
            <v>40.1997391570454</v>
          </cell>
          <cell r="Q99" t="str">
            <v xml:space="preserve"> </v>
          </cell>
          <cell r="R99">
            <v>0</v>
          </cell>
          <cell r="S99">
            <v>0</v>
          </cell>
          <cell r="T99">
            <v>0</v>
          </cell>
          <cell r="U99">
            <v>470.42315641744477</v>
          </cell>
          <cell r="V99">
            <v>545.15700500000003</v>
          </cell>
          <cell r="W99">
            <v>713.63300000000004</v>
          </cell>
          <cell r="X99">
            <v>-74.733848582555254</v>
          </cell>
          <cell r="Y99">
            <v>-243.20984358255527</v>
          </cell>
        </row>
        <row r="100">
          <cell r="Q100" t="str">
            <v xml:space="preserve"> </v>
          </cell>
          <cell r="X100" t="str">
            <v/>
          </cell>
          <cell r="Y100" t="str">
            <v/>
          </cell>
        </row>
        <row r="101">
          <cell r="B101" t="str">
            <v>16 Other Overhead Costs</v>
          </cell>
          <cell r="Q101" t="str">
            <v xml:space="preserve"> </v>
          </cell>
          <cell r="X101" t="str">
            <v/>
          </cell>
          <cell r="Y101" t="str">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Q102" t="str">
            <v xml:space="preserve"> </v>
          </cell>
          <cell r="T102">
            <v>0</v>
          </cell>
          <cell r="U102">
            <v>15.6</v>
          </cell>
          <cell r="V102">
            <v>15.712970000000006</v>
          </cell>
          <cell r="W102">
            <v>18.341999999999999</v>
          </cell>
          <cell r="X102">
            <v>-0.11297000000000246</v>
          </cell>
          <cell r="Y102">
            <v>-2.7419999999999956</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Q103" t="str">
            <v xml:space="preserve"> </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21.268763333333332</v>
          </cell>
          <cell r="W104">
            <v>25.375</v>
          </cell>
          <cell r="X104">
            <v>2.7312366666666676</v>
          </cell>
          <cell r="Y104">
            <v>-1.375</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10.095800000000001</v>
          </cell>
          <cell r="W105">
            <v>11.21</v>
          </cell>
          <cell r="X105">
            <v>1.9041999999999994</v>
          </cell>
          <cell r="Y105">
            <v>0.78999999999999915</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6.6429699999999992</v>
          </cell>
          <cell r="W106">
            <v>0</v>
          </cell>
          <cell r="X106">
            <v>-0.64296999999999915</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0.36</v>
          </cell>
          <cell r="F108">
            <v>0.36</v>
          </cell>
          <cell r="G108">
            <v>0.36</v>
          </cell>
          <cell r="H108">
            <v>0.36</v>
          </cell>
          <cell r="I108">
            <v>0.36</v>
          </cell>
          <cell r="J108">
            <v>0.36</v>
          </cell>
          <cell r="K108">
            <v>0.36</v>
          </cell>
          <cell r="L108">
            <v>0.36</v>
          </cell>
          <cell r="M108">
            <v>0.36</v>
          </cell>
          <cell r="N108">
            <v>0.36</v>
          </cell>
          <cell r="O108">
            <v>0.36</v>
          </cell>
          <cell r="P108">
            <v>0.36</v>
          </cell>
          <cell r="T108">
            <v>0</v>
          </cell>
          <cell r="U108">
            <v>4.32</v>
          </cell>
          <cell r="V108">
            <v>6.5681123999999969</v>
          </cell>
          <cell r="W108">
            <v>20.073067999999999</v>
          </cell>
          <cell r="X108">
            <v>-2.2481123999999975</v>
          </cell>
          <cell r="Y108">
            <v>-15.753067999999999</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6.6736800000000001</v>
          </cell>
          <cell r="F111">
            <v>6.6736800000000001</v>
          </cell>
          <cell r="G111">
            <v>6.4584000000000001</v>
          </cell>
          <cell r="H111">
            <v>6.6736800000000001</v>
          </cell>
          <cell r="I111">
            <v>6.4584000000000001</v>
          </cell>
          <cell r="J111">
            <v>6.6736800000000001</v>
          </cell>
          <cell r="K111">
            <v>6.6736800000000001</v>
          </cell>
          <cell r="L111">
            <v>8.5278400000000012</v>
          </cell>
          <cell r="M111">
            <v>6.6736800000000001</v>
          </cell>
          <cell r="N111">
            <v>6.4584000000000001</v>
          </cell>
          <cell r="O111">
            <v>6.6736800000000001</v>
          </cell>
          <cell r="P111">
            <v>6.4584000000000001</v>
          </cell>
          <cell r="T111">
            <v>0</v>
          </cell>
          <cell r="U111">
            <v>81.077200000000005</v>
          </cell>
          <cell r="V111">
            <v>113.20794000000001</v>
          </cell>
          <cell r="W111">
            <v>169.8</v>
          </cell>
          <cell r="X111">
            <v>-32.130740000000003</v>
          </cell>
          <cell r="Y111">
            <v>-88.722800000000007</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53.916430000000005</v>
          </cell>
          <cell r="W112">
            <v>38.929000000000002</v>
          </cell>
          <cell r="X112">
            <v>-5.9164300000000054</v>
          </cell>
          <cell r="Y112">
            <v>9.070999999999998</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7.3634400000000007</v>
          </cell>
          <cell r="W113">
            <v>7.016</v>
          </cell>
          <cell r="X113">
            <v>-0.16344000000000225</v>
          </cell>
          <cell r="Y113">
            <v>0.18399999999999839</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6.48</v>
          </cell>
          <cell r="W114">
            <v>3.9990000000000001</v>
          </cell>
          <cell r="X114">
            <v>-4.08</v>
          </cell>
          <cell r="Y114">
            <v>-1.5990000000000002</v>
          </cell>
        </row>
        <row r="115">
          <cell r="A115">
            <v>84</v>
          </cell>
          <cell r="B115" t="str">
            <v>Freight</v>
          </cell>
          <cell r="E115">
            <v>0.50309999999999999</v>
          </cell>
          <cell r="F115">
            <v>0.50309999999999999</v>
          </cell>
          <cell r="G115">
            <v>0.50309999999999999</v>
          </cell>
          <cell r="H115">
            <v>0.50309999999999999</v>
          </cell>
          <cell r="I115">
            <v>0.50309999999999999</v>
          </cell>
          <cell r="J115">
            <v>0.50309999999999999</v>
          </cell>
          <cell r="K115">
            <v>0.50309999999999999</v>
          </cell>
          <cell r="L115">
            <v>0.50309999999999999</v>
          </cell>
          <cell r="M115">
            <v>0.50309999999999999</v>
          </cell>
          <cell r="N115">
            <v>0.50309999999999999</v>
          </cell>
          <cell r="O115">
            <v>0.50309999999999999</v>
          </cell>
          <cell r="P115">
            <v>0.50309999999999999</v>
          </cell>
          <cell r="T115">
            <v>0</v>
          </cell>
          <cell r="U115">
            <v>6.0371999999999995</v>
          </cell>
          <cell r="V115">
            <v>5.3740999999999985</v>
          </cell>
          <cell r="W115">
            <v>4.51</v>
          </cell>
          <cell r="X115">
            <v>0.66310000000000091</v>
          </cell>
          <cell r="Y115">
            <v>1.5271999999999997</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1.4</v>
          </cell>
          <cell r="F117">
            <v>1.4</v>
          </cell>
          <cell r="G117">
            <v>1.4</v>
          </cell>
          <cell r="H117">
            <v>1.4</v>
          </cell>
          <cell r="I117">
            <v>1.4</v>
          </cell>
          <cell r="J117">
            <v>1.4</v>
          </cell>
          <cell r="K117">
            <v>1.4</v>
          </cell>
          <cell r="L117">
            <v>1.4</v>
          </cell>
          <cell r="M117">
            <v>1.4</v>
          </cell>
          <cell r="N117">
            <v>1.4</v>
          </cell>
          <cell r="O117">
            <v>1.4</v>
          </cell>
          <cell r="P117">
            <v>1.4</v>
          </cell>
          <cell r="T117">
            <v>0</v>
          </cell>
          <cell r="U117">
            <v>16.8</v>
          </cell>
          <cell r="V117">
            <v>15.239010000000002</v>
          </cell>
          <cell r="W117">
            <v>20.126999999999999</v>
          </cell>
          <cell r="X117">
            <v>1.5609899999999985</v>
          </cell>
          <cell r="Y117">
            <v>-3.3269999999999982</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0.50887453579195396</v>
          </cell>
          <cell r="F119">
            <v>0.50887453579195396</v>
          </cell>
          <cell r="G119">
            <v>0.51987453579195408</v>
          </cell>
          <cell r="H119">
            <v>0.50887453579195396</v>
          </cell>
          <cell r="I119">
            <v>0.50887453579195396</v>
          </cell>
          <cell r="J119">
            <v>0.51987453579195408</v>
          </cell>
          <cell r="K119">
            <v>0.5159973915704541</v>
          </cell>
          <cell r="L119">
            <v>0.5159973915704541</v>
          </cell>
          <cell r="M119">
            <v>0.52699739157045411</v>
          </cell>
          <cell r="N119">
            <v>0.5159973915704541</v>
          </cell>
          <cell r="O119">
            <v>0.52699739157045411</v>
          </cell>
          <cell r="P119">
            <v>0.52699739157045411</v>
          </cell>
          <cell r="T119">
            <v>0</v>
          </cell>
          <cell r="U119">
            <v>6.2042315641744477</v>
          </cell>
          <cell r="V119">
            <v>6.1559999999999997</v>
          </cell>
          <cell r="W119">
            <v>10.753</v>
          </cell>
          <cell r="X119">
            <v>4.8231564174447961E-2</v>
          </cell>
          <cell r="Y119">
            <v>-4.5487684358255525</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8.8000000000000007</v>
          </cell>
          <cell r="W120">
            <v>15.6</v>
          </cell>
          <cell r="X120">
            <v>6.8</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11.74</v>
          </cell>
          <cell r="W124">
            <v>2.3389999999999986</v>
          </cell>
          <cell r="X124">
            <v>-8.14</v>
          </cell>
          <cell r="Y124">
            <v>1.2610000000000006</v>
          </cell>
        </row>
        <row r="125">
          <cell r="C125">
            <v>0</v>
          </cell>
          <cell r="E125">
            <v>20.645654535791955</v>
          </cell>
          <cell r="F125">
            <v>20.645654535791955</v>
          </cell>
          <cell r="G125">
            <v>20.441374535791955</v>
          </cell>
          <cell r="H125">
            <v>20.645654535791955</v>
          </cell>
          <cell r="I125">
            <v>20.430374535791955</v>
          </cell>
          <cell r="J125">
            <v>20.656654535791954</v>
          </cell>
          <cell r="K125">
            <v>20.652777391570456</v>
          </cell>
          <cell r="L125">
            <v>22.506937391570457</v>
          </cell>
          <cell r="M125">
            <v>20.663777391570456</v>
          </cell>
          <cell r="N125">
            <v>20.437497391570457</v>
          </cell>
          <cell r="O125">
            <v>20.663777391570456</v>
          </cell>
          <cell r="P125">
            <v>20.448497391570456</v>
          </cell>
          <cell r="R125">
            <v>0</v>
          </cell>
          <cell r="S125">
            <v>0</v>
          </cell>
          <cell r="T125">
            <v>0</v>
          </cell>
          <cell r="U125">
            <v>248.83863156417448</v>
          </cell>
          <cell r="V125">
            <v>288.56553573333338</v>
          </cell>
          <cell r="W125">
            <v>348.07306800000003</v>
          </cell>
          <cell r="X125">
            <v>-39.7269041691589</v>
          </cell>
          <cell r="Y125">
            <v>-99.234436435825558</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cell>
          <cell r="Y132" t="str">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34" refreshError="1">
        <row r="11">
          <cell r="A11">
            <v>1</v>
          </cell>
          <cell r="B11" t="str">
            <v>Net Film Revenue</v>
          </cell>
          <cell r="E11">
            <v>355.1</v>
          </cell>
          <cell r="F11">
            <v>361.8</v>
          </cell>
          <cell r="G11">
            <v>509.2</v>
          </cell>
          <cell r="H11">
            <v>368.5</v>
          </cell>
          <cell r="I11">
            <v>415.4</v>
          </cell>
          <cell r="J11">
            <v>636.5</v>
          </cell>
          <cell r="K11">
            <v>335</v>
          </cell>
          <cell r="L11">
            <v>435.5</v>
          </cell>
          <cell r="M11">
            <v>509.2</v>
          </cell>
          <cell r="N11">
            <v>375.2</v>
          </cell>
          <cell r="O11">
            <v>522.6</v>
          </cell>
          <cell r="P11">
            <v>502.5</v>
          </cell>
          <cell r="Q11">
            <v>0</v>
          </cell>
          <cell r="T11">
            <v>0</v>
          </cell>
          <cell r="U11">
            <v>5326.5</v>
          </cell>
          <cell r="V11">
            <v>5084.3237399999989</v>
          </cell>
          <cell r="W11">
            <v>6344.5050000000001</v>
          </cell>
          <cell r="X11">
            <v>242.17626000000109</v>
          </cell>
          <cell r="Y11">
            <v>-1018.005</v>
          </cell>
        </row>
        <row r="12">
          <cell r="A12">
            <v>2</v>
          </cell>
          <cell r="B12" t="str">
            <v>Concession Sales</v>
          </cell>
          <cell r="E12">
            <v>71.55</v>
          </cell>
          <cell r="F12">
            <v>72.900000000000006</v>
          </cell>
          <cell r="G12">
            <v>102.6</v>
          </cell>
          <cell r="H12">
            <v>74.25</v>
          </cell>
          <cell r="I12">
            <v>83.7</v>
          </cell>
          <cell r="J12">
            <v>128.25</v>
          </cell>
          <cell r="K12">
            <v>67.5</v>
          </cell>
          <cell r="L12">
            <v>87.75</v>
          </cell>
          <cell r="M12">
            <v>102.6</v>
          </cell>
          <cell r="N12">
            <v>75.599999999999994</v>
          </cell>
          <cell r="O12">
            <v>105.3</v>
          </cell>
          <cell r="P12">
            <v>101.25</v>
          </cell>
          <cell r="T12">
            <v>0</v>
          </cell>
          <cell r="U12">
            <v>1073.25</v>
          </cell>
          <cell r="V12">
            <v>724.73797000000002</v>
          </cell>
          <cell r="W12">
            <v>821.76499999999999</v>
          </cell>
          <cell r="X12">
            <v>348.51202999999998</v>
          </cell>
          <cell r="Y12">
            <v>251.48500000000001</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380.91274000000004</v>
          </cell>
          <cell r="W15">
            <v>337.87099999999998</v>
          </cell>
          <cell r="X15">
            <v>-146.91274000000004</v>
          </cell>
          <cell r="Y15">
            <v>-103.87099999999998</v>
          </cell>
        </row>
        <row r="16">
          <cell r="A16">
            <v>6</v>
          </cell>
          <cell r="B16" t="str">
            <v>Other Income</v>
          </cell>
          <cell r="C16">
            <v>0</v>
          </cell>
          <cell r="E16">
            <v>7.4376250000000006</v>
          </cell>
          <cell r="F16">
            <v>7.4376250000000006</v>
          </cell>
          <cell r="G16">
            <v>7.4376250000000006</v>
          </cell>
          <cell r="H16">
            <v>7.4376250000000006</v>
          </cell>
          <cell r="I16">
            <v>7.4376250000000006</v>
          </cell>
          <cell r="J16">
            <v>7.4376250000000006</v>
          </cell>
          <cell r="K16">
            <v>7.4376250000000006</v>
          </cell>
          <cell r="L16">
            <v>7.4376250000000006</v>
          </cell>
          <cell r="M16">
            <v>7.4376250000000006</v>
          </cell>
          <cell r="N16">
            <v>7.4376250000000006</v>
          </cell>
          <cell r="O16">
            <v>7.4376250000000006</v>
          </cell>
          <cell r="P16">
            <v>7.4376250000000006</v>
          </cell>
          <cell r="R16">
            <v>0</v>
          </cell>
          <cell r="S16">
            <v>0</v>
          </cell>
          <cell r="T16">
            <v>0</v>
          </cell>
          <cell r="U16">
            <v>89.251499999999979</v>
          </cell>
          <cell r="V16">
            <v>186.51553000000001</v>
          </cell>
          <cell r="W16">
            <v>129.892</v>
          </cell>
          <cell r="X16">
            <v>-97.264030000000034</v>
          </cell>
          <cell r="Y16">
            <v>-40.640500000000017</v>
          </cell>
        </row>
        <row r="17">
          <cell r="B17" t="str">
            <v>TOTAL REVENUE</v>
          </cell>
          <cell r="C17">
            <v>0</v>
          </cell>
          <cell r="E17">
            <v>453.58762500000006</v>
          </cell>
          <cell r="F17">
            <v>461.63762500000007</v>
          </cell>
          <cell r="G17">
            <v>638.73762499999998</v>
          </cell>
          <cell r="H17">
            <v>469.68762500000003</v>
          </cell>
          <cell r="I17">
            <v>526.03762500000005</v>
          </cell>
          <cell r="J17">
            <v>791.68762500000003</v>
          </cell>
          <cell r="K17">
            <v>429.43762500000003</v>
          </cell>
          <cell r="L17">
            <v>550.18762500000003</v>
          </cell>
          <cell r="M17">
            <v>638.73762499999998</v>
          </cell>
          <cell r="N17">
            <v>477.73762500000004</v>
          </cell>
          <cell r="O17">
            <v>654.83762500000012</v>
          </cell>
          <cell r="P17">
            <v>630.68762500000003</v>
          </cell>
          <cell r="R17">
            <v>0</v>
          </cell>
          <cell r="S17">
            <v>0</v>
          </cell>
          <cell r="T17">
            <v>0</v>
          </cell>
          <cell r="U17">
            <v>6723.0015000000003</v>
          </cell>
          <cell r="V17">
            <v>6376.4899799999985</v>
          </cell>
          <cell r="W17">
            <v>7634.0330000000004</v>
          </cell>
          <cell r="X17">
            <v>346.51152000000184</v>
          </cell>
          <cell r="Y17">
            <v>-911.03150000000005</v>
          </cell>
        </row>
        <row r="19">
          <cell r="A19">
            <v>7</v>
          </cell>
          <cell r="B19" t="str">
            <v>Film Hire</v>
          </cell>
          <cell r="E19">
            <v>165.12150000000003</v>
          </cell>
          <cell r="F19">
            <v>168.23700000000002</v>
          </cell>
          <cell r="G19">
            <v>236.77800000000002</v>
          </cell>
          <cell r="H19">
            <v>171.35249999999999</v>
          </cell>
          <cell r="I19">
            <v>193.16100000000003</v>
          </cell>
          <cell r="J19">
            <v>295.97250000000003</v>
          </cell>
          <cell r="K19">
            <v>155.77500000000001</v>
          </cell>
          <cell r="L19">
            <v>202.50749999999999</v>
          </cell>
          <cell r="M19">
            <v>236.77800000000002</v>
          </cell>
          <cell r="N19">
            <v>174.46800000000002</v>
          </cell>
          <cell r="O19">
            <v>243.00900000000001</v>
          </cell>
          <cell r="P19">
            <v>233.66249999999999</v>
          </cell>
          <cell r="U19">
            <v>2476.8225000000002</v>
          </cell>
          <cell r="V19">
            <v>2384.6974422500002</v>
          </cell>
          <cell r="W19">
            <v>2958.9290000000001</v>
          </cell>
          <cell r="X19">
            <v>92.125057749999996</v>
          </cell>
          <cell r="Y19">
            <v>-482.10649999999987</v>
          </cell>
        </row>
        <row r="20">
          <cell r="A20">
            <v>8</v>
          </cell>
          <cell r="B20" t="str">
            <v>Concession Cost</v>
          </cell>
          <cell r="E20">
            <v>15.741000000000003</v>
          </cell>
          <cell r="F20">
            <v>16.038</v>
          </cell>
          <cell r="G20">
            <v>22.572000000000003</v>
          </cell>
          <cell r="H20">
            <v>16.335000000000001</v>
          </cell>
          <cell r="I20">
            <v>18.414000000000001</v>
          </cell>
          <cell r="J20">
            <v>28.215</v>
          </cell>
          <cell r="K20">
            <v>14.85</v>
          </cell>
          <cell r="L20">
            <v>19.305</v>
          </cell>
          <cell r="M20">
            <v>22.572000000000003</v>
          </cell>
          <cell r="N20">
            <v>16.632000000000001</v>
          </cell>
          <cell r="O20">
            <v>23.166000000000004</v>
          </cell>
          <cell r="P20">
            <v>22.274999999999999</v>
          </cell>
          <cell r="T20">
            <v>0</v>
          </cell>
          <cell r="U20">
            <v>236.11500000000001</v>
          </cell>
          <cell r="V20">
            <v>158.439877</v>
          </cell>
          <cell r="W20">
            <v>207.57400000000001</v>
          </cell>
          <cell r="X20">
            <v>77.675123000000042</v>
          </cell>
          <cell r="Y20">
            <v>28.541000000000025</v>
          </cell>
        </row>
        <row r="21">
          <cell r="A21">
            <v>9</v>
          </cell>
          <cell r="B21" t="str">
            <v>Less Concession Rebates</v>
          </cell>
          <cell r="E21">
            <v>-1.7887500000000001</v>
          </cell>
          <cell r="F21">
            <v>-1.8225</v>
          </cell>
          <cell r="G21">
            <v>-2.5649999999999999</v>
          </cell>
          <cell r="H21">
            <v>-1.85625</v>
          </cell>
          <cell r="I21">
            <v>-2.0924999999999998</v>
          </cell>
          <cell r="J21">
            <v>-3.2062499999999998</v>
          </cell>
          <cell r="K21">
            <v>-1.6875</v>
          </cell>
          <cell r="L21">
            <v>-2.1937500000000001</v>
          </cell>
          <cell r="M21">
            <v>-2.5649999999999999</v>
          </cell>
          <cell r="N21">
            <v>-1.89</v>
          </cell>
          <cell r="O21">
            <v>-2.6324999999999998</v>
          </cell>
          <cell r="P21">
            <v>-2.53125</v>
          </cell>
          <cell r="U21">
            <v>-26.831250000000001</v>
          </cell>
          <cell r="V21">
            <v>-23</v>
          </cell>
          <cell r="W21">
            <v>-32.57</v>
          </cell>
          <cell r="X21">
            <v>-3.8312500000000078</v>
          </cell>
          <cell r="Y21">
            <v>5.7387499999999925</v>
          </cell>
        </row>
        <row r="22">
          <cell r="A22">
            <v>10</v>
          </cell>
          <cell r="B22" t="str">
            <v>Advertising Cost</v>
          </cell>
          <cell r="E22">
            <v>8.1673000000000009</v>
          </cell>
          <cell r="F22">
            <v>8.3214000000000006</v>
          </cell>
          <cell r="G22">
            <v>11.711599999999999</v>
          </cell>
          <cell r="H22">
            <v>8.4755000000000003</v>
          </cell>
          <cell r="I22">
            <v>9.5541999999999998</v>
          </cell>
          <cell r="J22">
            <v>14.6395</v>
          </cell>
          <cell r="K22">
            <v>7.7050000000000001</v>
          </cell>
          <cell r="L22">
            <v>10.016500000000001</v>
          </cell>
          <cell r="M22">
            <v>11.711599999999999</v>
          </cell>
          <cell r="N22">
            <v>8.6295999999999999</v>
          </cell>
          <cell r="O22">
            <v>12.0198</v>
          </cell>
          <cell r="P22">
            <v>11.557499999999999</v>
          </cell>
          <cell r="T22">
            <v>0</v>
          </cell>
          <cell r="U22">
            <v>122.50950000000002</v>
          </cell>
          <cell r="V22">
            <v>107.36001564999999</v>
          </cell>
          <cell r="W22">
            <v>193.93600000000001</v>
          </cell>
          <cell r="X22">
            <v>15.149484350000023</v>
          </cell>
          <cell r="Y22">
            <v>-71.42649999999999</v>
          </cell>
        </row>
        <row r="23">
          <cell r="A23">
            <v>11</v>
          </cell>
          <cell r="B23" t="str">
            <v>Other Cost</v>
          </cell>
          <cell r="C23">
            <v>0</v>
          </cell>
          <cell r="E23">
            <v>0.71020000000000005</v>
          </cell>
          <cell r="F23">
            <v>0.72360000000000002</v>
          </cell>
          <cell r="G23">
            <v>1.0184</v>
          </cell>
          <cell r="H23">
            <v>0.73699999999999999</v>
          </cell>
          <cell r="I23">
            <v>0.83080000000000009</v>
          </cell>
          <cell r="J23">
            <v>1.2730000000000001</v>
          </cell>
          <cell r="K23">
            <v>0.67</v>
          </cell>
          <cell r="L23">
            <v>0.871</v>
          </cell>
          <cell r="M23">
            <v>1.0184</v>
          </cell>
          <cell r="N23">
            <v>0.75039999999999996</v>
          </cell>
          <cell r="O23">
            <v>1.0452000000000001</v>
          </cell>
          <cell r="P23">
            <v>1.0049999999999999</v>
          </cell>
          <cell r="R23">
            <v>0</v>
          </cell>
          <cell r="S23">
            <v>0</v>
          </cell>
          <cell r="T23">
            <v>0</v>
          </cell>
          <cell r="U23">
            <v>10.653000000000002</v>
          </cell>
          <cell r="V23">
            <v>10.168647479999999</v>
          </cell>
          <cell r="W23">
            <v>12.68901</v>
          </cell>
          <cell r="X23">
            <v>0.48435252000000339</v>
          </cell>
          <cell r="Y23">
            <v>-2.0360099999999974</v>
          </cell>
        </row>
        <row r="24">
          <cell r="A24">
            <v>12</v>
          </cell>
          <cell r="B24" t="str">
            <v>Direct Payroll</v>
          </cell>
          <cell r="C24">
            <v>0</v>
          </cell>
          <cell r="E24">
            <v>36.659433415229877</v>
          </cell>
          <cell r="F24">
            <v>36.659433415229877</v>
          </cell>
          <cell r="G24">
            <v>37.759433415229879</v>
          </cell>
          <cell r="H24">
            <v>36.659433415229877</v>
          </cell>
          <cell r="I24">
            <v>36.659433415229877</v>
          </cell>
          <cell r="J24">
            <v>37.759433415229879</v>
          </cell>
          <cell r="K24">
            <v>33.905524757729872</v>
          </cell>
          <cell r="L24">
            <v>33.905524757729872</v>
          </cell>
          <cell r="M24">
            <v>35.005524757729873</v>
          </cell>
          <cell r="N24">
            <v>33.905524757729872</v>
          </cell>
          <cell r="O24">
            <v>35.005524757729873</v>
          </cell>
          <cell r="P24">
            <v>35.005524757729873</v>
          </cell>
          <cell r="R24">
            <v>0</v>
          </cell>
          <cell r="S24">
            <v>0</v>
          </cell>
          <cell r="T24">
            <v>0</v>
          </cell>
          <cell r="U24">
            <v>428.88974903775852</v>
          </cell>
          <cell r="V24">
            <v>494.89811199999997</v>
          </cell>
          <cell r="W24">
            <v>676.95700000000011</v>
          </cell>
          <cell r="X24">
            <v>-66.008362962241449</v>
          </cell>
          <cell r="Y24">
            <v>-248.06725096224159</v>
          </cell>
        </row>
        <row r="25">
          <cell r="B25" t="str">
            <v>TOTAL COST</v>
          </cell>
          <cell r="C25">
            <v>0</v>
          </cell>
          <cell r="E25">
            <v>224.61068341522991</v>
          </cell>
          <cell r="F25">
            <v>228.15693341522993</v>
          </cell>
          <cell r="G25">
            <v>307.27443341522985</v>
          </cell>
          <cell r="H25">
            <v>231.70318341522992</v>
          </cell>
          <cell r="I25">
            <v>256.52693341522996</v>
          </cell>
          <cell r="J25">
            <v>374.65318341522988</v>
          </cell>
          <cell r="K25">
            <v>211.21802475772986</v>
          </cell>
          <cell r="L25">
            <v>264.41177475772992</v>
          </cell>
          <cell r="M25">
            <v>304.52052475772985</v>
          </cell>
          <cell r="N25">
            <v>232.49552475772992</v>
          </cell>
          <cell r="O25">
            <v>311.61302475772987</v>
          </cell>
          <cell r="P25">
            <v>300.97427475772986</v>
          </cell>
          <cell r="R25">
            <v>0</v>
          </cell>
          <cell r="S25">
            <v>0</v>
          </cell>
          <cell r="T25">
            <v>0</v>
          </cell>
          <cell r="U25">
            <v>3248.1584990377587</v>
          </cell>
          <cell r="V25">
            <v>3132.5640943799999</v>
          </cell>
          <cell r="W25">
            <v>4017.5150100000001</v>
          </cell>
          <cell r="X25">
            <v>115.59440465775879</v>
          </cell>
          <cell r="Y25">
            <v>-769.35651096224137</v>
          </cell>
        </row>
        <row r="27">
          <cell r="B27" t="str">
            <v>GROSS MARGIN</v>
          </cell>
          <cell r="C27">
            <v>0</v>
          </cell>
          <cell r="E27">
            <v>228.97694158477015</v>
          </cell>
          <cell r="F27">
            <v>233.48069158477014</v>
          </cell>
          <cell r="G27">
            <v>331.46319158477013</v>
          </cell>
          <cell r="H27">
            <v>237.98444158477011</v>
          </cell>
          <cell r="I27">
            <v>269.51069158477009</v>
          </cell>
          <cell r="J27">
            <v>417.03444158477015</v>
          </cell>
          <cell r="K27">
            <v>218.21960024227016</v>
          </cell>
          <cell r="L27">
            <v>285.77585024227011</v>
          </cell>
          <cell r="M27">
            <v>334.21710024227013</v>
          </cell>
          <cell r="N27">
            <v>245.24210024227011</v>
          </cell>
          <cell r="O27">
            <v>343.22460024227024</v>
          </cell>
          <cell r="P27">
            <v>329.71335024227017</v>
          </cell>
          <cell r="R27">
            <v>0</v>
          </cell>
          <cell r="S27">
            <v>0</v>
          </cell>
          <cell r="T27">
            <v>0</v>
          </cell>
          <cell r="U27">
            <v>3474.8430009622421</v>
          </cell>
          <cell r="V27">
            <v>3243.9258856199986</v>
          </cell>
          <cell r="W27">
            <v>3616.5179900000003</v>
          </cell>
          <cell r="X27">
            <v>230.91711534224351</v>
          </cell>
          <cell r="Y27">
            <v>-141.67498903775822</v>
          </cell>
        </row>
        <row r="28">
          <cell r="X28" t="str">
            <v/>
          </cell>
          <cell r="Y28" t="str">
            <v/>
          </cell>
        </row>
        <row r="29">
          <cell r="A29">
            <v>13</v>
          </cell>
          <cell r="B29" t="str">
            <v>Direct Rent</v>
          </cell>
          <cell r="E29">
            <v>208.976</v>
          </cell>
          <cell r="F29">
            <v>208.976</v>
          </cell>
          <cell r="G29">
            <v>208.976</v>
          </cell>
          <cell r="H29">
            <v>208.976</v>
          </cell>
          <cell r="I29">
            <v>208.976</v>
          </cell>
          <cell r="J29">
            <v>208.976</v>
          </cell>
          <cell r="K29">
            <v>208.976</v>
          </cell>
          <cell r="L29">
            <v>208.976</v>
          </cell>
          <cell r="M29">
            <v>208.976</v>
          </cell>
          <cell r="N29">
            <v>208.976</v>
          </cell>
          <cell r="O29">
            <v>208.976</v>
          </cell>
          <cell r="P29">
            <v>208.976</v>
          </cell>
          <cell r="T29">
            <v>0</v>
          </cell>
          <cell r="U29">
            <v>2507.7120000000009</v>
          </cell>
          <cell r="V29">
            <v>2507.7120000000009</v>
          </cell>
          <cell r="W29">
            <v>2507.712</v>
          </cell>
          <cell r="X29">
            <v>0</v>
          </cell>
          <cell r="Y29">
            <v>0</v>
          </cell>
        </row>
        <row r="30">
          <cell r="A30">
            <v>14</v>
          </cell>
          <cell r="B30" t="str">
            <v>Light, Heat and Power</v>
          </cell>
          <cell r="E30">
            <v>10.9</v>
          </cell>
          <cell r="F30">
            <v>10.9</v>
          </cell>
          <cell r="G30">
            <v>10.9</v>
          </cell>
          <cell r="H30">
            <v>10.9</v>
          </cell>
          <cell r="I30">
            <v>10.9</v>
          </cell>
          <cell r="J30">
            <v>10.9</v>
          </cell>
          <cell r="K30">
            <v>10.9</v>
          </cell>
          <cell r="L30">
            <v>10.9</v>
          </cell>
          <cell r="M30">
            <v>10.9</v>
          </cell>
          <cell r="N30">
            <v>10.9</v>
          </cell>
          <cell r="O30">
            <v>10.9</v>
          </cell>
          <cell r="P30">
            <v>10.9</v>
          </cell>
          <cell r="T30">
            <v>0</v>
          </cell>
          <cell r="U30">
            <v>130.80000000000001</v>
          </cell>
          <cell r="V30">
            <v>94.620389999999986</v>
          </cell>
          <cell r="W30">
            <v>127.36499999999999</v>
          </cell>
          <cell r="X30">
            <v>36.179610000000054</v>
          </cell>
          <cell r="Y30">
            <v>3.4350000000000307</v>
          </cell>
        </row>
        <row r="31">
          <cell r="A31">
            <v>15</v>
          </cell>
          <cell r="B31" t="str">
            <v>Repair &amp; Maintenance</v>
          </cell>
          <cell r="E31">
            <v>10.25</v>
          </cell>
          <cell r="F31">
            <v>10.25</v>
          </cell>
          <cell r="G31">
            <v>10.25</v>
          </cell>
          <cell r="H31">
            <v>15.25</v>
          </cell>
          <cell r="I31">
            <v>10.25</v>
          </cell>
          <cell r="J31">
            <v>10.25</v>
          </cell>
          <cell r="K31">
            <v>10.25</v>
          </cell>
          <cell r="L31">
            <v>10.25</v>
          </cell>
          <cell r="M31">
            <v>10.25</v>
          </cell>
          <cell r="N31">
            <v>10.25</v>
          </cell>
          <cell r="O31">
            <v>30.25</v>
          </cell>
          <cell r="P31">
            <v>10.25</v>
          </cell>
          <cell r="T31">
            <v>0</v>
          </cell>
          <cell r="U31">
            <v>148</v>
          </cell>
          <cell r="V31">
            <v>152.20305999999999</v>
          </cell>
          <cell r="W31">
            <v>198.184</v>
          </cell>
          <cell r="X31">
            <v>-4.2030599999999936</v>
          </cell>
          <cell r="Y31">
            <v>-50.183999999999997</v>
          </cell>
        </row>
        <row r="32">
          <cell r="A32">
            <v>16</v>
          </cell>
          <cell r="B32" t="str">
            <v>Common Area Maintenance</v>
          </cell>
          <cell r="E32">
            <v>0</v>
          </cell>
          <cell r="F32">
            <v>0</v>
          </cell>
          <cell r="G32">
            <v>0</v>
          </cell>
          <cell r="H32">
            <v>0</v>
          </cell>
          <cell r="I32">
            <v>0</v>
          </cell>
          <cell r="J32">
            <v>0</v>
          </cell>
          <cell r="K32">
            <v>0</v>
          </cell>
          <cell r="L32">
            <v>0</v>
          </cell>
          <cell r="M32">
            <v>0</v>
          </cell>
          <cell r="N32">
            <v>0</v>
          </cell>
          <cell r="O32">
            <v>0</v>
          </cell>
          <cell r="P32">
            <v>0</v>
          </cell>
          <cell r="T32">
            <v>0</v>
          </cell>
          <cell r="U32">
            <v>0</v>
          </cell>
          <cell r="V32">
            <v>0</v>
          </cell>
          <cell r="W32">
            <v>0</v>
          </cell>
          <cell r="X32">
            <v>0</v>
          </cell>
          <cell r="Y32">
            <v>0</v>
          </cell>
        </row>
        <row r="33">
          <cell r="A33">
            <v>17</v>
          </cell>
          <cell r="B33" t="str">
            <v>Other Overhead Costs</v>
          </cell>
          <cell r="C33">
            <v>0</v>
          </cell>
          <cell r="E33">
            <v>35.318474334152299</v>
          </cell>
          <cell r="F33">
            <v>35.318474334152299</v>
          </cell>
          <cell r="G33">
            <v>35.160994334152292</v>
          </cell>
          <cell r="H33">
            <v>35.318474334152299</v>
          </cell>
          <cell r="I33">
            <v>35.149994334152296</v>
          </cell>
          <cell r="J33">
            <v>35.329474334152295</v>
          </cell>
          <cell r="K33">
            <v>52.349935247577299</v>
          </cell>
          <cell r="L33">
            <v>37.285495247577302</v>
          </cell>
          <cell r="M33">
            <v>37.551935247577298</v>
          </cell>
          <cell r="N33">
            <v>35.122455247577292</v>
          </cell>
          <cell r="O33">
            <v>35.301935247577298</v>
          </cell>
          <cell r="P33">
            <v>35.133455247577295</v>
          </cell>
          <cell r="R33">
            <v>0</v>
          </cell>
          <cell r="S33">
            <v>0</v>
          </cell>
          <cell r="T33">
            <v>0</v>
          </cell>
          <cell r="U33">
            <v>444.34109749037759</v>
          </cell>
          <cell r="V33">
            <v>481.33407338666666</v>
          </cell>
          <cell r="W33">
            <v>604.81398999999999</v>
          </cell>
          <cell r="X33">
            <v>-36.992975896289067</v>
          </cell>
          <cell r="Y33">
            <v>-160.4728925096224</v>
          </cell>
        </row>
        <row r="35">
          <cell r="B35" t="str">
            <v>Total Overhead Expenses</v>
          </cell>
          <cell r="C35">
            <v>0</v>
          </cell>
          <cell r="E35">
            <v>265.44447433415229</v>
          </cell>
          <cell r="F35">
            <v>265.44447433415229</v>
          </cell>
          <cell r="G35">
            <v>265.28699433415227</v>
          </cell>
          <cell r="H35">
            <v>270.44447433415229</v>
          </cell>
          <cell r="I35">
            <v>265.2759943341523</v>
          </cell>
          <cell r="J35">
            <v>265.45547433415231</v>
          </cell>
          <cell r="K35">
            <v>282.4759352475773</v>
          </cell>
          <cell r="L35">
            <v>267.41149524757731</v>
          </cell>
          <cell r="M35">
            <v>267.6779352475773</v>
          </cell>
          <cell r="N35">
            <v>265.24845524757728</v>
          </cell>
          <cell r="O35">
            <v>285.4279352475773</v>
          </cell>
          <cell r="P35">
            <v>265.25945524757731</v>
          </cell>
          <cell r="R35">
            <v>0</v>
          </cell>
          <cell r="S35">
            <v>0</v>
          </cell>
          <cell r="T35">
            <v>0</v>
          </cell>
          <cell r="U35">
            <v>3230.8530974903779</v>
          </cell>
          <cell r="V35">
            <v>3235.8695233866674</v>
          </cell>
          <cell r="W35">
            <v>3438.0749900000005</v>
          </cell>
          <cell r="X35">
            <v>-5.0164258962895474</v>
          </cell>
          <cell r="Y35">
            <v>-207.22189250962265</v>
          </cell>
        </row>
        <row r="36">
          <cell r="V36" t="str">
            <v/>
          </cell>
        </row>
        <row r="37">
          <cell r="B37" t="str">
            <v>E.B.I.T.D.</v>
          </cell>
          <cell r="C37">
            <v>0</v>
          </cell>
          <cell r="E37">
            <v>-36.467532749382144</v>
          </cell>
          <cell r="F37">
            <v>-31.963782749382148</v>
          </cell>
          <cell r="G37">
            <v>66.176197250617861</v>
          </cell>
          <cell r="H37">
            <v>-32.460032749382179</v>
          </cell>
          <cell r="I37">
            <v>4.2346972506177849</v>
          </cell>
          <cell r="J37">
            <v>151.57896725061784</v>
          </cell>
          <cell r="K37">
            <v>-64.256335005307136</v>
          </cell>
          <cell r="L37">
            <v>18.364354994692803</v>
          </cell>
          <cell r="M37">
            <v>66.53916499469284</v>
          </cell>
          <cell r="N37">
            <v>-20.006355005307171</v>
          </cell>
          <cell r="O37">
            <v>57.796664994692946</v>
          </cell>
          <cell r="P37">
            <v>64.45389499469286</v>
          </cell>
          <cell r="R37">
            <v>0</v>
          </cell>
          <cell r="S37">
            <v>0</v>
          </cell>
          <cell r="T37">
            <v>0</v>
          </cell>
          <cell r="U37">
            <v>243.98990347186418</v>
          </cell>
          <cell r="V37">
            <v>8.0563622333311287</v>
          </cell>
          <cell r="W37">
            <v>178.44299999999976</v>
          </cell>
          <cell r="X37">
            <v>235.93354123853305</v>
          </cell>
          <cell r="Y37">
            <v>65.546903471864425</v>
          </cell>
        </row>
        <row r="38">
          <cell r="V38" t="str">
            <v/>
          </cell>
        </row>
        <row r="39">
          <cell r="A39">
            <v>18</v>
          </cell>
          <cell r="B39" t="str">
            <v>Depreciation</v>
          </cell>
          <cell r="E39">
            <v>53.235173611111115</v>
          </cell>
          <cell r="F39">
            <v>53.235173611111115</v>
          </cell>
          <cell r="G39">
            <v>53.235173611111115</v>
          </cell>
          <cell r="H39">
            <v>53.235173611111115</v>
          </cell>
          <cell r="I39">
            <v>53.235173611111115</v>
          </cell>
          <cell r="J39">
            <v>53.235173611111115</v>
          </cell>
          <cell r="K39">
            <v>53.235173611111115</v>
          </cell>
          <cell r="L39">
            <v>53.235173611111115</v>
          </cell>
          <cell r="M39">
            <v>53.235173611111115</v>
          </cell>
          <cell r="N39">
            <v>53.495590277777779</v>
          </cell>
          <cell r="O39">
            <v>53.495590277777779</v>
          </cell>
          <cell r="P39">
            <v>53.495590277777779</v>
          </cell>
          <cell r="T39">
            <v>0</v>
          </cell>
          <cell r="U39">
            <v>639.60333333333335</v>
          </cell>
          <cell r="V39">
            <v>619.1506580555556</v>
          </cell>
          <cell r="W39">
            <v>573.70799999999997</v>
          </cell>
          <cell r="X39">
            <v>20.452675277777757</v>
          </cell>
          <cell r="Y39">
            <v>65.895333333333383</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14.102</v>
          </cell>
          <cell r="W40">
            <v>15.167999999999999</v>
          </cell>
          <cell r="X40">
            <v>-14.102</v>
          </cell>
          <cell r="Y40">
            <v>-15.167999999999999</v>
          </cell>
        </row>
        <row r="41">
          <cell r="A41">
            <v>20</v>
          </cell>
          <cell r="B41" t="str">
            <v>External Interest</v>
          </cell>
          <cell r="T41">
            <v>0</v>
          </cell>
          <cell r="U41">
            <v>0</v>
          </cell>
          <cell r="V41">
            <v>232.49240644383562</v>
          </cell>
          <cell r="W41">
            <v>272.16399999999999</v>
          </cell>
          <cell r="X41">
            <v>-232.49240644383562</v>
          </cell>
          <cell r="Y41">
            <v>-272.16399999999999</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2.72343</v>
          </cell>
          <cell r="W43">
            <v>0.90700000000000003</v>
          </cell>
          <cell r="X43">
            <v>-2.72343</v>
          </cell>
          <cell r="Y43">
            <v>-0.90700000000000003</v>
          </cell>
        </row>
        <row r="44">
          <cell r="B44" t="str">
            <v>E.B.T.</v>
          </cell>
          <cell r="C44">
            <v>0</v>
          </cell>
          <cell r="E44">
            <v>-89.702706360493266</v>
          </cell>
          <cell r="F44">
            <v>-85.19895636049327</v>
          </cell>
          <cell r="G44">
            <v>12.941023639506746</v>
          </cell>
          <cell r="H44">
            <v>-85.695206360493302</v>
          </cell>
          <cell r="I44">
            <v>-49.00047636049333</v>
          </cell>
          <cell r="J44">
            <v>98.343793639506714</v>
          </cell>
          <cell r="K44">
            <v>-117.49150861641826</v>
          </cell>
          <cell r="L44">
            <v>-34.870818616418312</v>
          </cell>
          <cell r="M44">
            <v>13.303991383581725</v>
          </cell>
          <cell r="N44">
            <v>-73.50194528308495</v>
          </cell>
          <cell r="O44">
            <v>4.3010747169151671</v>
          </cell>
          <cell r="P44">
            <v>10.95830471691508</v>
          </cell>
          <cell r="Q44">
            <v>0</v>
          </cell>
          <cell r="R44">
            <v>0</v>
          </cell>
          <cell r="S44">
            <v>0</v>
          </cell>
          <cell r="T44">
            <v>0</v>
          </cell>
          <cell r="U44">
            <v>-395.61342986146917</v>
          </cell>
          <cell r="V44">
            <v>-854.96527226606008</v>
          </cell>
          <cell r="W44">
            <v>-681.69</v>
          </cell>
          <cell r="X44">
            <v>459.35184240459091</v>
          </cell>
          <cell r="Y44">
            <v>286.076570138531</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-89.702706360493266</v>
          </cell>
          <cell r="F50">
            <v>-85.19895636049327</v>
          </cell>
          <cell r="G50">
            <v>12.941023639506746</v>
          </cell>
          <cell r="H50">
            <v>-85.695206360493302</v>
          </cell>
          <cell r="I50">
            <v>-49.00047636049333</v>
          </cell>
          <cell r="J50">
            <v>98.343793639506714</v>
          </cell>
          <cell r="K50">
            <v>-117.49150861641826</v>
          </cell>
          <cell r="L50">
            <v>-34.870818616418312</v>
          </cell>
          <cell r="M50">
            <v>13.303991383581725</v>
          </cell>
          <cell r="N50">
            <v>-73.50194528308495</v>
          </cell>
          <cell r="O50">
            <v>4.3010747169151671</v>
          </cell>
          <cell r="P50">
            <v>10.95830471691508</v>
          </cell>
          <cell r="Q50">
            <v>0</v>
          </cell>
          <cell r="R50">
            <v>0</v>
          </cell>
          <cell r="S50">
            <v>0</v>
          </cell>
          <cell r="T50">
            <v>0</v>
          </cell>
          <cell r="U50">
            <v>-395.61342986146917</v>
          </cell>
          <cell r="V50">
            <v>-854.96527226606008</v>
          </cell>
          <cell r="W50">
            <v>-681.69</v>
          </cell>
          <cell r="X50">
            <v>459.35184240459091</v>
          </cell>
          <cell r="Y50">
            <v>286.076570138531</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51.94</v>
          </cell>
          <cell r="F54">
            <v>52.92</v>
          </cell>
          <cell r="G54">
            <v>74.48</v>
          </cell>
          <cell r="H54">
            <v>53.9</v>
          </cell>
          <cell r="I54">
            <v>60.76</v>
          </cell>
          <cell r="J54">
            <v>93.1</v>
          </cell>
          <cell r="K54">
            <v>49</v>
          </cell>
          <cell r="L54">
            <v>63.7</v>
          </cell>
          <cell r="M54">
            <v>74.48</v>
          </cell>
          <cell r="N54">
            <v>54.88</v>
          </cell>
          <cell r="O54">
            <v>76.44</v>
          </cell>
          <cell r="P54">
            <v>73.5</v>
          </cell>
          <cell r="T54">
            <v>0</v>
          </cell>
          <cell r="U54">
            <v>779.1</v>
          </cell>
          <cell r="V54">
            <v>757</v>
          </cell>
          <cell r="W54">
            <v>932.88199999999995</v>
          </cell>
          <cell r="X54">
            <v>22.099999999999909</v>
          </cell>
          <cell r="Y54">
            <v>-153.78200000000004</v>
          </cell>
        </row>
        <row r="55">
          <cell r="A55">
            <v>28</v>
          </cell>
          <cell r="B55" t="str">
            <v>Admissions</v>
          </cell>
          <cell r="E55">
            <v>53</v>
          </cell>
          <cell r="F55">
            <v>54</v>
          </cell>
          <cell r="G55">
            <v>76</v>
          </cell>
          <cell r="H55">
            <v>55</v>
          </cell>
          <cell r="I55">
            <v>62</v>
          </cell>
          <cell r="J55">
            <v>95</v>
          </cell>
          <cell r="K55">
            <v>50</v>
          </cell>
          <cell r="L55">
            <v>65</v>
          </cell>
          <cell r="M55">
            <v>76</v>
          </cell>
          <cell r="N55">
            <v>56</v>
          </cell>
          <cell r="O55">
            <v>78</v>
          </cell>
          <cell r="P55">
            <v>75</v>
          </cell>
          <cell r="T55">
            <v>0</v>
          </cell>
          <cell r="U55">
            <v>795</v>
          </cell>
          <cell r="V55">
            <v>757</v>
          </cell>
          <cell r="W55">
            <v>932.88199999999995</v>
          </cell>
          <cell r="X55">
            <v>38</v>
          </cell>
          <cell r="Y55">
            <v>-137.88199999999995</v>
          </cell>
        </row>
        <row r="56">
          <cell r="B56" t="str">
            <v>Utilisation Rate</v>
          </cell>
          <cell r="E56">
            <v>0.23849809201526387</v>
          </cell>
          <cell r="F56">
            <v>0.24299805601555188</v>
          </cell>
          <cell r="G56">
            <v>0.27359781121751026</v>
          </cell>
          <cell r="H56">
            <v>0.24749802001583987</v>
          </cell>
          <cell r="I56">
            <v>0.27899776801785586</v>
          </cell>
          <cell r="J56">
            <v>0.34199726402188785</v>
          </cell>
          <cell r="K56">
            <v>0.22499820001439988</v>
          </cell>
          <cell r="L56">
            <v>0.29249766001871985</v>
          </cell>
          <cell r="M56">
            <v>0.27359781121751026</v>
          </cell>
          <cell r="N56">
            <v>0.25199798401612789</v>
          </cell>
          <cell r="O56">
            <v>0.28079775361797105</v>
          </cell>
          <cell r="P56">
            <v>0.33749730002159983</v>
          </cell>
          <cell r="U56">
            <v>0.27519010617145834</v>
          </cell>
          <cell r="V56">
            <v>0.26865158905463032</v>
          </cell>
          <cell r="W56">
            <v>0.31808882517972759</v>
          </cell>
          <cell r="X56">
            <v>6.5385171168280132E-3</v>
          </cell>
          <cell r="Y56">
            <v>-4.2898719008269248E-2</v>
          </cell>
        </row>
        <row r="57">
          <cell r="B57" t="str">
            <v>Ave. Admission Price (S$)</v>
          </cell>
          <cell r="C57" t="str">
            <v>N.A.</v>
          </cell>
          <cell r="E57">
            <v>6.7</v>
          </cell>
          <cell r="F57">
            <v>6.7</v>
          </cell>
          <cell r="G57">
            <v>6.7</v>
          </cell>
          <cell r="H57">
            <v>6.7</v>
          </cell>
          <cell r="I57">
            <v>6.7</v>
          </cell>
          <cell r="J57">
            <v>6.7</v>
          </cell>
          <cell r="K57">
            <v>6.7</v>
          </cell>
          <cell r="L57">
            <v>6.7</v>
          </cell>
          <cell r="M57">
            <v>6.7</v>
          </cell>
          <cell r="N57">
            <v>6.7</v>
          </cell>
          <cell r="O57">
            <v>6.7</v>
          </cell>
          <cell r="P57">
            <v>6.7</v>
          </cell>
          <cell r="R57" t="str">
            <v>N.A.</v>
          </cell>
          <cell r="S57" t="str">
            <v>N.A.</v>
          </cell>
          <cell r="U57">
            <v>6.7</v>
          </cell>
          <cell r="V57">
            <v>6.716411809775428</v>
          </cell>
          <cell r="W57">
            <v>6.8009726846482197</v>
          </cell>
          <cell r="X57">
            <v>-1.6411809775427777E-2</v>
          </cell>
          <cell r="Y57">
            <v>-0.10097268464821951</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2.3000000000000003E-2</v>
          </cell>
          <cell r="V58">
            <v>2.1115888983497345E-2</v>
          </cell>
          <cell r="W58">
            <v>3.056755412754817E-2</v>
          </cell>
          <cell r="X58">
            <v>1.8841110165026577E-3</v>
          </cell>
          <cell r="Y58">
            <v>-7.5675541275481671E-3</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R59" t="str">
            <v>N.A.</v>
          </cell>
          <cell r="S59" t="str">
            <v>N.A.</v>
          </cell>
          <cell r="U59">
            <v>0.19500000000000001</v>
          </cell>
          <cell r="V59">
            <v>0.18688116616823594</v>
          </cell>
          <cell r="W59">
            <v>0.21296112635607506</v>
          </cell>
          <cell r="X59">
            <v>8.118833831764094E-3</v>
          </cell>
          <cell r="Y59">
            <v>-1.7961126356075025E-2</v>
          </cell>
        </row>
        <row r="60">
          <cell r="B60" t="str">
            <v>Concess. Rev per Patron (S$)</v>
          </cell>
          <cell r="C60" t="str">
            <v>N.A.</v>
          </cell>
          <cell r="E60">
            <v>1.35</v>
          </cell>
          <cell r="F60">
            <v>1.35</v>
          </cell>
          <cell r="G60">
            <v>1.35</v>
          </cell>
          <cell r="H60">
            <v>1.35</v>
          </cell>
          <cell r="I60">
            <v>1.35</v>
          </cell>
          <cell r="J60">
            <v>1.35</v>
          </cell>
          <cell r="K60">
            <v>1.35</v>
          </cell>
          <cell r="L60">
            <v>1.35</v>
          </cell>
          <cell r="M60">
            <v>1.35</v>
          </cell>
          <cell r="N60">
            <v>1.35</v>
          </cell>
          <cell r="O60">
            <v>1.35</v>
          </cell>
          <cell r="P60">
            <v>1.35</v>
          </cell>
          <cell r="R60" t="str">
            <v>N.A.</v>
          </cell>
          <cell r="S60" t="str">
            <v>N.A.</v>
          </cell>
          <cell r="U60">
            <v>1.35</v>
          </cell>
          <cell r="V60">
            <v>0.9573817305151916</v>
          </cell>
          <cell r="W60">
            <v>0.8808884724970576</v>
          </cell>
          <cell r="X60">
            <v>0.39261826948480849</v>
          </cell>
          <cell r="Y60">
            <v>0.46911152750294249</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0.46902942538627579</v>
          </cell>
          <cell r="W61">
            <v>0.46637665192162353</v>
          </cell>
          <cell r="X61">
            <v>-4.0294253862757645E-3</v>
          </cell>
          <cell r="Y61">
            <v>-1.3766519216235062E-3</v>
          </cell>
        </row>
        <row r="62">
          <cell r="B62" t="str">
            <v>Direct Payroll : Net Box</v>
          </cell>
          <cell r="C62" t="str">
            <v>N.A.</v>
          </cell>
          <cell r="E62">
            <v>0.10323692879535307</v>
          </cell>
          <cell r="F62">
            <v>0.10132513381766135</v>
          </cell>
          <cell r="G62">
            <v>7.4154425403043747E-2</v>
          </cell>
          <cell r="H62">
            <v>9.9482858657340231E-2</v>
          </cell>
          <cell r="I62">
            <v>8.8250923002479234E-2</v>
          </cell>
          <cell r="J62">
            <v>5.9323540322435003E-2</v>
          </cell>
          <cell r="K62">
            <v>0.10121052166486529</v>
          </cell>
          <cell r="L62">
            <v>7.7854247434511761E-2</v>
          </cell>
          <cell r="M62">
            <v>6.8746120891064161E-2</v>
          </cell>
          <cell r="N62">
            <v>9.0366537200772576E-2</v>
          </cell>
          <cell r="O62">
            <v>6.6983399842575342E-2</v>
          </cell>
          <cell r="P62">
            <v>6.9662735836278356E-2</v>
          </cell>
          <cell r="R62" t="str">
            <v>N.A.</v>
          </cell>
          <cell r="S62" t="str">
            <v>N.A.</v>
          </cell>
          <cell r="U62">
            <v>8.0519994187131988E-2</v>
          </cell>
          <cell r="V62">
            <v>9.7338040869915196E-2</v>
          </cell>
          <cell r="W62">
            <v>0.10669973465226996</v>
          </cell>
          <cell r="X62">
            <v>-1.6818046682783208E-2</v>
          </cell>
          <cell r="Y62">
            <v>-2.6179740465137977E-2</v>
          </cell>
        </row>
        <row r="63">
          <cell r="B63" t="str">
            <v>Direct Payroll : Net Box &amp; Conc.</v>
          </cell>
          <cell r="C63" t="str">
            <v>N.A.</v>
          </cell>
          <cell r="E63">
            <v>8.5923903469424287E-2</v>
          </cell>
          <cell r="F63">
            <v>8.4332720071842365E-2</v>
          </cell>
          <cell r="G63">
            <v>6.1718590087005365E-2</v>
          </cell>
          <cell r="H63">
            <v>8.2799397888717957E-2</v>
          </cell>
          <cell r="I63">
            <v>7.3451078772249795E-2</v>
          </cell>
          <cell r="J63">
            <v>4.9374872069604288E-2</v>
          </cell>
          <cell r="K63">
            <v>8.4237328590633223E-2</v>
          </cell>
          <cell r="L63">
            <v>6.4797945069717866E-2</v>
          </cell>
          <cell r="M63">
            <v>5.7217268319270799E-2</v>
          </cell>
          <cell r="N63">
            <v>7.5211900527351092E-2</v>
          </cell>
          <cell r="O63">
            <v>5.5750158875186924E-2</v>
          </cell>
          <cell r="P63">
            <v>5.7980165230194405E-2</v>
          </cell>
          <cell r="Q63" t="str">
            <v/>
          </cell>
          <cell r="R63" t="str">
            <v>N.A.</v>
          </cell>
          <cell r="S63" t="str">
            <v>N.A.</v>
          </cell>
          <cell r="T63" t="str">
            <v>N.A.</v>
          </cell>
          <cell r="U63">
            <v>6.7016641124693702E-2</v>
          </cell>
          <cell r="V63">
            <v>8.5194156424273901E-2</v>
          </cell>
          <cell r="W63">
            <v>9.446434477071057E-2</v>
          </cell>
          <cell r="X63">
            <v>-1.8177515299580199E-2</v>
          </cell>
          <cell r="Y63">
            <v>-2.7447703646016869E-2</v>
          </cell>
        </row>
        <row r="64">
          <cell r="B64" t="str">
            <v>Direct Payroll of Admissions (S$)</v>
          </cell>
          <cell r="C64" t="str">
            <v>N.A.</v>
          </cell>
          <cell r="E64">
            <v>0.69168742292886565</v>
          </cell>
          <cell r="F64">
            <v>0.67887839657833104</v>
          </cell>
          <cell r="G64">
            <v>0.49683465020039314</v>
          </cell>
          <cell r="H64">
            <v>0.66653515300417954</v>
          </cell>
          <cell r="I64">
            <v>0.5912811841166109</v>
          </cell>
          <cell r="J64">
            <v>0.39746772016031451</v>
          </cell>
          <cell r="K64">
            <v>0.67811049515459743</v>
          </cell>
          <cell r="L64">
            <v>0.52162345781122876</v>
          </cell>
          <cell r="M64">
            <v>0.46059900997012992</v>
          </cell>
          <cell r="N64">
            <v>0.60545579924517623</v>
          </cell>
          <cell r="O64">
            <v>0.44878877894525476</v>
          </cell>
          <cell r="P64">
            <v>0.46674033010306498</v>
          </cell>
          <cell r="Q64" t="str">
            <v/>
          </cell>
          <cell r="R64" t="str">
            <v>N.A.</v>
          </cell>
          <cell r="S64" t="str">
            <v>N.A.</v>
          </cell>
          <cell r="T64" t="str">
            <v>N.A.</v>
          </cell>
          <cell r="U64">
            <v>0.53948396105378427</v>
          </cell>
          <cell r="V64">
            <v>0.65376236723910164</v>
          </cell>
          <cell r="W64">
            <v>0.72566198082930122</v>
          </cell>
          <cell r="X64">
            <v>-0.11427840618531737</v>
          </cell>
          <cell r="Y64">
            <v>-0.18617801977551696</v>
          </cell>
        </row>
        <row r="65">
          <cell r="B65" t="str">
            <v>Gross Margin :Total Rev</v>
          </cell>
          <cell r="C65" t="str">
            <v>N.A.</v>
          </cell>
          <cell r="E65">
            <v>0.50481302611545043</v>
          </cell>
          <cell r="F65">
            <v>0.50576616579892097</v>
          </cell>
          <cell r="G65">
            <v>0.51893481550389353</v>
          </cell>
          <cell r="H65">
            <v>0.50668663366374644</v>
          </cell>
          <cell r="I65">
            <v>0.5123410926828097</v>
          </cell>
          <cell r="J65">
            <v>0.52676640181759837</v>
          </cell>
          <cell r="K65">
            <v>0.50815202846343555</v>
          </cell>
          <cell r="L65">
            <v>0.51941526355172041</v>
          </cell>
          <cell r="M65">
            <v>0.5232463020199728</v>
          </cell>
          <cell r="N65">
            <v>0.51334056061058642</v>
          </cell>
          <cell r="O65">
            <v>0.52413695722244147</v>
          </cell>
          <cell r="P65">
            <v>0.52278392213937952</v>
          </cell>
          <cell r="Q65" t="str">
            <v/>
          </cell>
          <cell r="R65" t="str">
            <v>N.A.</v>
          </cell>
          <cell r="S65" t="str">
            <v>N.A.</v>
          </cell>
          <cell r="T65" t="str">
            <v>N.A.</v>
          </cell>
          <cell r="U65">
            <v>0.51685887634596572</v>
          </cell>
          <cell r="V65">
            <v>0.50873221722211492</v>
          </cell>
          <cell r="W65">
            <v>0.47373622697203432</v>
          </cell>
          <cell r="X65">
            <v>8.126659123850799E-3</v>
          </cell>
          <cell r="Y65">
            <v>4.3122649373931399E-2</v>
          </cell>
        </row>
        <row r="66">
          <cell r="B66" t="str">
            <v>G&amp;A % of total revenue</v>
          </cell>
          <cell r="C66" t="str">
            <v>N.A.</v>
          </cell>
          <cell r="E66">
            <v>7.7864722024002075E-2</v>
          </cell>
          <cell r="F66">
            <v>7.6506923226095994E-2</v>
          </cell>
          <cell r="G66">
            <v>5.5047632952814222E-2</v>
          </cell>
          <cell r="H66">
            <v>7.5195667192961058E-2</v>
          </cell>
          <cell r="I66">
            <v>6.6820304601124855E-2</v>
          </cell>
          <cell r="J66">
            <v>4.4625523020082943E-2</v>
          </cell>
          <cell r="K66">
            <v>0.12190346676674475</v>
          </cell>
          <cell r="L66">
            <v>6.7768691176173401E-2</v>
          </cell>
          <cell r="M66">
            <v>5.8790861502134459E-2</v>
          </cell>
          <cell r="N66">
            <v>7.3518294163197398E-2</v>
          </cell>
          <cell r="O66">
            <v>5.3909448540891781E-2</v>
          </cell>
          <cell r="P66">
            <v>5.5706587310282635E-2</v>
          </cell>
          <cell r="Q66" t="str">
            <v/>
          </cell>
          <cell r="R66" t="e">
            <v>#DIV/0!</v>
          </cell>
          <cell r="S66" t="e">
            <v>#DIV/0!</v>
          </cell>
          <cell r="T66" t="e">
            <v>#DIV/0!</v>
          </cell>
          <cell r="U66">
            <v>6.6092666718931645E-2</v>
          </cell>
          <cell r="V66">
            <v>7.5485741355570485E-2</v>
          </cell>
          <cell r="W66">
            <v>7.9226011991302622E-2</v>
          </cell>
          <cell r="X66">
            <v>-9.3930746366388401E-3</v>
          </cell>
          <cell r="Y66">
            <v>-1.3133345272370978E-2</v>
          </cell>
        </row>
        <row r="67">
          <cell r="B67" t="str">
            <v>E.B.I.T.D. : Total Rev</v>
          </cell>
          <cell r="C67" t="str">
            <v>N.A.</v>
          </cell>
          <cell r="E67">
            <v>-8.0397988700379869E-2</v>
          </cell>
          <cell r="F67">
            <v>-6.9239986124142588E-2</v>
          </cell>
          <cell r="G67">
            <v>0.10360466435747834</v>
          </cell>
          <cell r="H67">
            <v>-6.9109831772515146E-2</v>
          </cell>
          <cell r="I67">
            <v>8.0501793966121418E-3</v>
          </cell>
          <cell r="J67">
            <v>0.19146310042501655</v>
          </cell>
          <cell r="K67">
            <v>-0.14962902937372369</v>
          </cell>
          <cell r="L67">
            <v>3.3378349785117035E-2</v>
          </cell>
          <cell r="M67">
            <v>0.10417292232423735</v>
          </cell>
          <cell r="N67">
            <v>-4.1877285686483599E-2</v>
          </cell>
          <cell r="O67">
            <v>8.8261063182942398E-2</v>
          </cell>
          <cell r="P67">
            <v>0.10219622589660429</v>
          </cell>
          <cell r="Q67" t="str">
            <v/>
          </cell>
          <cell r="R67" t="str">
            <v>N.A.</v>
          </cell>
          <cell r="S67" t="str">
            <v>N.A.</v>
          </cell>
          <cell r="T67" t="str">
            <v>N.A.</v>
          </cell>
          <cell r="U67">
            <v>3.6291811547545273E-2</v>
          </cell>
          <cell r="V67">
            <v>1.2634477994319896E-3</v>
          </cell>
          <cell r="W67">
            <v>2.3374669719137937E-2</v>
          </cell>
          <cell r="X67">
            <v>3.5028363748113286E-2</v>
          </cell>
          <cell r="Y67">
            <v>1.2917141828407336E-2</v>
          </cell>
        </row>
        <row r="68">
          <cell r="B68" t="str">
            <v>No of Concession Transactions</v>
          </cell>
          <cell r="E68">
            <v>13</v>
          </cell>
          <cell r="F68">
            <v>14</v>
          </cell>
          <cell r="G68">
            <v>18</v>
          </cell>
          <cell r="H68">
            <v>14</v>
          </cell>
          <cell r="I68">
            <v>15</v>
          </cell>
          <cell r="J68">
            <v>18</v>
          </cell>
          <cell r="K68">
            <v>13</v>
          </cell>
          <cell r="L68">
            <v>15</v>
          </cell>
          <cell r="M68">
            <v>18</v>
          </cell>
          <cell r="N68">
            <v>12</v>
          </cell>
          <cell r="O68">
            <v>18</v>
          </cell>
          <cell r="P68">
            <v>20</v>
          </cell>
          <cell r="Q68" t="str">
            <v/>
          </cell>
          <cell r="R68">
            <v>26</v>
          </cell>
          <cell r="S68">
            <v>27</v>
          </cell>
          <cell r="T68">
            <v>28</v>
          </cell>
          <cell r="U68">
            <v>188</v>
          </cell>
          <cell r="V68">
            <v>170</v>
          </cell>
          <cell r="W68">
            <v>0</v>
          </cell>
          <cell r="X68">
            <v>18</v>
          </cell>
          <cell r="Y68">
            <v>188</v>
          </cell>
        </row>
        <row r="69">
          <cell r="B69" t="str">
            <v>Strike Rate %(No of Trans/Adm)</v>
          </cell>
          <cell r="E69">
            <v>0.24528301886792453</v>
          </cell>
          <cell r="F69">
            <v>0.25925925925925924</v>
          </cell>
          <cell r="G69">
            <v>0.23684210526315788</v>
          </cell>
          <cell r="H69">
            <v>0.25454545454545452</v>
          </cell>
          <cell r="I69">
            <v>0.24193548387096775</v>
          </cell>
          <cell r="J69">
            <v>0.18947368421052632</v>
          </cell>
          <cell r="K69">
            <v>0.26</v>
          </cell>
          <cell r="L69">
            <v>0.23076923076923078</v>
          </cell>
          <cell r="M69">
            <v>0.23684210526315788</v>
          </cell>
          <cell r="N69">
            <v>0.21428571428571427</v>
          </cell>
          <cell r="O69">
            <v>0.23076923076923078</v>
          </cell>
          <cell r="P69">
            <v>0.26666666666666666</v>
          </cell>
          <cell r="Q69" t="str">
            <v/>
          </cell>
          <cell r="R69" t="e">
            <v>#DIV/0!</v>
          </cell>
          <cell r="S69" t="e">
            <v>#DIV/0!</v>
          </cell>
          <cell r="T69" t="e">
            <v>#DIV/0!</v>
          </cell>
          <cell r="U69">
            <v>0.23647798742138365</v>
          </cell>
          <cell r="V69">
            <v>0.22457067371202113</v>
          </cell>
          <cell r="W69">
            <v>0</v>
          </cell>
          <cell r="X69">
            <v>1.1907313709362516E-2</v>
          </cell>
          <cell r="Y69">
            <v>0.23647798742138365</v>
          </cell>
        </row>
        <row r="70">
          <cell r="B70" t="str">
            <v>Ave Sales (Total Sale/No of Trans) (S$)</v>
          </cell>
          <cell r="E70">
            <v>5.5038461538461547</v>
          </cell>
          <cell r="F70">
            <v>5.2071428571428573</v>
          </cell>
          <cell r="G70">
            <v>5.7</v>
          </cell>
          <cell r="H70">
            <v>5.3035714285714288</v>
          </cell>
          <cell r="I70">
            <v>5.58</v>
          </cell>
          <cell r="J70">
            <v>7.125</v>
          </cell>
          <cell r="K70">
            <v>5.1923076923076925</v>
          </cell>
          <cell r="L70">
            <v>5.85</v>
          </cell>
          <cell r="M70">
            <v>5.7</v>
          </cell>
          <cell r="N70">
            <v>6.3</v>
          </cell>
          <cell r="O70">
            <v>5.85</v>
          </cell>
          <cell r="P70">
            <v>5.0625</v>
          </cell>
          <cell r="Q70" t="str">
            <v/>
          </cell>
          <cell r="R70">
            <v>0</v>
          </cell>
          <cell r="S70">
            <v>0</v>
          </cell>
          <cell r="T70">
            <v>0</v>
          </cell>
          <cell r="U70">
            <v>5.7087765957446805</v>
          </cell>
          <cell r="V70">
            <v>4.2631645294117648</v>
          </cell>
          <cell r="W70" t="str">
            <v>N.A.</v>
          </cell>
          <cell r="X70">
            <v>1.4456120663329157</v>
          </cell>
          <cell r="Y70" t="str">
            <v>N.A.</v>
          </cell>
        </row>
        <row r="71">
          <cell r="B71" t="str">
            <v xml:space="preserve">Total Concession Combo Sales </v>
          </cell>
          <cell r="E71">
            <v>26</v>
          </cell>
          <cell r="F71">
            <v>28</v>
          </cell>
          <cell r="G71">
            <v>42</v>
          </cell>
          <cell r="H71">
            <v>28</v>
          </cell>
          <cell r="I71">
            <v>32</v>
          </cell>
          <cell r="J71">
            <v>40</v>
          </cell>
          <cell r="K71">
            <v>26</v>
          </cell>
          <cell r="L71">
            <v>30</v>
          </cell>
          <cell r="M71">
            <v>38</v>
          </cell>
          <cell r="N71">
            <v>25</v>
          </cell>
          <cell r="O71">
            <v>40</v>
          </cell>
          <cell r="P71">
            <v>35</v>
          </cell>
          <cell r="Q71" t="str">
            <v/>
          </cell>
          <cell r="R71">
            <v>47.768999999999998</v>
          </cell>
          <cell r="S71">
            <v>48.768999999999998</v>
          </cell>
          <cell r="T71">
            <v>49.768999999999998</v>
          </cell>
          <cell r="U71">
            <v>390</v>
          </cell>
          <cell r="V71">
            <v>352</v>
          </cell>
          <cell r="W71">
            <v>0</v>
          </cell>
          <cell r="X71">
            <v>38</v>
          </cell>
          <cell r="Y71">
            <v>390</v>
          </cell>
        </row>
        <row r="72">
          <cell r="B72" t="str">
            <v>Combo Sales as % of Total Sales</v>
          </cell>
          <cell r="E72">
            <v>0.36338225017470294</v>
          </cell>
          <cell r="F72">
            <v>0.38408779149519889</v>
          </cell>
          <cell r="G72">
            <v>0.40935672514619881</v>
          </cell>
          <cell r="H72">
            <v>0.37710437710437711</v>
          </cell>
          <cell r="I72">
            <v>0.38231780167264034</v>
          </cell>
          <cell r="J72">
            <v>0.31189083820662766</v>
          </cell>
          <cell r="K72">
            <v>0.38518518518518519</v>
          </cell>
          <cell r="L72">
            <v>0.34188034188034189</v>
          </cell>
          <cell r="M72">
            <v>0.37037037037037035</v>
          </cell>
          <cell r="N72">
            <v>0.33068783068783064</v>
          </cell>
          <cell r="O72">
            <v>0.37986704653371317</v>
          </cell>
          <cell r="P72">
            <v>0.34567901234567899</v>
          </cell>
          <cell r="Q72" t="str">
            <v/>
          </cell>
          <cell r="R72" t="e">
            <v>#DIV/0!</v>
          </cell>
          <cell r="S72" t="e">
            <v>#DIV/0!</v>
          </cell>
          <cell r="T72" t="e">
            <v>#DIV/0!</v>
          </cell>
          <cell r="U72">
            <v>0.36338225017470299</v>
          </cell>
          <cell r="V72">
            <v>0.48569278079910727</v>
          </cell>
          <cell r="W72">
            <v>0</v>
          </cell>
          <cell r="X72">
            <v>-0.12231053062440428</v>
          </cell>
          <cell r="Y72">
            <v>0.36338225017470299</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Q73" t="str">
            <v/>
          </cell>
          <cell r="R73">
            <v>5.1360000000000001</v>
          </cell>
          <cell r="S73">
            <v>5.1360000000000001</v>
          </cell>
          <cell r="T73">
            <v>5.1360000000000001</v>
          </cell>
          <cell r="U73">
            <v>66.387000000000015</v>
          </cell>
          <cell r="V73">
            <v>66</v>
          </cell>
          <cell r="W73">
            <v>0</v>
          </cell>
          <cell r="X73">
            <v>0.38700000000001467</v>
          </cell>
          <cell r="Y73">
            <v>66.387000000000015</v>
          </cell>
        </row>
        <row r="74">
          <cell r="B74" t="str">
            <v>Admissions/labour hour paid</v>
          </cell>
          <cell r="E74">
            <v>10.532591414944356</v>
          </cell>
          <cell r="F74">
            <v>9.180550833049983</v>
          </cell>
          <cell r="G74">
            <v>10.351402887496596</v>
          </cell>
          <cell r="H74">
            <v>9.3888699214749067</v>
          </cell>
          <cell r="I74">
            <v>13.498802525582407</v>
          </cell>
          <cell r="J74">
            <v>15.833333333333334</v>
          </cell>
          <cell r="K74">
            <v>9.7352024922118385</v>
          </cell>
          <cell r="L74">
            <v>12.655763239875389</v>
          </cell>
          <cell r="M74">
            <v>12.666666666666666</v>
          </cell>
          <cell r="N74">
            <v>10.903426791277258</v>
          </cell>
          <cell r="O74">
            <v>15.186915887850468</v>
          </cell>
          <cell r="P74">
            <v>14.602803738317757</v>
          </cell>
          <cell r="Q74" t="str">
            <v/>
          </cell>
          <cell r="R74">
            <v>0</v>
          </cell>
          <cell r="S74">
            <v>0</v>
          </cell>
          <cell r="T74">
            <v>0</v>
          </cell>
          <cell r="U74">
            <v>11.975236115504538</v>
          </cell>
          <cell r="V74">
            <v>11.469696969696969</v>
          </cell>
          <cell r="W74" t="str">
            <v>N.A.</v>
          </cell>
          <cell r="X74">
            <v>0.50553914580756931</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50.515529999999998</v>
          </cell>
          <cell r="W77">
            <v>3.8690000000000002</v>
          </cell>
          <cell r="X77">
            <v>-23.328029999999998</v>
          </cell>
          <cell r="Y77">
            <v>23.3185</v>
          </cell>
        </row>
        <row r="78">
          <cell r="A78">
            <v>53</v>
          </cell>
          <cell r="B78" t="str">
            <v>Auditorium Rentals</v>
          </cell>
          <cell r="E78">
            <v>2</v>
          </cell>
          <cell r="F78">
            <v>2</v>
          </cell>
          <cell r="G78">
            <v>2</v>
          </cell>
          <cell r="H78">
            <v>2</v>
          </cell>
          <cell r="I78">
            <v>2</v>
          </cell>
          <cell r="J78">
            <v>2</v>
          </cell>
          <cell r="K78">
            <v>2</v>
          </cell>
          <cell r="L78">
            <v>2</v>
          </cell>
          <cell r="M78">
            <v>2</v>
          </cell>
          <cell r="N78">
            <v>2</v>
          </cell>
          <cell r="O78">
            <v>2</v>
          </cell>
          <cell r="P78">
            <v>2</v>
          </cell>
          <cell r="T78">
            <v>0</v>
          </cell>
          <cell r="U78">
            <v>24</v>
          </cell>
          <cell r="V78">
            <v>79</v>
          </cell>
          <cell r="W78">
            <v>64.614999999999995</v>
          </cell>
          <cell r="X78">
            <v>-55</v>
          </cell>
          <cell r="Y78">
            <v>-40.615000000000002</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57</v>
          </cell>
          <cell r="W82">
            <v>61.408000000000001</v>
          </cell>
          <cell r="X82">
            <v>-18.936</v>
          </cell>
          <cell r="Y82">
            <v>-23.344000000000001</v>
          </cell>
        </row>
        <row r="83">
          <cell r="C83">
            <v>0</v>
          </cell>
          <cell r="E83">
            <v>7.4376250000000006</v>
          </cell>
          <cell r="F83">
            <v>7.4376250000000006</v>
          </cell>
          <cell r="G83">
            <v>7.4376250000000006</v>
          </cell>
          <cell r="H83">
            <v>7.4376250000000006</v>
          </cell>
          <cell r="I83">
            <v>7.4376250000000006</v>
          </cell>
          <cell r="J83">
            <v>7.4376250000000006</v>
          </cell>
          <cell r="K83">
            <v>7.4376250000000006</v>
          </cell>
          <cell r="L83">
            <v>7.4376250000000006</v>
          </cell>
          <cell r="M83">
            <v>7.4376250000000006</v>
          </cell>
          <cell r="N83">
            <v>7.4376250000000006</v>
          </cell>
          <cell r="O83">
            <v>7.4376250000000006</v>
          </cell>
          <cell r="P83">
            <v>7.4376250000000006</v>
          </cell>
          <cell r="R83">
            <v>0</v>
          </cell>
          <cell r="S83">
            <v>0</v>
          </cell>
          <cell r="T83">
            <v>0</v>
          </cell>
          <cell r="U83">
            <v>89.251499999999993</v>
          </cell>
          <cell r="V83">
            <v>186.51553000000001</v>
          </cell>
          <cell r="W83">
            <v>129.892</v>
          </cell>
          <cell r="X83">
            <v>-97.26403000000002</v>
          </cell>
          <cell r="Y83">
            <v>-40.640500000000003</v>
          </cell>
        </row>
        <row r="84">
          <cell r="X84" t="str">
            <v/>
          </cell>
          <cell r="Y84" t="str">
            <v/>
          </cell>
        </row>
        <row r="85">
          <cell r="B85" t="str">
            <v>10 Other Cost</v>
          </cell>
          <cell r="X85" t="str">
            <v/>
          </cell>
          <cell r="Y85" t="str">
            <v/>
          </cell>
        </row>
        <row r="86">
          <cell r="A86">
            <v>61</v>
          </cell>
          <cell r="B86" t="str">
            <v>Authors Rights</v>
          </cell>
          <cell r="E86">
            <v>0.71020000000000005</v>
          </cell>
          <cell r="F86">
            <v>0.72360000000000002</v>
          </cell>
          <cell r="G86">
            <v>1.0184</v>
          </cell>
          <cell r="H86">
            <v>0.73699999999999999</v>
          </cell>
          <cell r="I86">
            <v>0.83080000000000009</v>
          </cell>
          <cell r="J86">
            <v>1.2730000000000001</v>
          </cell>
          <cell r="K86">
            <v>0.67</v>
          </cell>
          <cell r="L86">
            <v>0.871</v>
          </cell>
          <cell r="M86">
            <v>1.0184</v>
          </cell>
          <cell r="N86">
            <v>0.75039999999999996</v>
          </cell>
          <cell r="O86">
            <v>1.0452000000000001</v>
          </cell>
          <cell r="P86">
            <v>1.0049999999999999</v>
          </cell>
          <cell r="U86">
            <v>10.653000000000002</v>
          </cell>
          <cell r="V86">
            <v>10.168647479999999</v>
          </cell>
          <cell r="W86">
            <v>12.68901</v>
          </cell>
          <cell r="X86">
            <v>0.48435252000000339</v>
          </cell>
          <cell r="Y86">
            <v>-2.0360099999999974</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0.71020000000000005</v>
          </cell>
          <cell r="F91">
            <v>0.72360000000000002</v>
          </cell>
          <cell r="G91">
            <v>1.0184</v>
          </cell>
          <cell r="H91">
            <v>0.73699999999999999</v>
          </cell>
          <cell r="I91">
            <v>0.83080000000000009</v>
          </cell>
          <cell r="J91">
            <v>1.2730000000000001</v>
          </cell>
          <cell r="K91">
            <v>0.67</v>
          </cell>
          <cell r="L91">
            <v>0.871</v>
          </cell>
          <cell r="M91">
            <v>1.0184</v>
          </cell>
          <cell r="N91">
            <v>0.75039999999999996</v>
          </cell>
          <cell r="O91">
            <v>1.0452000000000001</v>
          </cell>
          <cell r="P91">
            <v>1.0049999999999999</v>
          </cell>
          <cell r="U91">
            <v>10.653000000000002</v>
          </cell>
          <cell r="V91">
            <v>10.168647479999999</v>
          </cell>
          <cell r="W91">
            <v>12.68901</v>
          </cell>
          <cell r="X91">
            <v>0.48435252000000339</v>
          </cell>
          <cell r="Y91">
            <v>-2.0360099999999974</v>
          </cell>
        </row>
        <row r="92">
          <cell r="X92" t="str">
            <v/>
          </cell>
          <cell r="Y92" t="str">
            <v/>
          </cell>
        </row>
        <row r="93">
          <cell r="B93" t="str">
            <v>11 Direct Payroll</v>
          </cell>
          <cell r="X93" t="str">
            <v/>
          </cell>
          <cell r="Y93" t="str">
            <v/>
          </cell>
        </row>
        <row r="94">
          <cell r="A94">
            <v>66</v>
          </cell>
          <cell r="B94" t="str">
            <v>Salaries</v>
          </cell>
          <cell r="E94">
            <v>34.385652998563216</v>
          </cell>
          <cell r="F94">
            <v>34.385652998563216</v>
          </cell>
          <cell r="G94">
            <v>35.485652998563218</v>
          </cell>
          <cell r="H94">
            <v>34.385652998563216</v>
          </cell>
          <cell r="I94">
            <v>34.385652998563216</v>
          </cell>
          <cell r="J94">
            <v>35.485652998563218</v>
          </cell>
          <cell r="K94">
            <v>31.631744341063211</v>
          </cell>
          <cell r="L94">
            <v>31.631744341063211</v>
          </cell>
          <cell r="M94">
            <v>32.731744341063212</v>
          </cell>
          <cell r="N94">
            <v>31.631744341063211</v>
          </cell>
          <cell r="O94">
            <v>32.731744341063212</v>
          </cell>
          <cell r="P94">
            <v>32.731744341063212</v>
          </cell>
          <cell r="T94">
            <v>0</v>
          </cell>
          <cell r="U94">
            <v>401.60438403775862</v>
          </cell>
          <cell r="V94">
            <v>458.43801000000002</v>
          </cell>
          <cell r="W94">
            <v>607.80600000000004</v>
          </cell>
          <cell r="X94">
            <v>-56.833625962241399</v>
          </cell>
          <cell r="Y94">
            <v>-206.20161596224142</v>
          </cell>
        </row>
        <row r="95">
          <cell r="A95">
            <v>67</v>
          </cell>
          <cell r="B95" t="str">
            <v>Bonus/Commission</v>
          </cell>
          <cell r="E95">
            <v>1.2497804166666664</v>
          </cell>
          <cell r="F95">
            <v>1.2497804166666664</v>
          </cell>
          <cell r="G95">
            <v>1.2497804166666664</v>
          </cell>
          <cell r="H95">
            <v>1.2497804166666664</v>
          </cell>
          <cell r="I95">
            <v>1.2497804166666664</v>
          </cell>
          <cell r="J95">
            <v>1.2497804166666664</v>
          </cell>
          <cell r="K95">
            <v>1.2497804166666664</v>
          </cell>
          <cell r="L95">
            <v>1.2497804166666664</v>
          </cell>
          <cell r="M95">
            <v>1.2497804166666664</v>
          </cell>
          <cell r="N95">
            <v>1.2497804166666664</v>
          </cell>
          <cell r="O95">
            <v>1.2497804166666664</v>
          </cell>
          <cell r="P95">
            <v>1.2497804166666664</v>
          </cell>
          <cell r="T95">
            <v>0</v>
          </cell>
          <cell r="U95">
            <v>14.997365</v>
          </cell>
          <cell r="V95">
            <v>20.880024999999996</v>
          </cell>
          <cell r="W95">
            <v>40.893000000000001</v>
          </cell>
          <cell r="X95">
            <v>-5.882659999999996</v>
          </cell>
          <cell r="Y95">
            <v>-25.895634999999999</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9</v>
          </cell>
          <cell r="W97">
            <v>17.617999999999999</v>
          </cell>
          <cell r="X97">
            <v>-2.3639999999999999</v>
          </cell>
          <cell r="Y97">
            <v>-10.981999999999999</v>
          </cell>
        </row>
        <row r="98">
          <cell r="A98">
            <v>70</v>
          </cell>
          <cell r="B98" t="str">
            <v>Miscellaneous</v>
          </cell>
          <cell r="E98">
            <v>0.47099999999999997</v>
          </cell>
          <cell r="F98">
            <v>0.47099999999999997</v>
          </cell>
          <cell r="G98">
            <v>0.47099999999999997</v>
          </cell>
          <cell r="H98">
            <v>0.47099999999999997</v>
          </cell>
          <cell r="I98">
            <v>0.47099999999999997</v>
          </cell>
          <cell r="J98">
            <v>0.47099999999999997</v>
          </cell>
          <cell r="K98">
            <v>0.47099999999999997</v>
          </cell>
          <cell r="L98">
            <v>0.47099999999999997</v>
          </cell>
          <cell r="M98">
            <v>0.47099999999999997</v>
          </cell>
          <cell r="N98">
            <v>0.47099999999999997</v>
          </cell>
          <cell r="O98">
            <v>0.47099999999999997</v>
          </cell>
          <cell r="P98">
            <v>0.47099999999999997</v>
          </cell>
          <cell r="T98">
            <v>0</v>
          </cell>
          <cell r="U98">
            <v>5.6520000000000001</v>
          </cell>
          <cell r="V98">
            <v>6.2547400000000017</v>
          </cell>
          <cell r="W98">
            <v>10.64</v>
          </cell>
          <cell r="X98">
            <v>-0.60274000000000161</v>
          </cell>
          <cell r="Y98">
            <v>-4.9880000000000004</v>
          </cell>
        </row>
        <row r="99">
          <cell r="C99">
            <v>0</v>
          </cell>
          <cell r="E99">
            <v>36.659433415229877</v>
          </cell>
          <cell r="F99">
            <v>36.659433415229877</v>
          </cell>
          <cell r="G99">
            <v>37.759433415229879</v>
          </cell>
          <cell r="H99">
            <v>36.659433415229877</v>
          </cell>
          <cell r="I99">
            <v>36.659433415229877</v>
          </cell>
          <cell r="J99">
            <v>37.759433415229879</v>
          </cell>
          <cell r="K99">
            <v>33.905524757729872</v>
          </cell>
          <cell r="L99">
            <v>33.905524757729872</v>
          </cell>
          <cell r="M99">
            <v>35.005524757729873</v>
          </cell>
          <cell r="N99">
            <v>33.905524757729872</v>
          </cell>
          <cell r="O99">
            <v>35.005524757729873</v>
          </cell>
          <cell r="P99">
            <v>35.005524757729873</v>
          </cell>
          <cell r="R99">
            <v>0</v>
          </cell>
          <cell r="S99">
            <v>0</v>
          </cell>
          <cell r="T99">
            <v>0</v>
          </cell>
          <cell r="U99">
            <v>428.88974903775863</v>
          </cell>
          <cell r="V99">
            <v>494.57277500000004</v>
          </cell>
          <cell r="W99">
            <v>676.95700000000011</v>
          </cell>
          <cell r="X99">
            <v>-65.683025962241402</v>
          </cell>
          <cell r="Y99">
            <v>-248.06725096224147</v>
          </cell>
        </row>
        <row r="100">
          <cell r="X100" t="str">
            <v/>
          </cell>
          <cell r="Y100" t="str">
            <v/>
          </cell>
        </row>
        <row r="101">
          <cell r="B101" t="str">
            <v>16 Other Overhead Costs</v>
          </cell>
          <cell r="X101" t="str">
            <v/>
          </cell>
          <cell r="Y101" t="str">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T102">
            <v>0</v>
          </cell>
          <cell r="U102">
            <v>15.6</v>
          </cell>
          <cell r="V102">
            <v>14.940739999999998</v>
          </cell>
          <cell r="W102">
            <v>16.568999999999999</v>
          </cell>
          <cell r="X102">
            <v>0.65926000000000506</v>
          </cell>
          <cell r="Y102">
            <v>-0.96899999999999586</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31.265576666666664</v>
          </cell>
          <cell r="W104">
            <v>31.7</v>
          </cell>
          <cell r="X104">
            <v>-7.2655766666666644</v>
          </cell>
          <cell r="Y104">
            <v>-7.7</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8.9930699999999995</v>
          </cell>
          <cell r="W105">
            <v>9.5839999999999996</v>
          </cell>
          <cell r="X105">
            <v>3.0069300000000005</v>
          </cell>
          <cell r="Y105">
            <v>2.4160000000000004</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3.8360100000000004</v>
          </cell>
          <cell r="W106">
            <v>0</v>
          </cell>
          <cell r="X106">
            <v>2.1639899999999996</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0.20399999999999999</v>
          </cell>
          <cell r="F108">
            <v>0.20399999999999999</v>
          </cell>
          <cell r="G108">
            <v>0.20399999999999999</v>
          </cell>
          <cell r="H108">
            <v>0.20399999999999999</v>
          </cell>
          <cell r="I108">
            <v>0.20399999999999999</v>
          </cell>
          <cell r="J108">
            <v>0.20399999999999999</v>
          </cell>
          <cell r="K108">
            <v>0.20399999999999999</v>
          </cell>
          <cell r="L108">
            <v>0.20399999999999999</v>
          </cell>
          <cell r="M108">
            <v>0.20399999999999999</v>
          </cell>
          <cell r="N108">
            <v>0.20399999999999999</v>
          </cell>
          <cell r="O108">
            <v>0.20399999999999999</v>
          </cell>
          <cell r="P108">
            <v>0.20399999999999999</v>
          </cell>
          <cell r="T108">
            <v>0</v>
          </cell>
          <cell r="U108">
            <v>2.4480000000000004</v>
          </cell>
          <cell r="V108">
            <v>4.6437667200000003</v>
          </cell>
          <cell r="W108">
            <v>13.945990000000002</v>
          </cell>
          <cell r="X108">
            <v>-2.1957667199999999</v>
          </cell>
          <cell r="Y108">
            <v>-11.497990000000001</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5.2228800000000009</v>
          </cell>
          <cell r="F111">
            <v>5.2228800000000009</v>
          </cell>
          <cell r="G111">
            <v>5.0544000000000002</v>
          </cell>
          <cell r="H111">
            <v>5.2228800000000009</v>
          </cell>
          <cell r="I111">
            <v>5.0544000000000002</v>
          </cell>
          <cell r="J111">
            <v>5.2228800000000009</v>
          </cell>
          <cell r="K111">
            <v>22.281880000000001</v>
          </cell>
          <cell r="L111">
            <v>7.2174399999999999</v>
          </cell>
          <cell r="M111">
            <v>7.4728800000000009</v>
          </cell>
          <cell r="N111">
            <v>5.0544000000000002</v>
          </cell>
          <cell r="O111">
            <v>5.2228800000000009</v>
          </cell>
          <cell r="P111">
            <v>5.0544000000000002</v>
          </cell>
          <cell r="T111">
            <v>0</v>
          </cell>
          <cell r="U111">
            <v>83.304200000000009</v>
          </cell>
          <cell r="V111">
            <v>98.911810000000017</v>
          </cell>
          <cell r="W111">
            <v>158.249</v>
          </cell>
          <cell r="X111">
            <v>-15.607610000000008</v>
          </cell>
          <cell r="Y111">
            <v>-74.944799999999987</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51.36844</v>
          </cell>
          <cell r="W112">
            <v>89.638999999999996</v>
          </cell>
          <cell r="X112">
            <v>-3.3684399999999997</v>
          </cell>
          <cell r="Y112">
            <v>-41.638999999999996</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6.8987900000000009</v>
          </cell>
          <cell r="W113">
            <v>6.9480000000000004</v>
          </cell>
          <cell r="X113">
            <v>0.30120999999999754</v>
          </cell>
          <cell r="Y113">
            <v>0.251999999999998</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0.36380999999999997</v>
          </cell>
          <cell r="W114">
            <v>5.2789999999999999</v>
          </cell>
          <cell r="X114">
            <v>2.0361899999999999</v>
          </cell>
          <cell r="Y114">
            <v>-2.879</v>
          </cell>
        </row>
        <row r="115">
          <cell r="A115">
            <v>84</v>
          </cell>
          <cell r="B115" t="str">
            <v>Freight</v>
          </cell>
          <cell r="E115">
            <v>0.5</v>
          </cell>
          <cell r="F115">
            <v>0.5</v>
          </cell>
          <cell r="G115">
            <v>0.5</v>
          </cell>
          <cell r="H115">
            <v>0.5</v>
          </cell>
          <cell r="I115">
            <v>0.5</v>
          </cell>
          <cell r="J115">
            <v>0.5</v>
          </cell>
          <cell r="K115">
            <v>0.5</v>
          </cell>
          <cell r="L115">
            <v>0.5</v>
          </cell>
          <cell r="M115">
            <v>0.5</v>
          </cell>
          <cell r="N115">
            <v>0.5</v>
          </cell>
          <cell r="O115">
            <v>0.5</v>
          </cell>
          <cell r="P115">
            <v>0.5</v>
          </cell>
          <cell r="T115">
            <v>0</v>
          </cell>
          <cell r="U115">
            <v>6</v>
          </cell>
          <cell r="V115">
            <v>5.5111099999999986</v>
          </cell>
          <cell r="W115">
            <v>4.5910000000000002</v>
          </cell>
          <cell r="X115">
            <v>0.48889000000000138</v>
          </cell>
          <cell r="Y115">
            <v>1.4089999999999998</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0.2</v>
          </cell>
          <cell r="F117">
            <v>0.2</v>
          </cell>
          <cell r="G117">
            <v>0.2</v>
          </cell>
          <cell r="H117">
            <v>0.2</v>
          </cell>
          <cell r="I117">
            <v>0.2</v>
          </cell>
          <cell r="J117">
            <v>0.2</v>
          </cell>
          <cell r="K117">
            <v>0.2</v>
          </cell>
          <cell r="L117">
            <v>0.2</v>
          </cell>
          <cell r="M117">
            <v>0.2</v>
          </cell>
          <cell r="N117">
            <v>0.2</v>
          </cell>
          <cell r="O117">
            <v>0.2</v>
          </cell>
          <cell r="P117">
            <v>0.2</v>
          </cell>
          <cell r="T117">
            <v>0</v>
          </cell>
          <cell r="U117">
            <v>2.4</v>
          </cell>
          <cell r="V117">
            <v>2.5334400000000006</v>
          </cell>
          <cell r="W117">
            <v>6.2009999999999996</v>
          </cell>
          <cell r="X117">
            <v>-0.13344000000000067</v>
          </cell>
          <cell r="Y117">
            <v>-3.8009999999999997</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0.49159433415229881</v>
          </cell>
          <cell r="F119">
            <v>0.49159433415229881</v>
          </cell>
          <cell r="G119">
            <v>0.50259433415229882</v>
          </cell>
          <cell r="H119">
            <v>0.49159433415229881</v>
          </cell>
          <cell r="I119">
            <v>0.49159433415229881</v>
          </cell>
          <cell r="J119">
            <v>0.50259433415229882</v>
          </cell>
          <cell r="K119">
            <v>0.46405524757729882</v>
          </cell>
          <cell r="L119">
            <v>0.46405524757729882</v>
          </cell>
          <cell r="M119">
            <v>0.47505524757729883</v>
          </cell>
          <cell r="N119">
            <v>0.46405524757729882</v>
          </cell>
          <cell r="O119">
            <v>0.47505524757729883</v>
          </cell>
          <cell r="P119">
            <v>0.47505524757729883</v>
          </cell>
          <cell r="T119">
            <v>0</v>
          </cell>
          <cell r="U119">
            <v>5.7888974903775852</v>
          </cell>
          <cell r="V119">
            <v>5.4304099999999993</v>
          </cell>
          <cell r="W119">
            <v>9.9930000000000003</v>
          </cell>
          <cell r="X119">
            <v>0.35848749037758587</v>
          </cell>
          <cell r="Y119">
            <v>-4.2041025096224152</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17</v>
          </cell>
          <cell r="F122">
            <v>17</v>
          </cell>
          <cell r="G122">
            <v>17</v>
          </cell>
          <cell r="H122">
            <v>17</v>
          </cell>
          <cell r="I122">
            <v>17</v>
          </cell>
          <cell r="J122">
            <v>17</v>
          </cell>
          <cell r="K122">
            <v>17</v>
          </cell>
          <cell r="L122">
            <v>17</v>
          </cell>
          <cell r="M122">
            <v>17</v>
          </cell>
          <cell r="N122">
            <v>17</v>
          </cell>
          <cell r="O122">
            <v>17</v>
          </cell>
          <cell r="P122">
            <v>17</v>
          </cell>
          <cell r="U122">
            <v>204</v>
          </cell>
          <cell r="V122">
            <v>228</v>
          </cell>
          <cell r="W122">
            <v>230.57</v>
          </cell>
          <cell r="X122">
            <v>-24</v>
          </cell>
          <cell r="Y122">
            <v>-26.57</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0.8</v>
          </cell>
          <cell r="F124">
            <v>0.8</v>
          </cell>
          <cell r="G124">
            <v>0.8</v>
          </cell>
          <cell r="H124">
            <v>0.8</v>
          </cell>
          <cell r="I124">
            <v>0.8</v>
          </cell>
          <cell r="J124">
            <v>0.8</v>
          </cell>
          <cell r="K124">
            <v>0.8</v>
          </cell>
          <cell r="L124">
            <v>0.8</v>
          </cell>
          <cell r="M124">
            <v>0.8</v>
          </cell>
          <cell r="N124">
            <v>0.8</v>
          </cell>
          <cell r="O124">
            <v>0.8</v>
          </cell>
          <cell r="P124">
            <v>0.8</v>
          </cell>
          <cell r="T124">
            <v>0</v>
          </cell>
          <cell r="U124">
            <v>9.6</v>
          </cell>
          <cell r="V124">
            <v>3.0370999999999988</v>
          </cell>
          <cell r="W124">
            <v>5.9450000000000003</v>
          </cell>
          <cell r="X124">
            <v>6.5629000000000008</v>
          </cell>
          <cell r="Y124">
            <v>3.6549999999999998</v>
          </cell>
        </row>
        <row r="125">
          <cell r="C125">
            <v>0</v>
          </cell>
          <cell r="E125">
            <v>35.318474334152299</v>
          </cell>
          <cell r="F125">
            <v>35.318474334152299</v>
          </cell>
          <cell r="G125">
            <v>35.160994334152292</v>
          </cell>
          <cell r="H125">
            <v>35.318474334152299</v>
          </cell>
          <cell r="I125">
            <v>35.149994334152296</v>
          </cell>
          <cell r="J125">
            <v>35.329474334152295</v>
          </cell>
          <cell r="K125">
            <v>52.349935247577299</v>
          </cell>
          <cell r="L125">
            <v>37.285495247577302</v>
          </cell>
          <cell r="M125">
            <v>37.551935247577298</v>
          </cell>
          <cell r="N125">
            <v>35.122455247577292</v>
          </cell>
          <cell r="O125">
            <v>35.301935247577298</v>
          </cell>
          <cell r="P125">
            <v>35.133455247577295</v>
          </cell>
          <cell r="R125">
            <v>0</v>
          </cell>
          <cell r="S125">
            <v>0</v>
          </cell>
          <cell r="T125">
            <v>0</v>
          </cell>
          <cell r="U125">
            <v>444.34109749037759</v>
          </cell>
          <cell r="V125">
            <v>481.33407338666666</v>
          </cell>
          <cell r="W125">
            <v>604.81398999999999</v>
          </cell>
          <cell r="X125">
            <v>-36.992975896289067</v>
          </cell>
          <cell r="Y125">
            <v>-160.4728925096224</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cell>
          <cell r="Y132" t="str">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35" refreshError="1">
        <row r="11">
          <cell r="A11">
            <v>1</v>
          </cell>
          <cell r="B11" t="str">
            <v>Net Film Revenue</v>
          </cell>
          <cell r="E11">
            <v>351.87600000000003</v>
          </cell>
          <cell r="F11">
            <v>351.87600000000003</v>
          </cell>
          <cell r="G11">
            <v>466.25600000000003</v>
          </cell>
          <cell r="H11">
            <v>335.84800000000001</v>
          </cell>
          <cell r="I11">
            <v>374.09800000000001</v>
          </cell>
          <cell r="J11">
            <v>553.3180000000001</v>
          </cell>
          <cell r="K11">
            <v>343.49800000000005</v>
          </cell>
          <cell r="L11">
            <v>404.32800000000003</v>
          </cell>
          <cell r="M11">
            <v>444.76200000000006</v>
          </cell>
          <cell r="N11">
            <v>352.60399999999998</v>
          </cell>
          <cell r="O11">
            <v>443.30600000000004</v>
          </cell>
          <cell r="P11">
            <v>441.85</v>
          </cell>
          <cell r="Q11" t="e">
            <v>#VALUE!</v>
          </cell>
          <cell r="T11">
            <v>0</v>
          </cell>
          <cell r="U11">
            <v>4863.62</v>
          </cell>
          <cell r="V11">
            <v>2716.1770000000001</v>
          </cell>
          <cell r="W11">
            <v>0</v>
          </cell>
          <cell r="X11">
            <v>2147.4430000000007</v>
          </cell>
          <cell r="Y11">
            <v>4863.62</v>
          </cell>
        </row>
        <row r="12">
          <cell r="A12">
            <v>2</v>
          </cell>
          <cell r="B12" t="str">
            <v>Concession Sales</v>
          </cell>
          <cell r="E12">
            <v>61.74</v>
          </cell>
          <cell r="F12">
            <v>61.74</v>
          </cell>
          <cell r="G12">
            <v>82.04</v>
          </cell>
          <cell r="H12">
            <v>58.87</v>
          </cell>
          <cell r="I12">
            <v>65.87</v>
          </cell>
          <cell r="J12">
            <v>97.72</v>
          </cell>
          <cell r="K12">
            <v>60.27</v>
          </cell>
          <cell r="L12">
            <v>70.77</v>
          </cell>
          <cell r="M12">
            <v>77.98</v>
          </cell>
          <cell r="N12">
            <v>61.81</v>
          </cell>
          <cell r="O12">
            <v>77.84</v>
          </cell>
          <cell r="P12">
            <v>77.7</v>
          </cell>
          <cell r="T12">
            <v>0</v>
          </cell>
          <cell r="U12">
            <v>854.35</v>
          </cell>
          <cell r="V12">
            <v>344.09500000000003</v>
          </cell>
          <cell r="W12">
            <v>0</v>
          </cell>
          <cell r="X12">
            <v>510.255</v>
          </cell>
          <cell r="Y12">
            <v>854.35</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212.73799999999997</v>
          </cell>
          <cell r="W15">
            <v>0</v>
          </cell>
          <cell r="X15">
            <v>21.262000000000029</v>
          </cell>
          <cell r="Y15">
            <v>234</v>
          </cell>
        </row>
        <row r="16">
          <cell r="A16">
            <v>6</v>
          </cell>
          <cell r="B16" t="str">
            <v>Other Income</v>
          </cell>
          <cell r="C16">
            <v>0</v>
          </cell>
          <cell r="E16">
            <v>13.782225</v>
          </cell>
          <cell r="F16">
            <v>13.782225</v>
          </cell>
          <cell r="G16">
            <v>13.782225</v>
          </cell>
          <cell r="H16">
            <v>13.782225</v>
          </cell>
          <cell r="I16">
            <v>13.782225</v>
          </cell>
          <cell r="J16">
            <v>13.782225</v>
          </cell>
          <cell r="K16">
            <v>13.782225</v>
          </cell>
          <cell r="L16">
            <v>13.782225</v>
          </cell>
          <cell r="M16">
            <v>13.782225</v>
          </cell>
          <cell r="N16">
            <v>13.782225</v>
          </cell>
          <cell r="O16">
            <v>13.782225</v>
          </cell>
          <cell r="P16">
            <v>13.782225</v>
          </cell>
          <cell r="R16">
            <v>0</v>
          </cell>
          <cell r="S16">
            <v>0</v>
          </cell>
          <cell r="T16">
            <v>0</v>
          </cell>
          <cell r="U16">
            <v>165.38670000000002</v>
          </cell>
          <cell r="V16">
            <v>75.548249999999996</v>
          </cell>
          <cell r="W16">
            <v>0</v>
          </cell>
          <cell r="X16">
            <v>89.838450000000023</v>
          </cell>
          <cell r="Y16">
            <v>165.38670000000002</v>
          </cell>
        </row>
        <row r="17">
          <cell r="B17" t="str">
            <v>TOTAL REVENUE</v>
          </cell>
          <cell r="C17">
            <v>0</v>
          </cell>
          <cell r="E17">
            <v>446.89822500000002</v>
          </cell>
          <cell r="F17">
            <v>446.89822500000002</v>
          </cell>
          <cell r="G17">
            <v>581.57822500000009</v>
          </cell>
          <cell r="H17">
            <v>428.000225</v>
          </cell>
          <cell r="I17">
            <v>473.250225</v>
          </cell>
          <cell r="J17">
            <v>684.32022500000016</v>
          </cell>
          <cell r="K17">
            <v>437.05022500000001</v>
          </cell>
          <cell r="L17">
            <v>508.380225</v>
          </cell>
          <cell r="M17">
            <v>556.02422500000011</v>
          </cell>
          <cell r="N17">
            <v>447.69622499999997</v>
          </cell>
          <cell r="O17">
            <v>554.42822500000011</v>
          </cell>
          <cell r="P17">
            <v>552.83222499999999</v>
          </cell>
          <cell r="R17">
            <v>0</v>
          </cell>
          <cell r="S17">
            <v>0</v>
          </cell>
          <cell r="T17">
            <v>0</v>
          </cell>
          <cell r="U17">
            <v>6117.3567000000003</v>
          </cell>
          <cell r="V17">
            <v>3348.5582499999996</v>
          </cell>
          <cell r="W17">
            <v>0</v>
          </cell>
          <cell r="X17">
            <v>2768.7984500000007</v>
          </cell>
          <cell r="Y17">
            <v>6117.3567000000003</v>
          </cell>
        </row>
        <row r="19">
          <cell r="A19">
            <v>7</v>
          </cell>
          <cell r="B19" t="str">
            <v>Film Hire</v>
          </cell>
          <cell r="E19">
            <v>163.62234000000004</v>
          </cell>
          <cell r="F19">
            <v>163.62234000000004</v>
          </cell>
          <cell r="G19">
            <v>216.80904000000004</v>
          </cell>
          <cell r="H19">
            <v>156.16932000000003</v>
          </cell>
          <cell r="I19">
            <v>173.95557000000002</v>
          </cell>
          <cell r="J19">
            <v>257.29287000000005</v>
          </cell>
          <cell r="K19">
            <v>159.72657000000004</v>
          </cell>
          <cell r="L19">
            <v>188.01252000000002</v>
          </cell>
          <cell r="M19">
            <v>206.81433000000004</v>
          </cell>
          <cell r="N19">
            <v>163.96086</v>
          </cell>
          <cell r="O19">
            <v>206.13729000000004</v>
          </cell>
          <cell r="P19">
            <v>205.46025000000003</v>
          </cell>
          <cell r="U19">
            <v>2261.5833000000002</v>
          </cell>
          <cell r="V19">
            <v>1268.2820000000002</v>
          </cell>
          <cell r="W19">
            <v>0</v>
          </cell>
          <cell r="X19">
            <v>993.30130000000008</v>
          </cell>
          <cell r="Y19">
            <v>2261.5833000000002</v>
          </cell>
        </row>
        <row r="20">
          <cell r="A20">
            <v>8</v>
          </cell>
          <cell r="B20" t="str">
            <v>Concession Cost</v>
          </cell>
          <cell r="E20">
            <v>14.200199999999999</v>
          </cell>
          <cell r="F20">
            <v>14.200199999999999</v>
          </cell>
          <cell r="G20">
            <v>18.869199999999999</v>
          </cell>
          <cell r="H20">
            <v>13.540099999999999</v>
          </cell>
          <cell r="I20">
            <v>15.150099999999998</v>
          </cell>
          <cell r="J20">
            <v>22.475599999999996</v>
          </cell>
          <cell r="K20">
            <v>13.862099999999998</v>
          </cell>
          <cell r="L20">
            <v>16.277100000000001</v>
          </cell>
          <cell r="M20">
            <v>17.935400000000001</v>
          </cell>
          <cell r="N20">
            <v>14.2163</v>
          </cell>
          <cell r="O20">
            <v>17.903200000000002</v>
          </cell>
          <cell r="P20">
            <v>17.870999999999999</v>
          </cell>
          <cell r="T20">
            <v>0</v>
          </cell>
          <cell r="U20">
            <v>196.50049999999999</v>
          </cell>
          <cell r="V20">
            <v>65.610100000000003</v>
          </cell>
          <cell r="W20">
            <v>0</v>
          </cell>
          <cell r="X20">
            <v>130.8904</v>
          </cell>
          <cell r="Y20">
            <v>196.50049999999999</v>
          </cell>
        </row>
        <row r="21">
          <cell r="A21">
            <v>9</v>
          </cell>
          <cell r="B21" t="str">
            <v>Less Concession Rebates</v>
          </cell>
          <cell r="E21">
            <v>-1.5434999999999999</v>
          </cell>
          <cell r="F21">
            <v>-1.5434999999999999</v>
          </cell>
          <cell r="G21">
            <v>-2.0509999999999997</v>
          </cell>
          <cell r="H21">
            <v>-1.4717499999999999</v>
          </cell>
          <cell r="I21">
            <v>-1.6467499999999999</v>
          </cell>
          <cell r="J21">
            <v>-2.4429999999999996</v>
          </cell>
          <cell r="K21">
            <v>-1.5067499999999998</v>
          </cell>
          <cell r="L21">
            <v>-1.76925</v>
          </cell>
          <cell r="M21">
            <v>-1.9495000000000002</v>
          </cell>
          <cell r="N21">
            <v>-1.54525</v>
          </cell>
          <cell r="O21">
            <v>-1.9460000000000002</v>
          </cell>
          <cell r="P21">
            <v>-1.9424999999999999</v>
          </cell>
          <cell r="U21">
            <v>-21.358750000000001</v>
          </cell>
          <cell r="V21">
            <v>-9.56</v>
          </cell>
          <cell r="W21">
            <v>0</v>
          </cell>
          <cell r="X21">
            <v>-11.79875</v>
          </cell>
          <cell r="Y21">
            <v>-21.358750000000001</v>
          </cell>
        </row>
        <row r="22">
          <cell r="A22">
            <v>10</v>
          </cell>
          <cell r="B22" t="str">
            <v>Advertising Cost</v>
          </cell>
          <cell r="E22">
            <v>8.0931480000000011</v>
          </cell>
          <cell r="F22">
            <v>8.0931480000000011</v>
          </cell>
          <cell r="G22">
            <v>10.723888000000001</v>
          </cell>
          <cell r="H22">
            <v>7.7245040000000005</v>
          </cell>
          <cell r="I22">
            <v>8.604254000000001</v>
          </cell>
          <cell r="J22">
            <v>12.726314000000002</v>
          </cell>
          <cell r="K22">
            <v>7.9004540000000008</v>
          </cell>
          <cell r="L22">
            <v>9.2995440000000009</v>
          </cell>
          <cell r="M22">
            <v>10.229526000000002</v>
          </cell>
          <cell r="N22">
            <v>8.1098920000000003</v>
          </cell>
          <cell r="O22">
            <v>10.196038000000001</v>
          </cell>
          <cell r="P22">
            <v>10.16255</v>
          </cell>
          <cell r="T22">
            <v>0</v>
          </cell>
          <cell r="U22">
            <v>111.86326000000003</v>
          </cell>
          <cell r="V22">
            <v>58.786860000000004</v>
          </cell>
          <cell r="W22">
            <v>0</v>
          </cell>
          <cell r="X22">
            <v>53.076400000000021</v>
          </cell>
          <cell r="Y22">
            <v>111.86326000000003</v>
          </cell>
        </row>
        <row r="23">
          <cell r="A23">
            <v>11</v>
          </cell>
          <cell r="B23" t="str">
            <v>Other Cost</v>
          </cell>
          <cell r="C23">
            <v>0</v>
          </cell>
          <cell r="E23">
            <v>0.70375200000000004</v>
          </cell>
          <cell r="F23">
            <v>0.70375200000000004</v>
          </cell>
          <cell r="G23">
            <v>0.93251200000000012</v>
          </cell>
          <cell r="H23">
            <v>0.67169600000000007</v>
          </cell>
          <cell r="I23">
            <v>0.74819600000000008</v>
          </cell>
          <cell r="J23">
            <v>1.1066360000000002</v>
          </cell>
          <cell r="K23">
            <v>0.68699600000000016</v>
          </cell>
          <cell r="L23">
            <v>0.80865600000000004</v>
          </cell>
          <cell r="M23">
            <v>0.88952400000000009</v>
          </cell>
          <cell r="N23">
            <v>0.70520799999999995</v>
          </cell>
          <cell r="O23">
            <v>0.88661200000000007</v>
          </cell>
          <cell r="P23">
            <v>0.88370000000000004</v>
          </cell>
          <cell r="R23">
            <v>0</v>
          </cell>
          <cell r="S23">
            <v>0</v>
          </cell>
          <cell r="T23">
            <v>0</v>
          </cell>
          <cell r="U23">
            <v>9.7272399999999983</v>
          </cell>
          <cell r="V23">
            <v>5.4323540000000001</v>
          </cell>
          <cell r="W23">
            <v>0</v>
          </cell>
          <cell r="X23">
            <v>4.2948859999999982</v>
          </cell>
          <cell r="Y23">
            <v>9.7272399999999983</v>
          </cell>
        </row>
        <row r="24">
          <cell r="A24">
            <v>12</v>
          </cell>
          <cell r="B24" t="str">
            <v>Direct Payroll</v>
          </cell>
          <cell r="C24">
            <v>0</v>
          </cell>
          <cell r="E24">
            <v>39.990848205229867</v>
          </cell>
          <cell r="F24">
            <v>39.990848205229867</v>
          </cell>
          <cell r="G24">
            <v>41.090848205229868</v>
          </cell>
          <cell r="H24">
            <v>39.990848205229867</v>
          </cell>
          <cell r="I24">
            <v>39.990848205229867</v>
          </cell>
          <cell r="J24">
            <v>41.090848205229868</v>
          </cell>
          <cell r="K24">
            <v>40.643640968929873</v>
          </cell>
          <cell r="L24">
            <v>40.643640968929873</v>
          </cell>
          <cell r="M24">
            <v>41.743640968929874</v>
          </cell>
          <cell r="N24">
            <v>40.643640968929873</v>
          </cell>
          <cell r="O24">
            <v>41.743640968929874</v>
          </cell>
          <cell r="P24">
            <v>41.743640968929874</v>
          </cell>
          <cell r="R24">
            <v>0</v>
          </cell>
          <cell r="S24">
            <v>0</v>
          </cell>
          <cell r="T24">
            <v>0</v>
          </cell>
          <cell r="U24">
            <v>489.30693504495832</v>
          </cell>
          <cell r="V24">
            <v>207.39718999999997</v>
          </cell>
          <cell r="W24">
            <v>0</v>
          </cell>
          <cell r="X24">
            <v>281.90974504495836</v>
          </cell>
          <cell r="Y24">
            <v>489.30693504495832</v>
          </cell>
        </row>
        <row r="25">
          <cell r="B25" t="str">
            <v>TOTAL COST</v>
          </cell>
          <cell r="C25">
            <v>0</v>
          </cell>
          <cell r="E25">
            <v>225.06678820522993</v>
          </cell>
          <cell r="F25">
            <v>225.06678820522993</v>
          </cell>
          <cell r="G25">
            <v>286.37448820522991</v>
          </cell>
          <cell r="H25">
            <v>216.6247182052299</v>
          </cell>
          <cell r="I25">
            <v>236.80221820522991</v>
          </cell>
          <cell r="J25">
            <v>332.2492682052299</v>
          </cell>
          <cell r="K25">
            <v>221.31301096892989</v>
          </cell>
          <cell r="L25">
            <v>253.2722109689299</v>
          </cell>
          <cell r="M25">
            <v>275.66292096892994</v>
          </cell>
          <cell r="N25">
            <v>226.09065096892985</v>
          </cell>
          <cell r="O25">
            <v>274.92078096892993</v>
          </cell>
          <cell r="P25">
            <v>274.17864096892993</v>
          </cell>
          <cell r="R25">
            <v>0</v>
          </cell>
          <cell r="S25">
            <v>0</v>
          </cell>
          <cell r="T25">
            <v>0</v>
          </cell>
          <cell r="U25">
            <v>3047.6224850449585</v>
          </cell>
          <cell r="V25">
            <v>1595.9485040000002</v>
          </cell>
          <cell r="W25">
            <v>0</v>
          </cell>
          <cell r="X25">
            <v>1451.6739810449583</v>
          </cell>
          <cell r="Y25">
            <v>3047.6224850449585</v>
          </cell>
        </row>
        <row r="27">
          <cell r="B27" t="str">
            <v>GROSS MARGIN</v>
          </cell>
          <cell r="C27">
            <v>0</v>
          </cell>
          <cell r="E27">
            <v>221.8314367947701</v>
          </cell>
          <cell r="F27">
            <v>221.8314367947701</v>
          </cell>
          <cell r="G27">
            <v>295.20373679477018</v>
          </cell>
          <cell r="H27">
            <v>211.3755067947701</v>
          </cell>
          <cell r="I27">
            <v>236.44800679477009</v>
          </cell>
          <cell r="J27">
            <v>352.07095679477027</v>
          </cell>
          <cell r="K27">
            <v>215.73721403107012</v>
          </cell>
          <cell r="L27">
            <v>255.1080140310701</v>
          </cell>
          <cell r="M27">
            <v>280.36130403107018</v>
          </cell>
          <cell r="N27">
            <v>221.60557403107012</v>
          </cell>
          <cell r="O27">
            <v>279.50744403107018</v>
          </cell>
          <cell r="P27">
            <v>278.65358403107007</v>
          </cell>
          <cell r="R27">
            <v>0</v>
          </cell>
          <cell r="S27">
            <v>0</v>
          </cell>
          <cell r="T27">
            <v>0</v>
          </cell>
          <cell r="U27">
            <v>3069.7342149550414</v>
          </cell>
          <cell r="V27">
            <v>1752.6097459999994</v>
          </cell>
          <cell r="W27">
            <v>0</v>
          </cell>
          <cell r="X27">
            <v>1317.1244689550419</v>
          </cell>
          <cell r="Y27">
            <v>3069.7342149550414</v>
          </cell>
        </row>
        <row r="28">
          <cell r="X28" t="str">
            <v/>
          </cell>
          <cell r="Y28" t="str">
            <v/>
          </cell>
        </row>
        <row r="29">
          <cell r="A29">
            <v>13</v>
          </cell>
          <cell r="B29" t="str">
            <v>Direct Rent</v>
          </cell>
          <cell r="E29">
            <v>103.88759999999999</v>
          </cell>
          <cell r="F29">
            <v>103.88759999999999</v>
          </cell>
          <cell r="G29">
            <v>103.88759999999999</v>
          </cell>
          <cell r="H29">
            <v>103.88759999999999</v>
          </cell>
          <cell r="I29">
            <v>103.88759999999999</v>
          </cell>
          <cell r="J29">
            <v>103.88759999999999</v>
          </cell>
          <cell r="K29">
            <v>103.88759999999999</v>
          </cell>
          <cell r="L29">
            <v>103.88759999999999</v>
          </cell>
          <cell r="M29">
            <v>103.88759999999999</v>
          </cell>
          <cell r="N29">
            <v>103.88759999999999</v>
          </cell>
          <cell r="O29">
            <v>103.88759999999999</v>
          </cell>
          <cell r="P29">
            <v>103.88759999999999</v>
          </cell>
          <cell r="T29">
            <v>0</v>
          </cell>
          <cell r="U29">
            <v>1246.6512</v>
          </cell>
          <cell r="V29">
            <v>320.05664999999999</v>
          </cell>
          <cell r="W29">
            <v>0</v>
          </cell>
          <cell r="X29">
            <v>926.59455000000003</v>
          </cell>
          <cell r="Y29">
            <v>1246.6512</v>
          </cell>
        </row>
        <row r="30">
          <cell r="A30">
            <v>14</v>
          </cell>
          <cell r="B30" t="str">
            <v>Light, Heat and Power</v>
          </cell>
          <cell r="E30">
            <v>15.2</v>
          </cell>
          <cell r="F30">
            <v>15.2</v>
          </cell>
          <cell r="G30">
            <v>15.2</v>
          </cell>
          <cell r="H30">
            <v>15.2</v>
          </cell>
          <cell r="I30">
            <v>15.2</v>
          </cell>
          <cell r="J30">
            <v>15.2</v>
          </cell>
          <cell r="K30">
            <v>15.2</v>
          </cell>
          <cell r="L30">
            <v>15.2</v>
          </cell>
          <cell r="M30">
            <v>15.2</v>
          </cell>
          <cell r="N30">
            <v>15.2</v>
          </cell>
          <cell r="O30">
            <v>15.2</v>
          </cell>
          <cell r="P30">
            <v>15.2</v>
          </cell>
          <cell r="T30">
            <v>0</v>
          </cell>
          <cell r="U30">
            <v>182.4</v>
          </cell>
          <cell r="V30">
            <v>79.374000000000009</v>
          </cell>
          <cell r="W30">
            <v>0</v>
          </cell>
          <cell r="X30">
            <v>103.02599999999997</v>
          </cell>
          <cell r="Y30">
            <v>182.4</v>
          </cell>
        </row>
        <row r="31">
          <cell r="A31">
            <v>15</v>
          </cell>
          <cell r="B31" t="str">
            <v>Repair &amp; Maintenance</v>
          </cell>
          <cell r="E31">
            <v>11.12</v>
          </cell>
          <cell r="F31">
            <v>11.12</v>
          </cell>
          <cell r="G31">
            <v>11.12</v>
          </cell>
          <cell r="H31">
            <v>16.12</v>
          </cell>
          <cell r="I31">
            <v>11.12</v>
          </cell>
          <cell r="J31">
            <v>11.12</v>
          </cell>
          <cell r="K31">
            <v>12.775</v>
          </cell>
          <cell r="L31">
            <v>12.775</v>
          </cell>
          <cell r="M31">
            <v>12.775</v>
          </cell>
          <cell r="N31">
            <v>12.775</v>
          </cell>
          <cell r="O31">
            <v>12.775</v>
          </cell>
          <cell r="P31">
            <v>12.775</v>
          </cell>
          <cell r="T31">
            <v>0</v>
          </cell>
          <cell r="U31">
            <v>148.37</v>
          </cell>
          <cell r="V31">
            <v>58.412166666666664</v>
          </cell>
          <cell r="W31">
            <v>0</v>
          </cell>
          <cell r="X31">
            <v>89.957833333333369</v>
          </cell>
          <cell r="Y31">
            <v>148.37</v>
          </cell>
        </row>
        <row r="32">
          <cell r="A32">
            <v>16</v>
          </cell>
          <cell r="B32" t="str">
            <v>Common Area Maintenance</v>
          </cell>
          <cell r="E32">
            <v>47.792400000000001</v>
          </cell>
          <cell r="F32">
            <v>47.792400000000001</v>
          </cell>
          <cell r="G32">
            <v>48.212400000000002</v>
          </cell>
          <cell r="H32">
            <v>47.792400000000001</v>
          </cell>
          <cell r="I32">
            <v>47.792400000000001</v>
          </cell>
          <cell r="J32">
            <v>48.212400000000002</v>
          </cell>
          <cell r="K32">
            <v>47.792400000000001</v>
          </cell>
          <cell r="L32">
            <v>47.792400000000001</v>
          </cell>
          <cell r="M32">
            <v>48.212400000000002</v>
          </cell>
          <cell r="N32">
            <v>47.792400000000001</v>
          </cell>
          <cell r="O32">
            <v>47.792400000000001</v>
          </cell>
          <cell r="P32">
            <v>48.212400000000002</v>
          </cell>
          <cell r="T32">
            <v>0</v>
          </cell>
          <cell r="U32">
            <v>575.18880000000001</v>
          </cell>
          <cell r="V32">
            <v>265.142</v>
          </cell>
          <cell r="W32">
            <v>0</v>
          </cell>
          <cell r="X32">
            <v>310.04680000000002</v>
          </cell>
          <cell r="Y32">
            <v>575.18880000000001</v>
          </cell>
        </row>
        <row r="33">
          <cell r="A33">
            <v>17</v>
          </cell>
          <cell r="B33" t="str">
            <v>Other Overhead Costs</v>
          </cell>
          <cell r="C33">
            <v>0</v>
          </cell>
          <cell r="E33">
            <v>17.947788482052299</v>
          </cell>
          <cell r="F33">
            <v>17.947788482052299</v>
          </cell>
          <cell r="G33">
            <v>17.790308482052296</v>
          </cell>
          <cell r="H33">
            <v>17.947788482052299</v>
          </cell>
          <cell r="I33">
            <v>17.779308482052297</v>
          </cell>
          <cell r="J33">
            <v>17.958788482052299</v>
          </cell>
          <cell r="K33">
            <v>17.954316409689302</v>
          </cell>
          <cell r="L33">
            <v>19.948876409689298</v>
          </cell>
          <cell r="M33">
            <v>17.965316409689301</v>
          </cell>
          <cell r="N33">
            <v>17.785836409689299</v>
          </cell>
          <cell r="O33">
            <v>17.965316409689301</v>
          </cell>
          <cell r="P33">
            <v>17.796836409689298</v>
          </cell>
          <cell r="R33">
            <v>0</v>
          </cell>
          <cell r="S33">
            <v>0</v>
          </cell>
          <cell r="T33">
            <v>0</v>
          </cell>
          <cell r="U33">
            <v>216.78826935044958</v>
          </cell>
          <cell r="V33">
            <v>127.21564313333332</v>
          </cell>
          <cell r="W33">
            <v>0</v>
          </cell>
          <cell r="X33">
            <v>89.572626217116266</v>
          </cell>
          <cell r="Y33">
            <v>216.78826935044958</v>
          </cell>
        </row>
        <row r="35">
          <cell r="B35" t="str">
            <v>Total Overhead Expenses</v>
          </cell>
          <cell r="C35">
            <v>0</v>
          </cell>
          <cell r="E35">
            <v>195.94778848205229</v>
          </cell>
          <cell r="F35">
            <v>195.94778848205229</v>
          </cell>
          <cell r="G35">
            <v>196.21030848205228</v>
          </cell>
          <cell r="H35">
            <v>200.94778848205229</v>
          </cell>
          <cell r="I35">
            <v>195.7793084820523</v>
          </cell>
          <cell r="J35">
            <v>196.3787884820523</v>
          </cell>
          <cell r="K35">
            <v>197.60931640968928</v>
          </cell>
          <cell r="L35">
            <v>199.60387640968926</v>
          </cell>
          <cell r="M35">
            <v>198.0403164096893</v>
          </cell>
          <cell r="N35">
            <v>197.44083640968927</v>
          </cell>
          <cell r="O35">
            <v>197.62031640968928</v>
          </cell>
          <cell r="P35">
            <v>197.87183640968928</v>
          </cell>
          <cell r="R35">
            <v>0</v>
          </cell>
          <cell r="S35">
            <v>0</v>
          </cell>
          <cell r="T35">
            <v>0</v>
          </cell>
          <cell r="U35">
            <v>2369.3982693504495</v>
          </cell>
          <cell r="V35">
            <v>850.20045979999998</v>
          </cell>
          <cell r="W35">
            <v>0</v>
          </cell>
          <cell r="X35">
            <v>1519.1978095504496</v>
          </cell>
          <cell r="Y35">
            <v>2369.3982693504495</v>
          </cell>
        </row>
        <row r="37">
          <cell r="B37" t="str">
            <v>E.B.I.T.D.</v>
          </cell>
          <cell r="C37">
            <v>0</v>
          </cell>
          <cell r="E37">
            <v>25.88364831271781</v>
          </cell>
          <cell r="F37">
            <v>25.88364831271781</v>
          </cell>
          <cell r="G37">
            <v>98.993428312717896</v>
          </cell>
          <cell r="H37">
            <v>10.427718312717815</v>
          </cell>
          <cell r="I37">
            <v>40.668698312717794</v>
          </cell>
          <cell r="J37">
            <v>155.69216831271797</v>
          </cell>
          <cell r="K37">
            <v>18.127897621380839</v>
          </cell>
          <cell r="L37">
            <v>55.504137621380835</v>
          </cell>
          <cell r="M37">
            <v>82.32098762138088</v>
          </cell>
          <cell r="N37">
            <v>24.164737621380851</v>
          </cell>
          <cell r="O37">
            <v>81.887127621380898</v>
          </cell>
          <cell r="P37">
            <v>80.781747621380788</v>
          </cell>
          <cell r="R37">
            <v>0</v>
          </cell>
          <cell r="S37">
            <v>0</v>
          </cell>
          <cell r="T37">
            <v>0</v>
          </cell>
          <cell r="U37">
            <v>700.33594560459187</v>
          </cell>
          <cell r="V37">
            <v>902.40928619999943</v>
          </cell>
          <cell r="W37">
            <v>0</v>
          </cell>
          <cell r="X37">
            <v>-202.07334059540767</v>
          </cell>
          <cell r="Y37">
            <v>700.33594560459187</v>
          </cell>
        </row>
        <row r="39">
          <cell r="A39">
            <v>18</v>
          </cell>
          <cell r="B39" t="str">
            <v>Depreciation</v>
          </cell>
          <cell r="E39">
            <v>48.524062499999999</v>
          </cell>
          <cell r="F39">
            <v>48.524062499999999</v>
          </cell>
          <cell r="G39">
            <v>48.524062499999999</v>
          </cell>
          <cell r="H39">
            <v>48.524062499999999</v>
          </cell>
          <cell r="I39">
            <v>48.524062499999999</v>
          </cell>
          <cell r="J39">
            <v>48.524062499999999</v>
          </cell>
          <cell r="K39">
            <v>48.524062499999999</v>
          </cell>
          <cell r="L39">
            <v>48.524062499999999</v>
          </cell>
          <cell r="M39">
            <v>48.524062499999999</v>
          </cell>
          <cell r="N39">
            <v>49.044895833333335</v>
          </cell>
          <cell r="O39">
            <v>49.044895833333335</v>
          </cell>
          <cell r="P39">
            <v>49.044895833333335</v>
          </cell>
          <cell r="T39">
            <v>0</v>
          </cell>
          <cell r="U39">
            <v>583.85125000000005</v>
          </cell>
          <cell r="V39">
            <v>302.02171856791659</v>
          </cell>
          <cell r="W39">
            <v>0</v>
          </cell>
          <cell r="X39">
            <v>281.82953143208357</v>
          </cell>
          <cell r="Y39">
            <v>583.85125000000005</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0.44</v>
          </cell>
          <cell r="W40">
            <v>0</v>
          </cell>
          <cell r="X40">
            <v>-0.44</v>
          </cell>
          <cell r="Y40">
            <v>0</v>
          </cell>
        </row>
        <row r="41">
          <cell r="A41">
            <v>20</v>
          </cell>
          <cell r="B41" t="str">
            <v>External Interest</v>
          </cell>
          <cell r="T41">
            <v>0</v>
          </cell>
          <cell r="U41">
            <v>0</v>
          </cell>
          <cell r="V41">
            <v>82.191780821917803</v>
          </cell>
          <cell r="W41">
            <v>0</v>
          </cell>
          <cell r="X41">
            <v>-82.191780821917803</v>
          </cell>
          <cell r="Y41">
            <v>0</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0</v>
          </cell>
          <cell r="W43">
            <v>0</v>
          </cell>
          <cell r="X43">
            <v>0</v>
          </cell>
          <cell r="Y43">
            <v>0</v>
          </cell>
        </row>
        <row r="44">
          <cell r="B44" t="str">
            <v>E.B.T.</v>
          </cell>
          <cell r="C44">
            <v>0</v>
          </cell>
          <cell r="E44">
            <v>-22.64041418728219</v>
          </cell>
          <cell r="F44">
            <v>-22.64041418728219</v>
          </cell>
          <cell r="G44">
            <v>50.469365812717896</v>
          </cell>
          <cell r="H44">
            <v>-38.096344187282185</v>
          </cell>
          <cell r="I44">
            <v>-7.8553641872822055</v>
          </cell>
          <cell r="J44">
            <v>107.16810581271797</v>
          </cell>
          <cell r="K44">
            <v>-30.39616487861916</v>
          </cell>
          <cell r="L44">
            <v>6.9800751213808354</v>
          </cell>
          <cell r="M44">
            <v>33.79692512138088</v>
          </cell>
          <cell r="N44">
            <v>-24.880158211952484</v>
          </cell>
          <cell r="O44">
            <v>32.842231788047563</v>
          </cell>
          <cell r="P44">
            <v>31.736851788047453</v>
          </cell>
          <cell r="Q44">
            <v>0</v>
          </cell>
          <cell r="R44">
            <v>0</v>
          </cell>
          <cell r="S44">
            <v>0</v>
          </cell>
          <cell r="T44">
            <v>0</v>
          </cell>
          <cell r="U44">
            <v>116.48469560459171</v>
          </cell>
          <cell r="V44">
            <v>517.75578681016509</v>
          </cell>
          <cell r="W44">
            <v>0</v>
          </cell>
          <cell r="X44">
            <v>-401.27109120557338</v>
          </cell>
          <cell r="Y44">
            <v>116.48469560459171</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-22.64041418728219</v>
          </cell>
          <cell r="F50">
            <v>-22.64041418728219</v>
          </cell>
          <cell r="G50">
            <v>50.469365812717896</v>
          </cell>
          <cell r="H50">
            <v>-38.096344187282185</v>
          </cell>
          <cell r="I50">
            <v>-7.8553641872822055</v>
          </cell>
          <cell r="J50">
            <v>107.16810581271797</v>
          </cell>
          <cell r="K50">
            <v>-30.39616487861916</v>
          </cell>
          <cell r="L50">
            <v>6.9800751213808354</v>
          </cell>
          <cell r="M50">
            <v>33.79692512138088</v>
          </cell>
          <cell r="N50">
            <v>-24.880158211952484</v>
          </cell>
          <cell r="O50">
            <v>32.842231788047563</v>
          </cell>
          <cell r="P50">
            <v>31.736851788047453</v>
          </cell>
          <cell r="Q50">
            <v>0</v>
          </cell>
          <cell r="R50">
            <v>0</v>
          </cell>
          <cell r="S50">
            <v>0</v>
          </cell>
          <cell r="T50">
            <v>0</v>
          </cell>
          <cell r="U50">
            <v>116.48469560459171</v>
          </cell>
          <cell r="V50">
            <v>517.75578681016509</v>
          </cell>
          <cell r="W50">
            <v>0</v>
          </cell>
          <cell r="X50">
            <v>-401.27109120557338</v>
          </cell>
          <cell r="Y50">
            <v>116.48469560459171</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24</v>
          </cell>
          <cell r="W53">
            <v>0</v>
          </cell>
          <cell r="X53">
            <v>28</v>
          </cell>
          <cell r="Y53">
            <v>52</v>
          </cell>
        </row>
        <row r="54">
          <cell r="A54">
            <v>27</v>
          </cell>
          <cell r="B54" t="str">
            <v>Pd Admissions</v>
          </cell>
          <cell r="E54">
            <v>43.218000000000004</v>
          </cell>
          <cell r="F54">
            <v>43.218000000000004</v>
          </cell>
          <cell r="G54">
            <v>57.427999999999997</v>
          </cell>
          <cell r="H54">
            <v>41.208999999999996</v>
          </cell>
          <cell r="I54">
            <v>46.108999999999995</v>
          </cell>
          <cell r="J54">
            <v>68.403999999999996</v>
          </cell>
          <cell r="K54">
            <v>42.188999999999993</v>
          </cell>
          <cell r="L54">
            <v>49.538999999999994</v>
          </cell>
          <cell r="M54">
            <v>54.585999999999999</v>
          </cell>
          <cell r="N54">
            <v>43.266999999999996</v>
          </cell>
          <cell r="O54">
            <v>54.488</v>
          </cell>
          <cell r="P54">
            <v>54.39</v>
          </cell>
          <cell r="T54">
            <v>0</v>
          </cell>
          <cell r="U54">
            <v>598.04499999999996</v>
          </cell>
          <cell r="V54">
            <v>344</v>
          </cell>
          <cell r="W54">
            <v>0</v>
          </cell>
          <cell r="X54">
            <v>254.04499999999999</v>
          </cell>
          <cell r="Y54">
            <v>598.04499999999996</v>
          </cell>
        </row>
        <row r="55">
          <cell r="A55">
            <v>28</v>
          </cell>
          <cell r="B55" t="str">
            <v>Admissions</v>
          </cell>
          <cell r="E55">
            <v>44.1</v>
          </cell>
          <cell r="F55">
            <v>44.1</v>
          </cell>
          <cell r="G55">
            <v>58.6</v>
          </cell>
          <cell r="H55">
            <v>42.05</v>
          </cell>
          <cell r="I55">
            <v>47.05</v>
          </cell>
          <cell r="J55">
            <v>69.8</v>
          </cell>
          <cell r="K55">
            <v>43.05</v>
          </cell>
          <cell r="L55">
            <v>50.55</v>
          </cell>
          <cell r="M55">
            <v>55.7</v>
          </cell>
          <cell r="N55">
            <v>44.15</v>
          </cell>
          <cell r="O55">
            <v>55.6</v>
          </cell>
          <cell r="P55">
            <v>55.5</v>
          </cell>
          <cell r="T55">
            <v>0</v>
          </cell>
          <cell r="U55">
            <v>610.25</v>
          </cell>
          <cell r="V55">
            <v>344</v>
          </cell>
          <cell r="W55">
            <v>0</v>
          </cell>
          <cell r="X55">
            <v>266.25</v>
          </cell>
          <cell r="Y55">
            <v>610.25</v>
          </cell>
        </row>
        <row r="56">
          <cell r="B56" t="str">
            <v>Utilisation Rate</v>
          </cell>
          <cell r="E56">
            <v>0.19616739617807197</v>
          </cell>
          <cell r="F56">
            <v>0.19616739617807197</v>
          </cell>
          <cell r="G56">
            <v>0.20853350414575994</v>
          </cell>
          <cell r="H56">
            <v>0.18704850361197112</v>
          </cell>
          <cell r="I56">
            <v>0.20928970499270488</v>
          </cell>
          <cell r="J56">
            <v>0.24838973702003486</v>
          </cell>
          <cell r="K56">
            <v>0.19149674388811785</v>
          </cell>
          <cell r="L56">
            <v>0.22485854595921853</v>
          </cell>
          <cell r="M56">
            <v>0.19821358670509948</v>
          </cell>
          <cell r="N56">
            <v>0.19638980819187929</v>
          </cell>
          <cell r="O56">
            <v>0.19785772748300773</v>
          </cell>
          <cell r="P56">
            <v>0.24687733532614498</v>
          </cell>
          <cell r="U56">
            <v>0.20881066373219678</v>
          </cell>
          <cell r="V56">
            <v>0.25503244249908069</v>
          </cell>
          <cell r="W56" t="str">
            <v>N.A.</v>
          </cell>
          <cell r="X56">
            <v>-4.6221778766883909E-2</v>
          </cell>
          <cell r="Y56" t="str">
            <v>N.A.</v>
          </cell>
        </row>
        <row r="57">
          <cell r="B57" t="str">
            <v>Ave. Admission Price (S$)</v>
          </cell>
          <cell r="C57" t="str">
            <v>N.A.</v>
          </cell>
          <cell r="E57">
            <v>7.9790476190476198</v>
          </cell>
          <cell r="F57">
            <v>7.9790476190476198</v>
          </cell>
          <cell r="G57">
            <v>7.9565870307167241</v>
          </cell>
          <cell r="H57">
            <v>7.9868727705112965</v>
          </cell>
          <cell r="I57">
            <v>7.9510733262486726</v>
          </cell>
          <cell r="J57">
            <v>7.9271919770773653</v>
          </cell>
          <cell r="K57">
            <v>7.9790476190476207</v>
          </cell>
          <cell r="L57">
            <v>7.9985756676557873</v>
          </cell>
          <cell r="M57">
            <v>7.9849551166965895</v>
          </cell>
          <cell r="N57">
            <v>7.9865005662514159</v>
          </cell>
          <cell r="O57">
            <v>7.973129496402878</v>
          </cell>
          <cell r="P57">
            <v>7.9612612612612619</v>
          </cell>
          <cell r="Q57" t="str">
            <v/>
          </cell>
          <cell r="R57" t="str">
            <v>N.A.</v>
          </cell>
          <cell r="S57" t="str">
            <v>N.A.</v>
          </cell>
          <cell r="U57">
            <v>7.9698811962310545</v>
          </cell>
          <cell r="V57">
            <v>7.8958633720930234</v>
          </cell>
          <cell r="W57" t="str">
            <v>N.A.</v>
          </cell>
          <cell r="X57">
            <v>7.4017824138031152E-2</v>
          </cell>
          <cell r="Y57" t="str">
            <v>N.A.</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2.3000000000000003E-2</v>
          </cell>
          <cell r="V58">
            <v>2.1643236063040076E-2</v>
          </cell>
          <cell r="W58" t="str">
            <v>N.A.</v>
          </cell>
          <cell r="X58">
            <v>1.3567639369599267E-3</v>
          </cell>
          <cell r="Y58" t="str">
            <v>N.A.</v>
          </cell>
        </row>
        <row r="59">
          <cell r="B59" t="str">
            <v>Concession Cost %</v>
          </cell>
          <cell r="C59" t="str">
            <v>N.A.</v>
          </cell>
          <cell r="E59">
            <v>0.20499999999999999</v>
          </cell>
          <cell r="F59">
            <v>0.20499999999999999</v>
          </cell>
          <cell r="G59">
            <v>0.20499999999999999</v>
          </cell>
          <cell r="H59">
            <v>0.20499999999999999</v>
          </cell>
          <cell r="I59">
            <v>0.20499999999999999</v>
          </cell>
          <cell r="J59">
            <v>0.20499999999999999</v>
          </cell>
          <cell r="K59">
            <v>0.20499999999999999</v>
          </cell>
          <cell r="L59">
            <v>0.20499999999999999</v>
          </cell>
          <cell r="M59">
            <v>0.20499999999999999</v>
          </cell>
          <cell r="N59">
            <v>0.20499999999999999</v>
          </cell>
          <cell r="O59">
            <v>0.20499999999999999</v>
          </cell>
          <cell r="P59">
            <v>0.20499999999999999</v>
          </cell>
          <cell r="R59" t="str">
            <v>N.A.</v>
          </cell>
          <cell r="S59" t="str">
            <v>N.A.</v>
          </cell>
          <cell r="U59">
            <v>0.20499999999999999</v>
          </cell>
          <cell r="V59">
            <v>0.16289135267876603</v>
          </cell>
          <cell r="W59" t="str">
            <v>N.A.</v>
          </cell>
          <cell r="X59">
            <v>4.2108647321233983E-2</v>
          </cell>
          <cell r="Y59" t="str">
            <v>N.A.</v>
          </cell>
        </row>
        <row r="60">
          <cell r="B60" t="str">
            <v>Concess. Rev per Patron (S$)</v>
          </cell>
          <cell r="C60" t="str">
            <v>N.A.</v>
          </cell>
          <cell r="E60">
            <v>1.4</v>
          </cell>
          <cell r="F60">
            <v>1.4</v>
          </cell>
          <cell r="G60">
            <v>1.4</v>
          </cell>
          <cell r="H60">
            <v>1.4</v>
          </cell>
          <cell r="I60">
            <v>1.4</v>
          </cell>
          <cell r="J60">
            <v>1.4</v>
          </cell>
          <cell r="K60">
            <v>1.4</v>
          </cell>
          <cell r="L60">
            <v>1.4</v>
          </cell>
          <cell r="M60">
            <v>1.4</v>
          </cell>
          <cell r="N60">
            <v>1.4</v>
          </cell>
          <cell r="O60">
            <v>1.4</v>
          </cell>
          <cell r="P60">
            <v>1.4</v>
          </cell>
          <cell r="R60" t="str">
            <v>N.A.</v>
          </cell>
          <cell r="S60" t="str">
            <v>N.A.</v>
          </cell>
          <cell r="U60">
            <v>1.4</v>
          </cell>
          <cell r="V60">
            <v>1.0002761627906978</v>
          </cell>
          <cell r="W60" t="str">
            <v>N.A.</v>
          </cell>
          <cell r="X60">
            <v>0.39972383720930216</v>
          </cell>
          <cell r="Y60" t="str">
            <v>N.A.</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0.46693643308223287</v>
          </cell>
          <cell r="W61" t="str">
            <v>N.A.</v>
          </cell>
          <cell r="X61">
            <v>-1.9364330822329023E-3</v>
          </cell>
          <cell r="Y61" t="str">
            <v>N.A.</v>
          </cell>
        </row>
        <row r="62">
          <cell r="B62" t="str">
            <v>Direct Payroll : Net Box</v>
          </cell>
          <cell r="C62" t="str">
            <v>N.A.</v>
          </cell>
          <cell r="E62">
            <v>0.11365040015582155</v>
          </cell>
          <cell r="F62">
            <v>0.11365040015582155</v>
          </cell>
          <cell r="G62">
            <v>8.8129371429493383E-2</v>
          </cell>
          <cell r="H62">
            <v>0.11907424848511787</v>
          </cell>
          <cell r="I62">
            <v>0.10689939054801112</v>
          </cell>
          <cell r="J62">
            <v>7.4262626925619371E-2</v>
          </cell>
          <cell r="K62">
            <v>0.11832278781515429</v>
          </cell>
          <cell r="L62">
            <v>0.1005214602227149</v>
          </cell>
          <cell r="M62">
            <v>9.3856131973796927E-2</v>
          </cell>
          <cell r="N62">
            <v>0.11526710124936153</v>
          </cell>
          <cell r="O62">
            <v>9.4164394276030267E-2</v>
          </cell>
          <cell r="P62">
            <v>9.4474688172297996E-2</v>
          </cell>
          <cell r="R62" t="str">
            <v>N.A.</v>
          </cell>
          <cell r="S62" t="str">
            <v>N.A.</v>
          </cell>
          <cell r="U62">
            <v>0.1006055027006547</v>
          </cell>
          <cell r="V62">
            <v>7.6356286795742676E-2</v>
          </cell>
          <cell r="W62" t="str">
            <v>N.A.</v>
          </cell>
          <cell r="X62">
            <v>2.4249215904912025E-2</v>
          </cell>
          <cell r="Y62" t="str">
            <v>N.A.</v>
          </cell>
        </row>
        <row r="63">
          <cell r="B63" t="str">
            <v>Direct Payroll : Net Box &amp; Conc.</v>
          </cell>
          <cell r="C63" t="str">
            <v>N.A.</v>
          </cell>
          <cell r="E63">
            <v>9.6685931407948109E-2</v>
          </cell>
          <cell r="F63">
            <v>9.6685931407948109E-2</v>
          </cell>
          <cell r="G63">
            <v>7.4942819581448453E-2</v>
          </cell>
          <cell r="H63">
            <v>0.10131498488852766</v>
          </cell>
          <cell r="I63">
            <v>9.0894901913843432E-2</v>
          </cell>
          <cell r="J63">
            <v>6.3115898311972354E-2</v>
          </cell>
          <cell r="K63">
            <v>0.10066087696134877</v>
          </cell>
          <cell r="L63">
            <v>8.554791004998942E-2</v>
          </cell>
          <cell r="M63">
            <v>7.9855150282414397E-2</v>
          </cell>
          <cell r="N63">
            <v>9.8074970847823364E-2</v>
          </cell>
          <cell r="O63">
            <v>8.0099705205316493E-2</v>
          </cell>
          <cell r="P63">
            <v>8.0345762619439667E-2</v>
          </cell>
          <cell r="Q63" t="str">
            <v/>
          </cell>
          <cell r="R63" t="str">
            <v>N.A.</v>
          </cell>
          <cell r="S63" t="str">
            <v>N.A.</v>
          </cell>
          <cell r="T63" t="str">
            <v>N.A.</v>
          </cell>
          <cell r="U63">
            <v>8.5573540092892794E-2</v>
          </cell>
          <cell r="V63">
            <v>6.7770835402866145E-2</v>
          </cell>
          <cell r="W63" t="str">
            <v>N.A.</v>
          </cell>
          <cell r="X63">
            <v>1.7802704690026649E-2</v>
          </cell>
          <cell r="Y63" t="str">
            <v>N.A.</v>
          </cell>
        </row>
        <row r="64">
          <cell r="B64" t="str">
            <v>Direct Payroll of Admissions (S$)</v>
          </cell>
          <cell r="C64" t="str">
            <v>N.A.</v>
          </cell>
          <cell r="E64">
            <v>0.90682195476711713</v>
          </cell>
          <cell r="F64">
            <v>0.90682195476711713</v>
          </cell>
          <cell r="G64">
            <v>0.70120901374112399</v>
          </cell>
          <cell r="H64">
            <v>0.95103087289488397</v>
          </cell>
          <cell r="I64">
            <v>0.84996489277853071</v>
          </cell>
          <cell r="J64">
            <v>0.58869410036145942</v>
          </cell>
          <cell r="K64">
            <v>0.94410315839558367</v>
          </cell>
          <cell r="L64">
            <v>0.80402850581463647</v>
          </cell>
          <cell r="M64">
            <v>0.74943700123752011</v>
          </cell>
          <cell r="N64">
            <v>0.92058076939818512</v>
          </cell>
          <cell r="O64">
            <v>0.75078490951312726</v>
          </cell>
          <cell r="P64">
            <v>0.75213767511585361</v>
          </cell>
          <cell r="Q64" t="str">
            <v/>
          </cell>
          <cell r="R64" t="str">
            <v>N.A.</v>
          </cell>
          <cell r="S64" t="str">
            <v>N.A.</v>
          </cell>
          <cell r="T64" t="str">
            <v>N.A.</v>
          </cell>
          <cell r="U64">
            <v>0.80181390421132048</v>
          </cell>
          <cell r="V64">
            <v>0.60289880813953478</v>
          </cell>
          <cell r="W64" t="str">
            <v>N.A.</v>
          </cell>
          <cell r="X64">
            <v>0.1989150960717857</v>
          </cell>
          <cell r="Y64" t="str">
            <v>N.A.</v>
          </cell>
        </row>
        <row r="65">
          <cell r="B65" t="str">
            <v>Gross Margin :Total Rev</v>
          </cell>
          <cell r="C65" t="str">
            <v>N.A.</v>
          </cell>
          <cell r="E65">
            <v>0.49638021452148323</v>
          </cell>
          <cell r="F65">
            <v>0.49638021452148323</v>
          </cell>
          <cell r="G65">
            <v>0.50759076613428944</v>
          </cell>
          <cell r="H65">
            <v>0.49386774690310059</v>
          </cell>
          <cell r="I65">
            <v>0.49962576730897507</v>
          </cell>
          <cell r="J65">
            <v>0.51448275811922728</v>
          </cell>
          <cell r="K65">
            <v>0.49362110277158677</v>
          </cell>
          <cell r="L65">
            <v>0.50180554137618183</v>
          </cell>
          <cell r="M65">
            <v>0.50422498054121678</v>
          </cell>
          <cell r="N65">
            <v>0.49499093728357912</v>
          </cell>
          <cell r="O65">
            <v>0.50413639029843782</v>
          </cell>
          <cell r="P65">
            <v>0.50404728854413305</v>
          </cell>
          <cell r="Q65" t="str">
            <v/>
          </cell>
          <cell r="R65" t="str">
            <v>N.A.</v>
          </cell>
          <cell r="S65" t="str">
            <v>N.A.</v>
          </cell>
          <cell r="T65" t="str">
            <v>N.A.</v>
          </cell>
          <cell r="U65">
            <v>0.50180729447328798</v>
          </cell>
          <cell r="V65">
            <v>0.52339234236107424</v>
          </cell>
          <cell r="W65" t="str">
            <v>N.A.</v>
          </cell>
          <cell r="X65">
            <v>-2.1585047887786257E-2</v>
          </cell>
          <cell r="Y65" t="str">
            <v>N.A.</v>
          </cell>
        </row>
        <row r="66">
          <cell r="B66" t="str">
            <v>G&amp;A % of total revenue</v>
          </cell>
          <cell r="C66" t="str">
            <v>N.A.</v>
          </cell>
          <cell r="E66">
            <v>4.0160796078463498E-2</v>
          </cell>
          <cell r="F66">
            <v>4.0160796078463498E-2</v>
          </cell>
          <cell r="G66">
            <v>3.058970868803125E-2</v>
          </cell>
          <cell r="H66">
            <v>4.1934063193663738E-2</v>
          </cell>
          <cell r="I66">
            <v>3.7568515645295883E-2</v>
          </cell>
          <cell r="J66">
            <v>2.6243252538754491E-2</v>
          </cell>
          <cell r="K66">
            <v>4.1080670784895031E-2</v>
          </cell>
          <cell r="L66">
            <v>3.9240071561967814E-2</v>
          </cell>
          <cell r="M66">
            <v>3.2310312396351612E-2</v>
          </cell>
          <cell r="N66">
            <v>3.972746567092296E-2</v>
          </cell>
          <cell r="O66">
            <v>3.2403322196825922E-2</v>
          </cell>
          <cell r="P66">
            <v>3.2192111105117466E-2</v>
          </cell>
          <cell r="Q66" t="str">
            <v/>
          </cell>
          <cell r="R66" t="e">
            <v>#DIV/0!</v>
          </cell>
          <cell r="S66" t="e">
            <v>#DIV/0!</v>
          </cell>
          <cell r="T66" t="e">
            <v>#DIV/0!</v>
          </cell>
          <cell r="U66">
            <v>3.5438226015241124E-2</v>
          </cell>
          <cell r="V66">
            <v>3.7991169224347025E-2</v>
          </cell>
          <cell r="W66" t="str">
            <v>N.A.</v>
          </cell>
          <cell r="X66">
            <v>-2.5529432091059012E-3</v>
          </cell>
          <cell r="Y66" t="str">
            <v>N.A.</v>
          </cell>
        </row>
        <row r="67">
          <cell r="B67" t="str">
            <v>E.B.I.T.D. : Total Rev</v>
          </cell>
          <cell r="C67" t="str">
            <v>N.A.</v>
          </cell>
          <cell r="E67">
            <v>5.791844063090161E-2</v>
          </cell>
          <cell r="F67">
            <v>5.791844063090161E-2</v>
          </cell>
          <cell r="G67">
            <v>0.17021515603119061</v>
          </cell>
          <cell r="H67">
            <v>2.436381502537251E-2</v>
          </cell>
          <cell r="I67">
            <v>8.5934873697561989E-2</v>
          </cell>
          <cell r="J67">
            <v>0.22751361515395505</v>
          </cell>
          <cell r="K67">
            <v>4.1477836148879316E-2</v>
          </cell>
          <cell r="L67">
            <v>0.10917839619230042</v>
          </cell>
          <cell r="M67">
            <v>0.14805287956901672</v>
          </cell>
          <cell r="N67">
            <v>5.3975745766855314E-2</v>
          </cell>
          <cell r="O67">
            <v>0.14769653478839553</v>
          </cell>
          <cell r="P67">
            <v>0.14612344210104755</v>
          </cell>
          <cell r="Q67" t="str">
            <v/>
          </cell>
          <cell r="R67" t="str">
            <v>N.A.</v>
          </cell>
          <cell r="S67" t="str">
            <v>N.A.</v>
          </cell>
          <cell r="T67" t="str">
            <v>N.A.</v>
          </cell>
          <cell r="U67">
            <v>0.11448342477799142</v>
          </cell>
          <cell r="V67">
            <v>0.26949188839704358</v>
          </cell>
          <cell r="W67" t="str">
            <v>N.A.</v>
          </cell>
          <cell r="X67">
            <v>-0.15500846361905216</v>
          </cell>
          <cell r="Y67" t="str">
            <v>N.A.</v>
          </cell>
        </row>
        <row r="68">
          <cell r="B68" t="str">
            <v>No of Concession Transactions</v>
          </cell>
          <cell r="E68">
            <v>12</v>
          </cell>
          <cell r="F68">
            <v>12</v>
          </cell>
          <cell r="G68">
            <v>18</v>
          </cell>
          <cell r="H68">
            <v>12</v>
          </cell>
          <cell r="I68">
            <v>14</v>
          </cell>
          <cell r="J68">
            <v>19</v>
          </cell>
          <cell r="K68">
            <v>12</v>
          </cell>
          <cell r="L68">
            <v>14</v>
          </cell>
          <cell r="M68">
            <v>16</v>
          </cell>
          <cell r="N68">
            <v>13</v>
          </cell>
          <cell r="O68">
            <v>17</v>
          </cell>
          <cell r="P68">
            <v>19</v>
          </cell>
          <cell r="U68">
            <v>178</v>
          </cell>
          <cell r="V68">
            <v>79</v>
          </cell>
          <cell r="W68" t="str">
            <v>N.A.</v>
          </cell>
          <cell r="X68">
            <v>99</v>
          </cell>
          <cell r="Y68" t="str">
            <v>N.A.</v>
          </cell>
        </row>
        <row r="69">
          <cell r="B69" t="str">
            <v>Strike Rate %(No of Trans/Adm)</v>
          </cell>
          <cell r="E69">
            <v>0.27210884353741494</v>
          </cell>
          <cell r="F69">
            <v>0.27210884353741494</v>
          </cell>
          <cell r="G69">
            <v>0.30716723549488056</v>
          </cell>
          <cell r="H69">
            <v>0.28537455410225926</v>
          </cell>
          <cell r="I69">
            <v>0.29755579171094582</v>
          </cell>
          <cell r="J69">
            <v>0.27220630372492838</v>
          </cell>
          <cell r="K69">
            <v>0.27874564459930318</v>
          </cell>
          <cell r="L69">
            <v>0.27695351137487639</v>
          </cell>
          <cell r="M69">
            <v>0.28725314183123879</v>
          </cell>
          <cell r="N69">
            <v>0.29445073612684031</v>
          </cell>
          <cell r="O69">
            <v>0.30575539568345322</v>
          </cell>
          <cell r="P69">
            <v>0.34234234234234234</v>
          </cell>
          <cell r="U69">
            <v>0.2916837361736993</v>
          </cell>
          <cell r="V69">
            <v>0.22965116279069767</v>
          </cell>
          <cell r="W69" t="str">
            <v>N.A.</v>
          </cell>
          <cell r="X69">
            <v>6.2032573383001638E-2</v>
          </cell>
          <cell r="Y69" t="str">
            <v>N.A.</v>
          </cell>
        </row>
        <row r="70">
          <cell r="B70" t="str">
            <v>Ave Sales (Total Sale/No of Trans) (S$)</v>
          </cell>
          <cell r="E70">
            <v>5.1449999999999996</v>
          </cell>
          <cell r="F70">
            <v>5.1449999999999996</v>
          </cell>
          <cell r="G70">
            <v>4.557777777777777</v>
          </cell>
          <cell r="H70">
            <v>4.9058333333333328</v>
          </cell>
          <cell r="I70">
            <v>4.7050000000000001</v>
          </cell>
          <cell r="J70">
            <v>5.1431578947368415</v>
          </cell>
          <cell r="K70">
            <v>5.0225</v>
          </cell>
          <cell r="L70">
            <v>5.0549999999999997</v>
          </cell>
          <cell r="M70">
            <v>4.8737500000000002</v>
          </cell>
          <cell r="N70">
            <v>4.7546153846153842</v>
          </cell>
          <cell r="O70">
            <v>4.578823529411765</v>
          </cell>
          <cell r="P70">
            <v>4.0894736842105255</v>
          </cell>
          <cell r="U70">
            <v>4.7997191011235953</v>
          </cell>
          <cell r="V70">
            <v>4.355632911392405</v>
          </cell>
          <cell r="W70" t="str">
            <v>N.A.</v>
          </cell>
          <cell r="X70">
            <v>0.4440861897311903</v>
          </cell>
          <cell r="Y70" t="str">
            <v>N.A.</v>
          </cell>
        </row>
        <row r="71">
          <cell r="B71" t="str">
            <v xml:space="preserve">Total Concession Combo Sales </v>
          </cell>
          <cell r="E71">
            <v>27</v>
          </cell>
          <cell r="F71">
            <v>30</v>
          </cell>
          <cell r="G71">
            <v>38</v>
          </cell>
          <cell r="H71">
            <v>28</v>
          </cell>
          <cell r="I71">
            <v>32</v>
          </cell>
          <cell r="J71">
            <v>46</v>
          </cell>
          <cell r="K71">
            <v>28</v>
          </cell>
          <cell r="L71">
            <v>30</v>
          </cell>
          <cell r="M71">
            <v>35</v>
          </cell>
          <cell r="N71">
            <v>28</v>
          </cell>
          <cell r="O71">
            <v>35</v>
          </cell>
          <cell r="P71">
            <v>40</v>
          </cell>
          <cell r="U71">
            <v>397</v>
          </cell>
          <cell r="V71">
            <v>143</v>
          </cell>
          <cell r="W71" t="str">
            <v>N.A.</v>
          </cell>
          <cell r="X71">
            <v>254</v>
          </cell>
          <cell r="Y71" t="str">
            <v>N.A.</v>
          </cell>
        </row>
        <row r="72">
          <cell r="B72" t="str">
            <v>Combo Sales as % of Total Sales</v>
          </cell>
          <cell r="E72">
            <v>0.43731778425655982</v>
          </cell>
          <cell r="F72">
            <v>0.48590864917395532</v>
          </cell>
          <cell r="G72">
            <v>0.46318868844466121</v>
          </cell>
          <cell r="H72">
            <v>0.47562425683709875</v>
          </cell>
          <cell r="I72">
            <v>0.48580537422195241</v>
          </cell>
          <cell r="J72">
            <v>0.47073270568972581</v>
          </cell>
          <cell r="K72">
            <v>0.46457607433217196</v>
          </cell>
          <cell r="L72">
            <v>0.42390843577787202</v>
          </cell>
          <cell r="M72">
            <v>0.44883303411131059</v>
          </cell>
          <cell r="N72">
            <v>0.45300113250283131</v>
          </cell>
          <cell r="O72">
            <v>0.44964028776978415</v>
          </cell>
          <cell r="P72">
            <v>0.51480051480051492</v>
          </cell>
          <cell r="U72">
            <v>0.46468075144846965</v>
          </cell>
          <cell r="V72">
            <v>0.41558290588354957</v>
          </cell>
          <cell r="W72" t="str">
            <v>N.A.</v>
          </cell>
          <cell r="X72">
            <v>4.9097845564920084E-2</v>
          </cell>
          <cell r="Y72" t="str">
            <v>N.A.</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U73">
            <v>68.534000000000006</v>
          </cell>
          <cell r="V73">
            <v>31</v>
          </cell>
          <cell r="W73" t="str">
            <v>N.A.</v>
          </cell>
          <cell r="X73">
            <v>37.534000000000006</v>
          </cell>
          <cell r="Y73" t="str">
            <v>N.A.</v>
          </cell>
        </row>
        <row r="74">
          <cell r="B74" t="str">
            <v>Admissions/labour hour paid</v>
          </cell>
          <cell r="E74">
            <v>9.1855863361799628</v>
          </cell>
          <cell r="F74">
            <v>8.82</v>
          </cell>
          <cell r="G74">
            <v>8.2419127988748233</v>
          </cell>
          <cell r="H74">
            <v>8.7585919600083315</v>
          </cell>
          <cell r="I74">
            <v>9.41</v>
          </cell>
          <cell r="J74">
            <v>9.8171589310829805</v>
          </cell>
          <cell r="K74">
            <v>8.9668818996042479</v>
          </cell>
          <cell r="L74">
            <v>10.11</v>
          </cell>
          <cell r="M74">
            <v>7.8340365682137838</v>
          </cell>
          <cell r="N74">
            <v>9.1960008331597578</v>
          </cell>
          <cell r="O74">
            <v>7.9428571428571431</v>
          </cell>
          <cell r="P74">
            <v>9.25</v>
          </cell>
          <cell r="U74">
            <v>8.9043394519508556</v>
          </cell>
          <cell r="V74">
            <v>11.096774193548388</v>
          </cell>
          <cell r="W74" t="str">
            <v>N.A.</v>
          </cell>
          <cell r="X74">
            <v>-2.1924347415975323</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23.982250000000001</v>
          </cell>
          <cell r="W77">
            <v>0</v>
          </cell>
          <cell r="X77">
            <v>3.2052499999999995</v>
          </cell>
          <cell r="Y77">
            <v>27.1875</v>
          </cell>
        </row>
        <row r="78">
          <cell r="A78">
            <v>53</v>
          </cell>
          <cell r="B78" t="str">
            <v>Auditorium Rentals</v>
          </cell>
          <cell r="E78">
            <v>2</v>
          </cell>
          <cell r="F78">
            <v>2</v>
          </cell>
          <cell r="G78">
            <v>2</v>
          </cell>
          <cell r="H78">
            <v>2</v>
          </cell>
          <cell r="I78">
            <v>2</v>
          </cell>
          <cell r="J78">
            <v>2</v>
          </cell>
          <cell r="K78">
            <v>2</v>
          </cell>
          <cell r="L78">
            <v>2</v>
          </cell>
          <cell r="M78">
            <v>2</v>
          </cell>
          <cell r="N78">
            <v>2</v>
          </cell>
          <cell r="O78">
            <v>2</v>
          </cell>
          <cell r="P78">
            <v>2</v>
          </cell>
          <cell r="T78">
            <v>0</v>
          </cell>
          <cell r="U78">
            <v>24</v>
          </cell>
          <cell r="V78">
            <v>3.6760000000000002</v>
          </cell>
          <cell r="W78">
            <v>0</v>
          </cell>
          <cell r="X78">
            <v>20.323999999999998</v>
          </cell>
          <cell r="Y78">
            <v>24</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9.5166000000000004</v>
          </cell>
          <cell r="F82">
            <v>9.5166000000000004</v>
          </cell>
          <cell r="G82">
            <v>9.5166000000000004</v>
          </cell>
          <cell r="H82">
            <v>9.5166000000000004</v>
          </cell>
          <cell r="I82">
            <v>9.5166000000000004</v>
          </cell>
          <cell r="J82">
            <v>9.5166000000000004</v>
          </cell>
          <cell r="K82">
            <v>9.5166000000000004</v>
          </cell>
          <cell r="L82">
            <v>9.5166000000000004</v>
          </cell>
          <cell r="M82">
            <v>9.5166000000000004</v>
          </cell>
          <cell r="N82">
            <v>9.5166000000000004</v>
          </cell>
          <cell r="O82">
            <v>9.5166000000000004</v>
          </cell>
          <cell r="P82">
            <v>9.5166000000000004</v>
          </cell>
          <cell r="T82">
            <v>0</v>
          </cell>
          <cell r="U82">
            <v>114.19919999999998</v>
          </cell>
          <cell r="V82">
            <v>47.89</v>
          </cell>
          <cell r="W82">
            <v>0</v>
          </cell>
          <cell r="X82">
            <v>66.309199999999976</v>
          </cell>
          <cell r="Y82">
            <v>114.19919999999998</v>
          </cell>
        </row>
        <row r="83">
          <cell r="C83">
            <v>0</v>
          </cell>
          <cell r="E83">
            <v>13.782225</v>
          </cell>
          <cell r="F83">
            <v>13.782225</v>
          </cell>
          <cell r="G83">
            <v>13.782225</v>
          </cell>
          <cell r="H83">
            <v>13.782225</v>
          </cell>
          <cell r="I83">
            <v>13.782225</v>
          </cell>
          <cell r="J83">
            <v>13.782225</v>
          </cell>
          <cell r="K83">
            <v>13.782225</v>
          </cell>
          <cell r="L83">
            <v>13.782225</v>
          </cell>
          <cell r="M83">
            <v>13.782225</v>
          </cell>
          <cell r="N83">
            <v>13.782225</v>
          </cell>
          <cell r="O83">
            <v>13.782225</v>
          </cell>
          <cell r="P83">
            <v>13.782225</v>
          </cell>
          <cell r="R83">
            <v>0</v>
          </cell>
          <cell r="S83">
            <v>0</v>
          </cell>
          <cell r="T83">
            <v>0</v>
          </cell>
          <cell r="U83">
            <v>165.38669999999996</v>
          </cell>
          <cell r="V83">
            <v>75.548249999999996</v>
          </cell>
          <cell r="W83">
            <v>0</v>
          </cell>
          <cell r="X83">
            <v>89.838449999999966</v>
          </cell>
          <cell r="Y83">
            <v>165.38669999999996</v>
          </cell>
        </row>
        <row r="84">
          <cell r="X84" t="str">
            <v/>
          </cell>
          <cell r="Y84" t="str">
            <v/>
          </cell>
        </row>
        <row r="85">
          <cell r="B85" t="str">
            <v>10 Other Cost</v>
          </cell>
          <cell r="X85" t="str">
            <v/>
          </cell>
          <cell r="Y85" t="str">
            <v/>
          </cell>
        </row>
        <row r="86">
          <cell r="A86">
            <v>61</v>
          </cell>
          <cell r="B86" t="str">
            <v>Authors Rights</v>
          </cell>
          <cell r="E86">
            <v>0.70375200000000004</v>
          </cell>
          <cell r="F86">
            <v>0.70375200000000004</v>
          </cell>
          <cell r="G86">
            <v>0.93251200000000012</v>
          </cell>
          <cell r="H86">
            <v>0.67169600000000007</v>
          </cell>
          <cell r="I86">
            <v>0.74819600000000008</v>
          </cell>
          <cell r="J86">
            <v>1.1066360000000002</v>
          </cell>
          <cell r="K86">
            <v>0.68699600000000016</v>
          </cell>
          <cell r="L86">
            <v>0.80865600000000004</v>
          </cell>
          <cell r="M86">
            <v>0.88952400000000009</v>
          </cell>
          <cell r="N86">
            <v>0.70520799999999995</v>
          </cell>
          <cell r="O86">
            <v>0.88661200000000007</v>
          </cell>
          <cell r="P86">
            <v>0.88370000000000004</v>
          </cell>
          <cell r="U86">
            <v>9.7272399999999983</v>
          </cell>
          <cell r="V86">
            <v>5.4323540000000001</v>
          </cell>
          <cell r="W86">
            <v>0</v>
          </cell>
          <cell r="X86">
            <v>4.2948859999999982</v>
          </cell>
          <cell r="Y86">
            <v>9.7272399999999983</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0.70375200000000004</v>
          </cell>
          <cell r="F91">
            <v>0.70375200000000004</v>
          </cell>
          <cell r="G91">
            <v>0.93251200000000012</v>
          </cell>
          <cell r="H91">
            <v>0.67169600000000007</v>
          </cell>
          <cell r="I91">
            <v>0.74819600000000008</v>
          </cell>
          <cell r="J91">
            <v>1.1066360000000002</v>
          </cell>
          <cell r="K91">
            <v>0.68699600000000016</v>
          </cell>
          <cell r="L91">
            <v>0.80865600000000004</v>
          </cell>
          <cell r="M91">
            <v>0.88952400000000009</v>
          </cell>
          <cell r="N91">
            <v>0.70520799999999995</v>
          </cell>
          <cell r="O91">
            <v>0.88661200000000007</v>
          </cell>
          <cell r="P91">
            <v>0.88370000000000004</v>
          </cell>
          <cell r="U91">
            <v>9.7272399999999983</v>
          </cell>
          <cell r="V91">
            <v>5.4323540000000001</v>
          </cell>
          <cell r="W91">
            <v>0</v>
          </cell>
          <cell r="X91">
            <v>4.2948859999999982</v>
          </cell>
          <cell r="Y91">
            <v>9.7272399999999983</v>
          </cell>
        </row>
        <row r="92">
          <cell r="X92" t="str">
            <v/>
          </cell>
          <cell r="Y92" t="str">
            <v/>
          </cell>
        </row>
        <row r="93">
          <cell r="B93" t="str">
            <v>11 Direct Payroll</v>
          </cell>
          <cell r="X93" t="str">
            <v/>
          </cell>
          <cell r="Y93" t="str">
            <v/>
          </cell>
        </row>
        <row r="94">
          <cell r="A94">
            <v>66</v>
          </cell>
          <cell r="B94" t="str">
            <v>Salaries</v>
          </cell>
          <cell r="E94">
            <v>37.449615288563209</v>
          </cell>
          <cell r="F94">
            <v>37.449615288563209</v>
          </cell>
          <cell r="G94">
            <v>38.54961528856321</v>
          </cell>
          <cell r="H94">
            <v>37.449615288563209</v>
          </cell>
          <cell r="I94">
            <v>37.449615288563209</v>
          </cell>
          <cell r="J94">
            <v>38.54961528856321</v>
          </cell>
          <cell r="K94">
            <v>38.102408052263215</v>
          </cell>
          <cell r="L94">
            <v>38.102408052263215</v>
          </cell>
          <cell r="M94">
            <v>39.202408052263216</v>
          </cell>
          <cell r="N94">
            <v>38.102408052263215</v>
          </cell>
          <cell r="O94">
            <v>39.202408052263216</v>
          </cell>
          <cell r="P94">
            <v>39.202408052263216</v>
          </cell>
          <cell r="T94">
            <v>0</v>
          </cell>
          <cell r="U94">
            <v>458.81214004495854</v>
          </cell>
          <cell r="V94">
            <v>200.06973999999997</v>
          </cell>
          <cell r="W94">
            <v>0</v>
          </cell>
          <cell r="X94">
            <v>258.74240004495857</v>
          </cell>
          <cell r="Y94">
            <v>458.81214004495854</v>
          </cell>
        </row>
        <row r="95">
          <cell r="A95">
            <v>67</v>
          </cell>
          <cell r="B95" t="str">
            <v>Bonus/Commission</v>
          </cell>
          <cell r="E95">
            <v>1.5172329166666665</v>
          </cell>
          <cell r="F95">
            <v>1.5172329166666665</v>
          </cell>
          <cell r="G95">
            <v>1.5172329166666665</v>
          </cell>
          <cell r="H95">
            <v>1.5172329166666665</v>
          </cell>
          <cell r="I95">
            <v>1.5172329166666665</v>
          </cell>
          <cell r="J95">
            <v>1.5172329166666665</v>
          </cell>
          <cell r="K95">
            <v>1.5172329166666665</v>
          </cell>
          <cell r="L95">
            <v>1.5172329166666665</v>
          </cell>
          <cell r="M95">
            <v>1.5172329166666665</v>
          </cell>
          <cell r="N95">
            <v>1.5172329166666665</v>
          </cell>
          <cell r="O95">
            <v>1.5172329166666665</v>
          </cell>
          <cell r="P95">
            <v>1.5172329166666665</v>
          </cell>
          <cell r="T95">
            <v>0</v>
          </cell>
          <cell r="U95">
            <v>18.206794999999996</v>
          </cell>
          <cell r="V95">
            <v>0</v>
          </cell>
          <cell r="W95">
            <v>0</v>
          </cell>
          <cell r="X95">
            <v>18.206794999999996</v>
          </cell>
          <cell r="Y95">
            <v>18.206794999999996</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4.5039999999999996</v>
          </cell>
          <cell r="W97">
            <v>0</v>
          </cell>
          <cell r="X97">
            <v>2.1320000000000006</v>
          </cell>
          <cell r="Y97">
            <v>6.6360000000000001</v>
          </cell>
        </row>
        <row r="98">
          <cell r="A98">
            <v>70</v>
          </cell>
          <cell r="B98" t="str">
            <v>Miscellaneous</v>
          </cell>
          <cell r="E98">
            <v>0.47099999999999997</v>
          </cell>
          <cell r="F98">
            <v>0.47099999999999997</v>
          </cell>
          <cell r="G98">
            <v>0.47099999999999997</v>
          </cell>
          <cell r="H98">
            <v>0.47099999999999997</v>
          </cell>
          <cell r="I98">
            <v>0.47099999999999997</v>
          </cell>
          <cell r="J98">
            <v>0.47099999999999997</v>
          </cell>
          <cell r="K98">
            <v>0.47099999999999997</v>
          </cell>
          <cell r="L98">
            <v>0.47099999999999997</v>
          </cell>
          <cell r="M98">
            <v>0.47099999999999997</v>
          </cell>
          <cell r="N98">
            <v>0.47099999999999997</v>
          </cell>
          <cell r="O98">
            <v>0.47099999999999997</v>
          </cell>
          <cell r="P98">
            <v>0.47099999999999997</v>
          </cell>
          <cell r="T98">
            <v>0</v>
          </cell>
          <cell r="U98">
            <v>5.6520000000000001</v>
          </cell>
          <cell r="V98">
            <v>2.8234499999999998</v>
          </cell>
          <cell r="W98">
            <v>0</v>
          </cell>
          <cell r="X98">
            <v>2.8285500000000003</v>
          </cell>
          <cell r="Y98">
            <v>5.6520000000000001</v>
          </cell>
        </row>
        <row r="99">
          <cell r="C99">
            <v>0</v>
          </cell>
          <cell r="E99">
            <v>39.990848205229867</v>
          </cell>
          <cell r="F99">
            <v>39.990848205229867</v>
          </cell>
          <cell r="G99">
            <v>41.090848205229868</v>
          </cell>
          <cell r="H99">
            <v>39.990848205229867</v>
          </cell>
          <cell r="I99">
            <v>39.990848205229867</v>
          </cell>
          <cell r="J99">
            <v>41.090848205229868</v>
          </cell>
          <cell r="K99">
            <v>40.643640968929873</v>
          </cell>
          <cell r="L99">
            <v>40.643640968929873</v>
          </cell>
          <cell r="M99">
            <v>41.743640968929874</v>
          </cell>
          <cell r="N99">
            <v>40.643640968929873</v>
          </cell>
          <cell r="O99">
            <v>41.743640968929874</v>
          </cell>
          <cell r="P99">
            <v>41.743640968929874</v>
          </cell>
          <cell r="R99">
            <v>0</v>
          </cell>
          <cell r="S99">
            <v>0</v>
          </cell>
          <cell r="T99">
            <v>0</v>
          </cell>
          <cell r="U99">
            <v>489.30693504495855</v>
          </cell>
          <cell r="V99">
            <v>207.39718999999997</v>
          </cell>
          <cell r="W99">
            <v>0</v>
          </cell>
          <cell r="X99">
            <v>281.90974504495858</v>
          </cell>
          <cell r="Y99">
            <v>489.30693504495855</v>
          </cell>
        </row>
        <row r="100">
          <cell r="X100" t="str">
            <v/>
          </cell>
          <cell r="Y100" t="str">
            <v/>
          </cell>
        </row>
        <row r="101">
          <cell r="B101" t="str">
            <v>16 Other Overhead Costs</v>
          </cell>
          <cell r="X101" t="str">
            <v/>
          </cell>
          <cell r="Y101" t="str">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T102">
            <v>0</v>
          </cell>
          <cell r="U102">
            <v>15.6</v>
          </cell>
          <cell r="V102">
            <v>6.6890000000000001</v>
          </cell>
          <cell r="W102">
            <v>0</v>
          </cell>
          <cell r="X102">
            <v>8.9110000000000031</v>
          </cell>
          <cell r="Y102">
            <v>15.6</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11.341833333333334</v>
          </cell>
          <cell r="W104">
            <v>0</v>
          </cell>
          <cell r="X104">
            <v>12.658166666666666</v>
          </cell>
          <cell r="Y104">
            <v>24</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7.6019999999999985</v>
          </cell>
          <cell r="W105">
            <v>0</v>
          </cell>
          <cell r="X105">
            <v>4.3980000000000015</v>
          </cell>
          <cell r="Y105">
            <v>12</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0.375</v>
          </cell>
          <cell r="W106">
            <v>0</v>
          </cell>
          <cell r="X106">
            <v>5.625</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0.3</v>
          </cell>
          <cell r="F108">
            <v>0.3</v>
          </cell>
          <cell r="G108">
            <v>0.3</v>
          </cell>
          <cell r="H108">
            <v>0.3</v>
          </cell>
          <cell r="I108">
            <v>0.3</v>
          </cell>
          <cell r="J108">
            <v>0.3</v>
          </cell>
          <cell r="K108">
            <v>0.3</v>
          </cell>
          <cell r="L108">
            <v>0.3</v>
          </cell>
          <cell r="M108">
            <v>0.3</v>
          </cell>
          <cell r="N108">
            <v>0.3</v>
          </cell>
          <cell r="O108">
            <v>0.3</v>
          </cell>
          <cell r="P108">
            <v>0.3</v>
          </cell>
          <cell r="T108">
            <v>0</v>
          </cell>
          <cell r="U108">
            <v>3.6</v>
          </cell>
          <cell r="V108">
            <v>4.4026350000000001</v>
          </cell>
          <cell r="W108">
            <v>0</v>
          </cell>
          <cell r="X108">
            <v>-0.80263500000000088</v>
          </cell>
          <cell r="Y108">
            <v>3.6</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5.2228800000000009</v>
          </cell>
          <cell r="F111">
            <v>5.2228800000000009</v>
          </cell>
          <cell r="G111">
            <v>5.0544000000000002</v>
          </cell>
          <cell r="H111">
            <v>5.2228800000000009</v>
          </cell>
          <cell r="I111">
            <v>5.0544000000000002</v>
          </cell>
          <cell r="J111">
            <v>5.2228800000000009</v>
          </cell>
          <cell r="K111">
            <v>5.2228800000000009</v>
          </cell>
          <cell r="L111">
            <v>7.2174399999999999</v>
          </cell>
          <cell r="M111">
            <v>5.2228800000000009</v>
          </cell>
          <cell r="N111">
            <v>5.0544000000000002</v>
          </cell>
          <cell r="O111">
            <v>5.2228800000000009</v>
          </cell>
          <cell r="P111">
            <v>5.0544000000000002</v>
          </cell>
          <cell r="T111">
            <v>0</v>
          </cell>
          <cell r="U111">
            <v>63.995200000000011</v>
          </cell>
          <cell r="V111">
            <v>35.171999999999997</v>
          </cell>
          <cell r="W111">
            <v>0</v>
          </cell>
          <cell r="X111">
            <v>28.823200000000014</v>
          </cell>
          <cell r="Y111">
            <v>63.995200000000011</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26.081</v>
          </cell>
          <cell r="W112">
            <v>0</v>
          </cell>
          <cell r="X112">
            <v>21.919</v>
          </cell>
          <cell r="Y112">
            <v>48</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9.2729999999999997</v>
          </cell>
          <cell r="W113">
            <v>0</v>
          </cell>
          <cell r="X113">
            <v>-2.0730000000000013</v>
          </cell>
          <cell r="Y113">
            <v>7.2</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2.62</v>
          </cell>
          <cell r="W114">
            <v>0</v>
          </cell>
          <cell r="X114">
            <v>-0.22</v>
          </cell>
          <cell r="Y114">
            <v>2.4</v>
          </cell>
        </row>
        <row r="115">
          <cell r="A115">
            <v>84</v>
          </cell>
          <cell r="B115" t="str">
            <v>Freight</v>
          </cell>
          <cell r="E115">
            <v>0.5</v>
          </cell>
          <cell r="F115">
            <v>0.5</v>
          </cell>
          <cell r="G115">
            <v>0.5</v>
          </cell>
          <cell r="H115">
            <v>0.5</v>
          </cell>
          <cell r="I115">
            <v>0.5</v>
          </cell>
          <cell r="J115">
            <v>0.5</v>
          </cell>
          <cell r="K115">
            <v>0.5</v>
          </cell>
          <cell r="L115">
            <v>0.5</v>
          </cell>
          <cell r="M115">
            <v>0.5</v>
          </cell>
          <cell r="N115">
            <v>0.5</v>
          </cell>
          <cell r="O115">
            <v>0.5</v>
          </cell>
          <cell r="P115">
            <v>0.5</v>
          </cell>
          <cell r="T115">
            <v>0</v>
          </cell>
          <cell r="U115">
            <v>6</v>
          </cell>
          <cell r="V115">
            <v>6.5140000000000011</v>
          </cell>
          <cell r="W115">
            <v>0</v>
          </cell>
          <cell r="X115">
            <v>-0.51400000000000112</v>
          </cell>
          <cell r="Y115">
            <v>6</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0.2</v>
          </cell>
          <cell r="F117">
            <v>0.2</v>
          </cell>
          <cell r="G117">
            <v>0.2</v>
          </cell>
          <cell r="H117">
            <v>0.2</v>
          </cell>
          <cell r="I117">
            <v>0.2</v>
          </cell>
          <cell r="J117">
            <v>0.2</v>
          </cell>
          <cell r="K117">
            <v>0.2</v>
          </cell>
          <cell r="L117">
            <v>0.2</v>
          </cell>
          <cell r="M117">
            <v>0.2</v>
          </cell>
          <cell r="N117">
            <v>0.2</v>
          </cell>
          <cell r="O117">
            <v>0.2</v>
          </cell>
          <cell r="P117">
            <v>0.2</v>
          </cell>
          <cell r="T117">
            <v>0</v>
          </cell>
          <cell r="U117">
            <v>2.4</v>
          </cell>
          <cell r="V117">
            <v>2.81</v>
          </cell>
          <cell r="W117">
            <v>0</v>
          </cell>
          <cell r="X117">
            <v>-0.41</v>
          </cell>
          <cell r="Y117">
            <v>2.4</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0.52490848205229867</v>
          </cell>
          <cell r="F119">
            <v>0.52490848205229867</v>
          </cell>
          <cell r="G119">
            <v>0.53590848205229868</v>
          </cell>
          <cell r="H119">
            <v>0.52490848205229867</v>
          </cell>
          <cell r="I119">
            <v>0.52490848205229867</v>
          </cell>
          <cell r="J119">
            <v>0.53590848205229868</v>
          </cell>
          <cell r="K119">
            <v>0.53143640968929895</v>
          </cell>
          <cell r="L119">
            <v>0.53143640968929895</v>
          </cell>
          <cell r="M119">
            <v>0.54243640968929885</v>
          </cell>
          <cell r="N119">
            <v>0.53143640968929895</v>
          </cell>
          <cell r="O119">
            <v>0.54243640968929885</v>
          </cell>
          <cell r="P119">
            <v>0.54243640968929885</v>
          </cell>
          <cell r="T119">
            <v>0</v>
          </cell>
          <cell r="U119">
            <v>6.3930693504495846</v>
          </cell>
          <cell r="V119">
            <v>3.6731748</v>
          </cell>
          <cell r="W119">
            <v>0</v>
          </cell>
          <cell r="X119">
            <v>2.7198945504495846</v>
          </cell>
          <cell r="Y119">
            <v>6.3930693504495846</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7.8</v>
          </cell>
          <cell r="W120">
            <v>0</v>
          </cell>
          <cell r="X120">
            <v>7.8</v>
          </cell>
          <cell r="Y120">
            <v>15.6</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2.8620000000000001</v>
          </cell>
          <cell r="W124">
            <v>0</v>
          </cell>
          <cell r="X124">
            <v>0.7379999999999991</v>
          </cell>
          <cell r="Y124">
            <v>3.6</v>
          </cell>
        </row>
        <row r="125">
          <cell r="C125">
            <v>0</v>
          </cell>
          <cell r="E125">
            <v>17.947788482052299</v>
          </cell>
          <cell r="F125">
            <v>17.947788482052299</v>
          </cell>
          <cell r="G125">
            <v>17.790308482052296</v>
          </cell>
          <cell r="H125">
            <v>17.947788482052299</v>
          </cell>
          <cell r="I125">
            <v>17.779308482052297</v>
          </cell>
          <cell r="J125">
            <v>17.958788482052299</v>
          </cell>
          <cell r="K125">
            <v>17.954316409689302</v>
          </cell>
          <cell r="L125">
            <v>19.948876409689298</v>
          </cell>
          <cell r="M125">
            <v>17.965316409689301</v>
          </cell>
          <cell r="N125">
            <v>17.785836409689299</v>
          </cell>
          <cell r="O125">
            <v>17.965316409689301</v>
          </cell>
          <cell r="P125">
            <v>17.796836409689298</v>
          </cell>
          <cell r="R125">
            <v>0</v>
          </cell>
          <cell r="S125">
            <v>0</v>
          </cell>
          <cell r="T125">
            <v>0</v>
          </cell>
          <cell r="U125">
            <v>216.78826935044958</v>
          </cell>
          <cell r="V125">
            <v>127.21564313333332</v>
          </cell>
          <cell r="W125">
            <v>0</v>
          </cell>
          <cell r="X125">
            <v>89.572626217116266</v>
          </cell>
          <cell r="Y125">
            <v>216.78826935044958</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cell>
          <cell r="Y132" t="str">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36" refreshError="1">
        <row r="11">
          <cell r="A11">
            <v>1</v>
          </cell>
          <cell r="B11" t="str">
            <v>Net Film Revenue</v>
          </cell>
          <cell r="E11">
            <v>591.6</v>
          </cell>
          <cell r="F11">
            <v>612</v>
          </cell>
          <cell r="G11">
            <v>816</v>
          </cell>
          <cell r="H11">
            <v>612</v>
          </cell>
          <cell r="I11">
            <v>652.79999999999995</v>
          </cell>
          <cell r="J11">
            <v>884</v>
          </cell>
          <cell r="K11">
            <v>612</v>
          </cell>
          <cell r="L11">
            <v>646</v>
          </cell>
          <cell r="M11">
            <v>802.4</v>
          </cell>
          <cell r="N11">
            <v>612</v>
          </cell>
          <cell r="O11">
            <v>816</v>
          </cell>
          <cell r="P11">
            <v>720.8</v>
          </cell>
          <cell r="Q11">
            <v>0</v>
          </cell>
          <cell r="T11">
            <v>0</v>
          </cell>
          <cell r="U11">
            <v>8377.6</v>
          </cell>
          <cell r="V11">
            <v>4429.0610000000006</v>
          </cell>
          <cell r="W11">
            <v>0</v>
          </cell>
          <cell r="X11">
            <v>3948.5389999999979</v>
          </cell>
          <cell r="Y11">
            <v>8377.6</v>
          </cell>
        </row>
        <row r="12">
          <cell r="A12">
            <v>2</v>
          </cell>
          <cell r="B12" t="str">
            <v>Concession Sales</v>
          </cell>
          <cell r="E12">
            <v>104.4</v>
          </cell>
          <cell r="F12">
            <v>108</v>
          </cell>
          <cell r="G12">
            <v>144</v>
          </cell>
          <cell r="H12">
            <v>108</v>
          </cell>
          <cell r="I12">
            <v>115.2</v>
          </cell>
          <cell r="J12">
            <v>156</v>
          </cell>
          <cell r="K12">
            <v>108</v>
          </cell>
          <cell r="L12">
            <v>114</v>
          </cell>
          <cell r="M12">
            <v>141.6</v>
          </cell>
          <cell r="N12">
            <v>108</v>
          </cell>
          <cell r="O12">
            <v>144</v>
          </cell>
          <cell r="P12">
            <v>127.2</v>
          </cell>
          <cell r="T12">
            <v>0</v>
          </cell>
          <cell r="U12">
            <v>1478.4</v>
          </cell>
          <cell r="V12">
            <v>783.50800000000004</v>
          </cell>
          <cell r="W12">
            <v>0</v>
          </cell>
          <cell r="X12">
            <v>694.89199999999983</v>
          </cell>
          <cell r="Y12">
            <v>1478.4</v>
          </cell>
        </row>
        <row r="13">
          <cell r="A13">
            <v>3</v>
          </cell>
          <cell r="B13" t="str">
            <v>Rental Income</v>
          </cell>
          <cell r="E13">
            <v>33.837000000000003</v>
          </cell>
          <cell r="F13">
            <v>33.837000000000003</v>
          </cell>
          <cell r="G13">
            <v>33.837000000000003</v>
          </cell>
          <cell r="H13">
            <v>33.837000000000003</v>
          </cell>
          <cell r="I13">
            <v>33.837000000000003</v>
          </cell>
          <cell r="J13">
            <v>33.837000000000003</v>
          </cell>
          <cell r="K13">
            <v>33.837000000000003</v>
          </cell>
          <cell r="L13">
            <v>33.837000000000003</v>
          </cell>
          <cell r="M13">
            <v>33.837000000000003</v>
          </cell>
          <cell r="N13">
            <v>33.837000000000003</v>
          </cell>
          <cell r="O13">
            <v>33.837000000000003</v>
          </cell>
          <cell r="P13">
            <v>33.837000000000003</v>
          </cell>
          <cell r="T13">
            <v>0</v>
          </cell>
          <cell r="U13">
            <v>406.04399999999993</v>
          </cell>
          <cell r="V13">
            <v>147</v>
          </cell>
          <cell r="W13">
            <v>0</v>
          </cell>
          <cell r="X13">
            <v>259.04399999999993</v>
          </cell>
          <cell r="Y13">
            <v>406.04399999999993</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32.5</v>
          </cell>
          <cell r="F15">
            <v>32.5</v>
          </cell>
          <cell r="G15">
            <v>32.5</v>
          </cell>
          <cell r="H15">
            <v>32.5</v>
          </cell>
          <cell r="I15">
            <v>32.5</v>
          </cell>
          <cell r="J15">
            <v>32.5</v>
          </cell>
          <cell r="K15">
            <v>32.5</v>
          </cell>
          <cell r="L15">
            <v>32.5</v>
          </cell>
          <cell r="M15">
            <v>32.5</v>
          </cell>
          <cell r="N15">
            <v>32.5</v>
          </cell>
          <cell r="O15">
            <v>32.5</v>
          </cell>
          <cell r="P15">
            <v>32.5</v>
          </cell>
          <cell r="T15">
            <v>0</v>
          </cell>
          <cell r="U15">
            <v>390</v>
          </cell>
          <cell r="V15">
            <v>302.70999999999998</v>
          </cell>
          <cell r="W15">
            <v>0</v>
          </cell>
          <cell r="X15">
            <v>87.29</v>
          </cell>
          <cell r="Y15">
            <v>390</v>
          </cell>
        </row>
        <row r="16">
          <cell r="A16">
            <v>6</v>
          </cell>
          <cell r="B16" t="str">
            <v>Other Income</v>
          </cell>
          <cell r="C16">
            <v>0</v>
          </cell>
          <cell r="E16">
            <v>9.8899583333333325</v>
          </cell>
          <cell r="F16">
            <v>9.8899583333333325</v>
          </cell>
          <cell r="G16">
            <v>9.8899583333333325</v>
          </cell>
          <cell r="H16">
            <v>9.8899583333333325</v>
          </cell>
          <cell r="I16">
            <v>9.8899583333333325</v>
          </cell>
          <cell r="J16">
            <v>9.8899583333333325</v>
          </cell>
          <cell r="K16">
            <v>9.8899583333333325</v>
          </cell>
          <cell r="L16">
            <v>9.8899583333333325</v>
          </cell>
          <cell r="M16">
            <v>9.8899583333333325</v>
          </cell>
          <cell r="N16">
            <v>9.8899583333333325</v>
          </cell>
          <cell r="O16">
            <v>9.8899583333333325</v>
          </cell>
          <cell r="P16">
            <v>9.8899583333333325</v>
          </cell>
          <cell r="R16">
            <v>0</v>
          </cell>
          <cell r="S16">
            <v>0</v>
          </cell>
          <cell r="T16">
            <v>0</v>
          </cell>
          <cell r="U16">
            <v>118.67950000000002</v>
          </cell>
          <cell r="V16">
            <v>77.488249999999994</v>
          </cell>
          <cell r="W16">
            <v>0</v>
          </cell>
          <cell r="X16">
            <v>41.191249999999997</v>
          </cell>
          <cell r="Y16">
            <v>118.67950000000002</v>
          </cell>
        </row>
        <row r="17">
          <cell r="B17" t="str">
            <v>TOTAL REVENUE</v>
          </cell>
          <cell r="C17">
            <v>0</v>
          </cell>
          <cell r="E17">
            <v>772.2269583333333</v>
          </cell>
          <cell r="F17">
            <v>796.2269583333333</v>
          </cell>
          <cell r="G17">
            <v>1036.2269583333334</v>
          </cell>
          <cell r="H17">
            <v>796.2269583333333</v>
          </cell>
          <cell r="I17">
            <v>844.2269583333333</v>
          </cell>
          <cell r="J17">
            <v>1116.2269583333334</v>
          </cell>
          <cell r="K17">
            <v>796.2269583333333</v>
          </cell>
          <cell r="L17">
            <v>836.2269583333333</v>
          </cell>
          <cell r="M17">
            <v>1020.2269583333333</v>
          </cell>
          <cell r="N17">
            <v>796.2269583333333</v>
          </cell>
          <cell r="O17">
            <v>1036.2269583333334</v>
          </cell>
          <cell r="P17">
            <v>924.2269583333333</v>
          </cell>
          <cell r="R17">
            <v>0</v>
          </cell>
          <cell r="S17">
            <v>0</v>
          </cell>
          <cell r="T17">
            <v>0</v>
          </cell>
          <cell r="U17">
            <v>10770.7235</v>
          </cell>
          <cell r="V17">
            <v>5739.7672500000008</v>
          </cell>
          <cell r="W17">
            <v>0</v>
          </cell>
          <cell r="X17">
            <v>5030.9562499999993</v>
          </cell>
          <cell r="Y17">
            <v>10770.7235</v>
          </cell>
        </row>
        <row r="19">
          <cell r="A19">
            <v>7</v>
          </cell>
          <cell r="B19" t="str">
            <v>Film Hire</v>
          </cell>
          <cell r="E19">
            <v>275.09400000000005</v>
          </cell>
          <cell r="F19">
            <v>284.58</v>
          </cell>
          <cell r="G19">
            <v>379.44</v>
          </cell>
          <cell r="H19">
            <v>284.58</v>
          </cell>
          <cell r="I19">
            <v>303.55200000000002</v>
          </cell>
          <cell r="J19">
            <v>411.06</v>
          </cell>
          <cell r="K19">
            <v>284.58</v>
          </cell>
          <cell r="L19">
            <v>300.39</v>
          </cell>
          <cell r="M19">
            <v>373.11599999999999</v>
          </cell>
          <cell r="N19">
            <v>284.58</v>
          </cell>
          <cell r="O19">
            <v>379.44</v>
          </cell>
          <cell r="P19">
            <v>335.17199999999997</v>
          </cell>
          <cell r="U19">
            <v>3895.5839999999998</v>
          </cell>
          <cell r="V19">
            <v>2049.6968000000002</v>
          </cell>
          <cell r="W19">
            <v>0</v>
          </cell>
          <cell r="X19">
            <v>1845.8871999999997</v>
          </cell>
          <cell r="Y19">
            <v>3895.5839999999998</v>
          </cell>
        </row>
        <row r="20">
          <cell r="A20">
            <v>8</v>
          </cell>
          <cell r="B20" t="str">
            <v>Concession Cost</v>
          </cell>
          <cell r="E20">
            <v>24.012</v>
          </cell>
          <cell r="F20">
            <v>24.84</v>
          </cell>
          <cell r="G20">
            <v>33.119999999999997</v>
          </cell>
          <cell r="H20">
            <v>24.84</v>
          </cell>
          <cell r="I20">
            <v>26.495999999999999</v>
          </cell>
          <cell r="J20">
            <v>35.880000000000003</v>
          </cell>
          <cell r="K20">
            <v>24.84</v>
          </cell>
          <cell r="L20">
            <v>26.22</v>
          </cell>
          <cell r="M20">
            <v>32.567999999999998</v>
          </cell>
          <cell r="N20">
            <v>24.84</v>
          </cell>
          <cell r="O20">
            <v>33.119999999999997</v>
          </cell>
          <cell r="P20">
            <v>29.256</v>
          </cell>
          <cell r="T20">
            <v>0</v>
          </cell>
          <cell r="U20">
            <v>340.03200000000004</v>
          </cell>
          <cell r="V20">
            <v>148.9058</v>
          </cell>
          <cell r="W20">
            <v>0</v>
          </cell>
          <cell r="X20">
            <v>191.12620000000004</v>
          </cell>
          <cell r="Y20">
            <v>340.03200000000004</v>
          </cell>
        </row>
        <row r="21">
          <cell r="A21">
            <v>9</v>
          </cell>
          <cell r="B21" t="str">
            <v>Less Concession Rebates</v>
          </cell>
          <cell r="E21">
            <v>-2.61</v>
          </cell>
          <cell r="F21">
            <v>-2.7</v>
          </cell>
          <cell r="G21">
            <v>-3.6</v>
          </cell>
          <cell r="H21">
            <v>-2.7</v>
          </cell>
          <cell r="I21">
            <v>-2.88</v>
          </cell>
          <cell r="J21">
            <v>-3.9</v>
          </cell>
          <cell r="K21">
            <v>-2.7</v>
          </cell>
          <cell r="L21">
            <v>-2.85</v>
          </cell>
          <cell r="M21">
            <v>-3.54</v>
          </cell>
          <cell r="N21">
            <v>-2.7</v>
          </cell>
          <cell r="O21">
            <v>-3.6</v>
          </cell>
          <cell r="P21">
            <v>-3.18</v>
          </cell>
          <cell r="U21">
            <v>-36.96</v>
          </cell>
          <cell r="V21">
            <v>-23.1</v>
          </cell>
          <cell r="W21">
            <v>0</v>
          </cell>
          <cell r="X21">
            <v>-13.86</v>
          </cell>
          <cell r="Y21">
            <v>-36.96</v>
          </cell>
        </row>
        <row r="22">
          <cell r="A22">
            <v>10</v>
          </cell>
          <cell r="B22" t="str">
            <v>Advertising Cost</v>
          </cell>
          <cell r="E22">
            <v>13.6068</v>
          </cell>
          <cell r="F22">
            <v>14.076000000000001</v>
          </cell>
          <cell r="G22">
            <v>18.768000000000001</v>
          </cell>
          <cell r="H22">
            <v>14.076000000000001</v>
          </cell>
          <cell r="I22">
            <v>15.014399999999998</v>
          </cell>
          <cell r="J22">
            <v>20.332000000000001</v>
          </cell>
          <cell r="K22">
            <v>14.076000000000001</v>
          </cell>
          <cell r="L22">
            <v>14.858000000000001</v>
          </cell>
          <cell r="M22">
            <v>18.455199999999998</v>
          </cell>
          <cell r="N22">
            <v>14.076000000000001</v>
          </cell>
          <cell r="O22">
            <v>18.768000000000001</v>
          </cell>
          <cell r="P22">
            <v>16.578399999999998</v>
          </cell>
          <cell r="T22">
            <v>0</v>
          </cell>
          <cell r="U22">
            <v>192.68479999999997</v>
          </cell>
          <cell r="V22">
            <v>95.008440000000007</v>
          </cell>
          <cell r="W22">
            <v>0</v>
          </cell>
          <cell r="X22">
            <v>97.67635999999996</v>
          </cell>
          <cell r="Y22">
            <v>192.68479999999997</v>
          </cell>
        </row>
        <row r="23">
          <cell r="A23">
            <v>11</v>
          </cell>
          <cell r="B23" t="str">
            <v>Other Cost</v>
          </cell>
          <cell r="C23">
            <v>0</v>
          </cell>
          <cell r="E23">
            <v>1.1832</v>
          </cell>
          <cell r="F23">
            <v>1.224</v>
          </cell>
          <cell r="G23">
            <v>1.6320000000000001</v>
          </cell>
          <cell r="H23">
            <v>1.224</v>
          </cell>
          <cell r="I23">
            <v>1.3055999999999999</v>
          </cell>
          <cell r="J23">
            <v>1.768</v>
          </cell>
          <cell r="K23">
            <v>1.224</v>
          </cell>
          <cell r="L23">
            <v>1.292</v>
          </cell>
          <cell r="M23">
            <v>1.6048</v>
          </cell>
          <cell r="N23">
            <v>1.224</v>
          </cell>
          <cell r="O23">
            <v>1.6320000000000001</v>
          </cell>
          <cell r="P23">
            <v>1.4416</v>
          </cell>
          <cell r="R23">
            <v>0</v>
          </cell>
          <cell r="S23">
            <v>0</v>
          </cell>
          <cell r="T23">
            <v>0</v>
          </cell>
          <cell r="U23">
            <v>16.755199999999999</v>
          </cell>
          <cell r="V23">
            <v>8.8581220000000016</v>
          </cell>
          <cell r="W23">
            <v>0</v>
          </cell>
          <cell r="X23">
            <v>7.8970779999999969</v>
          </cell>
          <cell r="Y23">
            <v>16.755199999999999</v>
          </cell>
        </row>
        <row r="24">
          <cell r="A24">
            <v>12</v>
          </cell>
          <cell r="B24" t="str">
            <v>Direct Payroll</v>
          </cell>
          <cell r="C24">
            <v>0</v>
          </cell>
          <cell r="E24">
            <v>43.479529129827576</v>
          </cell>
          <cell r="F24">
            <v>43.479529129827576</v>
          </cell>
          <cell r="G24">
            <v>44.579529129827577</v>
          </cell>
          <cell r="H24">
            <v>43.479529129827576</v>
          </cell>
          <cell r="I24">
            <v>43.479529129827576</v>
          </cell>
          <cell r="J24">
            <v>44.579529129827577</v>
          </cell>
          <cell r="K24">
            <v>44.280345677127578</v>
          </cell>
          <cell r="L24">
            <v>44.280345677127578</v>
          </cell>
          <cell r="M24">
            <v>45.380345677127579</v>
          </cell>
          <cell r="N24">
            <v>44.280345677127578</v>
          </cell>
          <cell r="O24">
            <v>45.380345677127579</v>
          </cell>
          <cell r="P24">
            <v>45.380345677127579</v>
          </cell>
          <cell r="R24">
            <v>0</v>
          </cell>
          <cell r="S24">
            <v>0</v>
          </cell>
          <cell r="T24">
            <v>0</v>
          </cell>
          <cell r="U24">
            <v>532.05924884173089</v>
          </cell>
          <cell r="V24">
            <v>307.03711833333341</v>
          </cell>
          <cell r="W24">
            <v>0</v>
          </cell>
          <cell r="X24">
            <v>225.02213050839748</v>
          </cell>
          <cell r="Y24">
            <v>532.05924884173089</v>
          </cell>
        </row>
        <row r="25">
          <cell r="B25" t="str">
            <v>TOTAL COST</v>
          </cell>
          <cell r="C25">
            <v>0</v>
          </cell>
          <cell r="E25">
            <v>354.76552912982766</v>
          </cell>
          <cell r="F25">
            <v>365.49952912982764</v>
          </cell>
          <cell r="G25">
            <v>473.93952912982752</v>
          </cell>
          <cell r="H25">
            <v>365.49952912982764</v>
          </cell>
          <cell r="I25">
            <v>386.96752912982765</v>
          </cell>
          <cell r="J25">
            <v>509.71952912982755</v>
          </cell>
          <cell r="K25">
            <v>366.30034567712761</v>
          </cell>
          <cell r="L25">
            <v>384.1903456771276</v>
          </cell>
          <cell r="M25">
            <v>467.58434567712754</v>
          </cell>
          <cell r="N25">
            <v>366.30034567712761</v>
          </cell>
          <cell r="O25">
            <v>474.74034567712755</v>
          </cell>
          <cell r="P25">
            <v>424.64834567712757</v>
          </cell>
          <cell r="R25">
            <v>0</v>
          </cell>
          <cell r="S25">
            <v>0</v>
          </cell>
          <cell r="T25">
            <v>0</v>
          </cell>
          <cell r="U25">
            <v>4940.1552488417301</v>
          </cell>
          <cell r="V25">
            <v>2586.4062803333336</v>
          </cell>
          <cell r="W25">
            <v>0</v>
          </cell>
          <cell r="X25">
            <v>2353.7489685083965</v>
          </cell>
          <cell r="Y25">
            <v>4940.1552488417301</v>
          </cell>
        </row>
        <row r="27">
          <cell r="B27" t="str">
            <v>GROSS MARGIN</v>
          </cell>
          <cell r="C27">
            <v>0</v>
          </cell>
          <cell r="E27">
            <v>417.46142920350565</v>
          </cell>
          <cell r="F27">
            <v>430.72742920350566</v>
          </cell>
          <cell r="G27">
            <v>562.28742920350589</v>
          </cell>
          <cell r="H27">
            <v>430.72742920350566</v>
          </cell>
          <cell r="I27">
            <v>457.25942920350565</v>
          </cell>
          <cell r="J27">
            <v>606.50742920350581</v>
          </cell>
          <cell r="K27">
            <v>429.92661265620569</v>
          </cell>
          <cell r="L27">
            <v>452.0366126562057</v>
          </cell>
          <cell r="M27">
            <v>552.64261265620576</v>
          </cell>
          <cell r="N27">
            <v>429.92661265620569</v>
          </cell>
          <cell r="O27">
            <v>561.48661265620581</v>
          </cell>
          <cell r="P27">
            <v>499.57861265620573</v>
          </cell>
          <cell r="R27">
            <v>0</v>
          </cell>
          <cell r="S27">
            <v>0</v>
          </cell>
          <cell r="T27">
            <v>0</v>
          </cell>
          <cell r="U27">
            <v>5830.56825115827</v>
          </cell>
          <cell r="V27">
            <v>3153.3609696666672</v>
          </cell>
          <cell r="W27">
            <v>0</v>
          </cell>
          <cell r="X27">
            <v>2677.2072814916028</v>
          </cell>
          <cell r="Y27">
            <v>5830.56825115827</v>
          </cell>
        </row>
        <row r="28">
          <cell r="X28" t="str">
            <v/>
          </cell>
          <cell r="Y28" t="str">
            <v/>
          </cell>
        </row>
        <row r="29">
          <cell r="A29">
            <v>13</v>
          </cell>
          <cell r="B29" t="str">
            <v>Direct Rent</v>
          </cell>
          <cell r="E29">
            <v>139.23310000000001</v>
          </cell>
          <cell r="F29">
            <v>139.23310000000001</v>
          </cell>
          <cell r="G29">
            <v>139.23310000000001</v>
          </cell>
          <cell r="H29">
            <v>139.23310000000001</v>
          </cell>
          <cell r="I29">
            <v>139.23310000000001</v>
          </cell>
          <cell r="J29">
            <v>139.23310000000001</v>
          </cell>
          <cell r="K29">
            <v>139.23310000000001</v>
          </cell>
          <cell r="L29">
            <v>139.23310000000001</v>
          </cell>
          <cell r="M29">
            <v>139.23310000000001</v>
          </cell>
          <cell r="N29">
            <v>139.23310000000001</v>
          </cell>
          <cell r="O29">
            <v>139.23310000000001</v>
          </cell>
          <cell r="P29">
            <v>139.23310000000001</v>
          </cell>
          <cell r="T29">
            <v>0</v>
          </cell>
          <cell r="U29">
            <v>1670.7971999999997</v>
          </cell>
          <cell r="V29">
            <v>726.56246428571433</v>
          </cell>
          <cell r="W29">
            <v>0</v>
          </cell>
          <cell r="X29">
            <v>944.23473571428542</v>
          </cell>
          <cell r="Y29">
            <v>1670.7971999999997</v>
          </cell>
        </row>
        <row r="30">
          <cell r="A30">
            <v>14</v>
          </cell>
          <cell r="B30" t="str">
            <v>Light, Heat and Power</v>
          </cell>
          <cell r="E30">
            <v>19</v>
          </cell>
          <cell r="F30">
            <v>19</v>
          </cell>
          <cell r="G30">
            <v>19</v>
          </cell>
          <cell r="H30">
            <v>19</v>
          </cell>
          <cell r="I30">
            <v>19</v>
          </cell>
          <cell r="J30">
            <v>19</v>
          </cell>
          <cell r="K30">
            <v>19</v>
          </cell>
          <cell r="L30">
            <v>19</v>
          </cell>
          <cell r="M30">
            <v>19</v>
          </cell>
          <cell r="N30">
            <v>19</v>
          </cell>
          <cell r="O30">
            <v>19</v>
          </cell>
          <cell r="P30">
            <v>19</v>
          </cell>
          <cell r="Q30" t="str">
            <v/>
          </cell>
          <cell r="R30">
            <v>19</v>
          </cell>
          <cell r="S30">
            <v>19</v>
          </cell>
          <cell r="T30">
            <v>19</v>
          </cell>
          <cell r="U30">
            <v>228</v>
          </cell>
          <cell r="V30">
            <v>123.25</v>
          </cell>
          <cell r="W30">
            <v>0</v>
          </cell>
          <cell r="X30">
            <v>104.75</v>
          </cell>
          <cell r="Y30">
            <v>228</v>
          </cell>
        </row>
        <row r="31">
          <cell r="A31">
            <v>15</v>
          </cell>
          <cell r="B31" t="str">
            <v>Repair &amp; Maintenance</v>
          </cell>
          <cell r="E31">
            <v>10.95</v>
          </cell>
          <cell r="F31">
            <v>35.950000000000003</v>
          </cell>
          <cell r="G31">
            <v>10.95</v>
          </cell>
          <cell r="H31">
            <v>15.95</v>
          </cell>
          <cell r="I31">
            <v>10.95</v>
          </cell>
          <cell r="J31">
            <v>12.255000000000001</v>
          </cell>
          <cell r="K31">
            <v>12.255000000000001</v>
          </cell>
          <cell r="L31">
            <v>12.255000000000001</v>
          </cell>
          <cell r="M31">
            <v>12.255000000000001</v>
          </cell>
          <cell r="N31">
            <v>12.255000000000001</v>
          </cell>
          <cell r="O31">
            <v>12.255000000000001</v>
          </cell>
          <cell r="P31">
            <v>12.255000000000001</v>
          </cell>
          <cell r="Q31" t="str">
            <v/>
          </cell>
          <cell r="R31">
            <v>10.95</v>
          </cell>
          <cell r="S31">
            <v>10.95</v>
          </cell>
          <cell r="T31">
            <v>10.95</v>
          </cell>
          <cell r="U31">
            <v>170.535</v>
          </cell>
          <cell r="V31">
            <v>68.81216666666667</v>
          </cell>
          <cell r="W31">
            <v>0</v>
          </cell>
          <cell r="X31">
            <v>101.72283333333333</v>
          </cell>
          <cell r="Y31">
            <v>170.535</v>
          </cell>
        </row>
        <row r="32">
          <cell r="A32">
            <v>16</v>
          </cell>
          <cell r="B32" t="str">
            <v>Common Area Maintenance</v>
          </cell>
          <cell r="E32">
            <v>94.813320000000004</v>
          </cell>
          <cell r="F32">
            <v>94.813320000000004</v>
          </cell>
          <cell r="G32">
            <v>94.813320000000004</v>
          </cell>
          <cell r="H32">
            <v>94.813320000000004</v>
          </cell>
          <cell r="I32">
            <v>94.813320000000004</v>
          </cell>
          <cell r="J32">
            <v>94.813320000000004</v>
          </cell>
          <cell r="K32">
            <v>94.813320000000004</v>
          </cell>
          <cell r="L32">
            <v>94.813320000000004</v>
          </cell>
          <cell r="M32">
            <v>94.813320000000004</v>
          </cell>
          <cell r="N32">
            <v>94.813320000000004</v>
          </cell>
          <cell r="O32">
            <v>94.813320000000004</v>
          </cell>
          <cell r="P32">
            <v>94.813320000000004</v>
          </cell>
          <cell r="T32">
            <v>0</v>
          </cell>
          <cell r="U32">
            <v>1137.7598399999999</v>
          </cell>
          <cell r="V32">
            <v>430.04613000000006</v>
          </cell>
          <cell r="W32">
            <v>0</v>
          </cell>
          <cell r="X32">
            <v>707.71370999999988</v>
          </cell>
          <cell r="Y32">
            <v>1137.7598399999999</v>
          </cell>
        </row>
        <row r="33">
          <cell r="A33">
            <v>17</v>
          </cell>
          <cell r="B33" t="str">
            <v>Other Overhead Costs</v>
          </cell>
          <cell r="C33">
            <v>0</v>
          </cell>
          <cell r="E33">
            <v>20.947795291298277</v>
          </cell>
          <cell r="F33">
            <v>20.947795291298277</v>
          </cell>
          <cell r="G33">
            <v>20.750795291298278</v>
          </cell>
          <cell r="H33">
            <v>20.947795291298277</v>
          </cell>
          <cell r="I33">
            <v>20.739795291298279</v>
          </cell>
          <cell r="J33">
            <v>20.958795291298276</v>
          </cell>
          <cell r="K33">
            <v>20.955803456771278</v>
          </cell>
          <cell r="L33">
            <v>22.831803456771279</v>
          </cell>
          <cell r="M33">
            <v>20.966803456771277</v>
          </cell>
          <cell r="N33">
            <v>20.74780345677128</v>
          </cell>
          <cell r="O33">
            <v>20.966803456771277</v>
          </cell>
          <cell r="P33">
            <v>20.758803456771279</v>
          </cell>
          <cell r="R33">
            <v>0</v>
          </cell>
          <cell r="S33">
            <v>0</v>
          </cell>
          <cell r="T33">
            <v>0</v>
          </cell>
          <cell r="U33">
            <v>252.52059248841735</v>
          </cell>
          <cell r="V33">
            <v>193.86437853333331</v>
          </cell>
          <cell r="W33">
            <v>0</v>
          </cell>
          <cell r="X33">
            <v>58.656213955084041</v>
          </cell>
          <cell r="Y33">
            <v>252.52059248841735</v>
          </cell>
        </row>
        <row r="35">
          <cell r="B35" t="str">
            <v>Total Overhead Expenses</v>
          </cell>
          <cell r="C35">
            <v>0</v>
          </cell>
          <cell r="E35">
            <v>284.94421529129829</v>
          </cell>
          <cell r="F35">
            <v>309.94421529129835</v>
          </cell>
          <cell r="G35">
            <v>284.74721529129829</v>
          </cell>
          <cell r="H35">
            <v>289.94421529129829</v>
          </cell>
          <cell r="I35">
            <v>284.73621529129827</v>
          </cell>
          <cell r="J35">
            <v>286.26021529129827</v>
          </cell>
          <cell r="K35">
            <v>286.25722345677127</v>
          </cell>
          <cell r="L35">
            <v>288.1332234567713</v>
          </cell>
          <cell r="M35">
            <v>286.2682234567713</v>
          </cell>
          <cell r="N35">
            <v>286.0492234567713</v>
          </cell>
          <cell r="O35">
            <v>286.2682234567713</v>
          </cell>
          <cell r="P35">
            <v>286.06022345677127</v>
          </cell>
          <cell r="R35">
            <v>10.95</v>
          </cell>
          <cell r="S35">
            <v>10.95</v>
          </cell>
          <cell r="T35">
            <v>0</v>
          </cell>
          <cell r="U35">
            <v>3459.6126324884181</v>
          </cell>
          <cell r="V35">
            <v>1542.5351394857144</v>
          </cell>
          <cell r="W35">
            <v>0</v>
          </cell>
          <cell r="X35">
            <v>1917.0774930027037</v>
          </cell>
          <cell r="Y35">
            <v>3459.6126324884181</v>
          </cell>
        </row>
        <row r="37">
          <cell r="B37" t="str">
            <v>E.B.I.T.D.</v>
          </cell>
          <cell r="C37">
            <v>0</v>
          </cell>
          <cell r="E37">
            <v>132.51721391220735</v>
          </cell>
          <cell r="F37">
            <v>120.78321391220732</v>
          </cell>
          <cell r="G37">
            <v>277.54021391220761</v>
          </cell>
          <cell r="H37">
            <v>140.78321391220737</v>
          </cell>
          <cell r="I37">
            <v>172.52321391220738</v>
          </cell>
          <cell r="J37">
            <v>320.24721391220754</v>
          </cell>
          <cell r="K37">
            <v>143.66938919943442</v>
          </cell>
          <cell r="L37">
            <v>163.9033891994344</v>
          </cell>
          <cell r="M37">
            <v>266.37438919943446</v>
          </cell>
          <cell r="N37">
            <v>143.87738919943439</v>
          </cell>
          <cell r="O37">
            <v>275.21838919943451</v>
          </cell>
          <cell r="P37">
            <v>213.51838919943447</v>
          </cell>
          <cell r="R37">
            <v>-10.95</v>
          </cell>
          <cell r="S37">
            <v>-10.95</v>
          </cell>
          <cell r="T37">
            <v>0</v>
          </cell>
          <cell r="U37">
            <v>2370.9556186698519</v>
          </cell>
          <cell r="V37">
            <v>1610.8258301809528</v>
          </cell>
          <cell r="W37">
            <v>0</v>
          </cell>
          <cell r="X37">
            <v>760.12978848889907</v>
          </cell>
          <cell r="Y37">
            <v>2370.9556186698519</v>
          </cell>
        </row>
        <row r="39">
          <cell r="A39">
            <v>18</v>
          </cell>
          <cell r="B39" t="str">
            <v>Depreciation</v>
          </cell>
          <cell r="E39">
            <v>58.149062499999999</v>
          </cell>
          <cell r="F39">
            <v>58.149062499999999</v>
          </cell>
          <cell r="G39">
            <v>58.149062499999999</v>
          </cell>
          <cell r="H39">
            <v>58.149062499999999</v>
          </cell>
          <cell r="I39">
            <v>58.149062499999999</v>
          </cell>
          <cell r="J39">
            <v>58.149062499999999</v>
          </cell>
          <cell r="K39">
            <v>58.149062499999999</v>
          </cell>
          <cell r="L39">
            <v>58.149062499999999</v>
          </cell>
          <cell r="M39">
            <v>58.149062499999999</v>
          </cell>
          <cell r="N39">
            <v>58.149062499999999</v>
          </cell>
          <cell r="O39">
            <v>58.149062499999999</v>
          </cell>
          <cell r="P39">
            <v>58.149062499999999</v>
          </cell>
          <cell r="Q39" t="str">
            <v/>
          </cell>
          <cell r="R39" t="e">
            <v>#REF!</v>
          </cell>
          <cell r="S39" t="e">
            <v>#REF!</v>
          </cell>
          <cell r="T39" t="e">
            <v>#REF!</v>
          </cell>
          <cell r="U39">
            <v>697.78875000000005</v>
          </cell>
          <cell r="V39">
            <v>400.42122392708336</v>
          </cell>
          <cell r="W39">
            <v>0</v>
          </cell>
          <cell r="X39">
            <v>297.36752607291669</v>
          </cell>
          <cell r="Y39">
            <v>697.78875000000005</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0.44</v>
          </cell>
          <cell r="W40">
            <v>0</v>
          </cell>
          <cell r="X40">
            <v>-0.44</v>
          </cell>
          <cell r="Y40">
            <v>0</v>
          </cell>
        </row>
        <row r="41">
          <cell r="A41">
            <v>20</v>
          </cell>
          <cell r="B41" t="str">
            <v>External Interest</v>
          </cell>
          <cell r="T41">
            <v>0</v>
          </cell>
          <cell r="U41">
            <v>0</v>
          </cell>
          <cell r="V41">
            <v>123.2876712328767</v>
          </cell>
          <cell r="W41">
            <v>0</v>
          </cell>
          <cell r="X41">
            <v>-123.2876712328767</v>
          </cell>
          <cell r="Y41">
            <v>0</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0</v>
          </cell>
          <cell r="W43">
            <v>0</v>
          </cell>
          <cell r="X43">
            <v>0</v>
          </cell>
          <cell r="Y43">
            <v>0</v>
          </cell>
        </row>
        <row r="44">
          <cell r="B44" t="str">
            <v>E.B.T.</v>
          </cell>
          <cell r="C44">
            <v>0</v>
          </cell>
          <cell r="E44">
            <v>74.368151412207354</v>
          </cell>
          <cell r="F44">
            <v>62.634151412207316</v>
          </cell>
          <cell r="G44">
            <v>219.39115141220759</v>
          </cell>
          <cell r="H44">
            <v>82.634151412207373</v>
          </cell>
          <cell r="I44">
            <v>114.37415141220738</v>
          </cell>
          <cell r="J44">
            <v>262.09815141220753</v>
          </cell>
          <cell r="K44">
            <v>85.52032669943442</v>
          </cell>
          <cell r="L44">
            <v>105.7543266994344</v>
          </cell>
          <cell r="M44">
            <v>208.22532669943445</v>
          </cell>
          <cell r="N44">
            <v>85.72832669943439</v>
          </cell>
          <cell r="O44">
            <v>217.0693266994345</v>
          </cell>
          <cell r="P44">
            <v>155.36932669943445</v>
          </cell>
          <cell r="Q44" t="e">
            <v>#VALUE!</v>
          </cell>
          <cell r="R44" t="e">
            <v>#REF!</v>
          </cell>
          <cell r="S44" t="e">
            <v>#REF!</v>
          </cell>
          <cell r="T44" t="e">
            <v>#REF!</v>
          </cell>
          <cell r="U44">
            <v>1673.1668686698517</v>
          </cell>
          <cell r="V44">
            <v>1086.6769350209929</v>
          </cell>
          <cell r="W44">
            <v>0</v>
          </cell>
          <cell r="X44">
            <v>586.48993364885882</v>
          </cell>
          <cell r="Y44">
            <v>1673.1668686698517</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74.368151412207354</v>
          </cell>
          <cell r="F50">
            <v>62.634151412207316</v>
          </cell>
          <cell r="G50">
            <v>219.39115141220759</v>
          </cell>
          <cell r="H50">
            <v>82.634151412207373</v>
          </cell>
          <cell r="I50">
            <v>114.37415141220738</v>
          </cell>
          <cell r="J50">
            <v>262.09815141220753</v>
          </cell>
          <cell r="K50">
            <v>85.52032669943442</v>
          </cell>
          <cell r="L50">
            <v>105.7543266994344</v>
          </cell>
          <cell r="M50">
            <v>208.22532669943445</v>
          </cell>
          <cell r="N50">
            <v>85.72832669943439</v>
          </cell>
          <cell r="O50">
            <v>217.0693266994345</v>
          </cell>
          <cell r="P50">
            <v>155.36932669943445</v>
          </cell>
          <cell r="Q50" t="e">
            <v>#VALUE!</v>
          </cell>
          <cell r="R50" t="e">
            <v>#REF!</v>
          </cell>
          <cell r="S50" t="e">
            <v>#REF!</v>
          </cell>
          <cell r="T50" t="e">
            <v>#REF!</v>
          </cell>
          <cell r="U50">
            <v>1673.1668686698517</v>
          </cell>
          <cell r="V50">
            <v>1086.6769350209929</v>
          </cell>
          <cell r="W50">
            <v>0</v>
          </cell>
          <cell r="X50">
            <v>586.48993364885882</v>
          </cell>
          <cell r="Y50">
            <v>1673.1668686698517</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28</v>
          </cell>
          <cell r="W53">
            <v>52</v>
          </cell>
          <cell r="X53">
            <v>24</v>
          </cell>
          <cell r="Y53">
            <v>0</v>
          </cell>
        </row>
        <row r="54">
          <cell r="A54">
            <v>27</v>
          </cell>
          <cell r="B54" t="str">
            <v>Pd Admissions</v>
          </cell>
          <cell r="E54">
            <v>85.26</v>
          </cell>
          <cell r="F54">
            <v>88.2</v>
          </cell>
          <cell r="G54">
            <v>117.6</v>
          </cell>
          <cell r="H54">
            <v>88.2</v>
          </cell>
          <cell r="I54">
            <v>94.08</v>
          </cell>
          <cell r="J54">
            <v>127.4</v>
          </cell>
          <cell r="K54">
            <v>88.2</v>
          </cell>
          <cell r="L54">
            <v>93.1</v>
          </cell>
          <cell r="M54">
            <v>115.64</v>
          </cell>
          <cell r="N54">
            <v>88.2</v>
          </cell>
          <cell r="O54">
            <v>117.6</v>
          </cell>
          <cell r="P54">
            <v>103.88</v>
          </cell>
          <cell r="T54">
            <v>0</v>
          </cell>
          <cell r="U54">
            <v>1207.3599999999999</v>
          </cell>
          <cell r="V54">
            <v>678</v>
          </cell>
          <cell r="W54">
            <v>0</v>
          </cell>
          <cell r="X54">
            <v>529.36</v>
          </cell>
          <cell r="Y54">
            <v>1207.3599999999999</v>
          </cell>
        </row>
        <row r="55">
          <cell r="A55">
            <v>28</v>
          </cell>
          <cell r="B55" t="str">
            <v>Admissions</v>
          </cell>
          <cell r="E55">
            <v>87</v>
          </cell>
          <cell r="F55">
            <v>90</v>
          </cell>
          <cell r="G55">
            <v>120</v>
          </cell>
          <cell r="H55">
            <v>90</v>
          </cell>
          <cell r="I55">
            <v>96</v>
          </cell>
          <cell r="J55">
            <v>130</v>
          </cell>
          <cell r="K55">
            <v>90</v>
          </cell>
          <cell r="L55">
            <v>95</v>
          </cell>
          <cell r="M55">
            <v>118</v>
          </cell>
          <cell r="N55">
            <v>90</v>
          </cell>
          <cell r="O55">
            <v>120</v>
          </cell>
          <cell r="P55">
            <v>106</v>
          </cell>
          <cell r="T55">
            <v>0</v>
          </cell>
          <cell r="U55">
            <v>1232</v>
          </cell>
          <cell r="V55">
            <v>678</v>
          </cell>
          <cell r="W55">
            <v>0</v>
          </cell>
          <cell r="X55">
            <v>554</v>
          </cell>
          <cell r="Y55">
            <v>1232</v>
          </cell>
        </row>
        <row r="56">
          <cell r="B56" t="str">
            <v>Utilisation Rate</v>
          </cell>
          <cell r="E56">
            <v>0.33065766669707197</v>
          </cell>
          <cell r="F56">
            <v>0.34205965520386755</v>
          </cell>
          <cell r="G56">
            <v>0.36486363221745871</v>
          </cell>
          <cell r="H56">
            <v>0.34205965520386755</v>
          </cell>
          <cell r="I56">
            <v>0.36486363221745871</v>
          </cell>
          <cell r="J56">
            <v>0.39526893490224696</v>
          </cell>
          <cell r="K56">
            <v>0.34205965520386755</v>
          </cell>
          <cell r="L56">
            <v>0.36106296938186022</v>
          </cell>
          <cell r="M56">
            <v>0.35878257168050109</v>
          </cell>
          <cell r="N56">
            <v>0.34205965520386755</v>
          </cell>
          <cell r="O56">
            <v>0.36486363221745871</v>
          </cell>
          <cell r="P56">
            <v>0.40287026057344399</v>
          </cell>
          <cell r="Q56" t="str">
            <v/>
          </cell>
          <cell r="R56" t="e">
            <v>#DIV/0!</v>
          </cell>
          <cell r="S56" t="e">
            <v>#DIV/0!</v>
          </cell>
          <cell r="T56" t="e">
            <v>#DIV/0!</v>
          </cell>
          <cell r="U56">
            <v>0.36018589334287593</v>
          </cell>
          <cell r="V56">
            <v>0.36812134321940032</v>
          </cell>
          <cell r="W56" t="str">
            <v>N.A.</v>
          </cell>
          <cell r="X56">
            <v>-7.9354498765243919E-3</v>
          </cell>
          <cell r="Y56" t="str">
            <v>N.A.</v>
          </cell>
        </row>
        <row r="57">
          <cell r="B57" t="str">
            <v>Ave. Admission Price (S$)</v>
          </cell>
          <cell r="C57" t="str">
            <v>N.A.</v>
          </cell>
          <cell r="E57">
            <v>6.8</v>
          </cell>
          <cell r="F57">
            <v>6.8</v>
          </cell>
          <cell r="G57">
            <v>6.8</v>
          </cell>
          <cell r="H57">
            <v>6.8</v>
          </cell>
          <cell r="I57">
            <v>6.8</v>
          </cell>
          <cell r="J57">
            <v>6.8</v>
          </cell>
          <cell r="K57">
            <v>6.8</v>
          </cell>
          <cell r="L57">
            <v>6.8</v>
          </cell>
          <cell r="M57">
            <v>6.8</v>
          </cell>
          <cell r="N57">
            <v>6.8</v>
          </cell>
          <cell r="O57">
            <v>6.8</v>
          </cell>
          <cell r="P57">
            <v>6.8</v>
          </cell>
          <cell r="R57" t="str">
            <v>N.A.</v>
          </cell>
          <cell r="S57" t="str">
            <v>N.A.</v>
          </cell>
          <cell r="U57">
            <v>6.8</v>
          </cell>
          <cell r="V57">
            <v>6.5325383480825971</v>
          </cell>
          <cell r="W57" t="str">
            <v>N.A.</v>
          </cell>
          <cell r="X57">
            <v>0.26746165191740179</v>
          </cell>
          <cell r="Y57" t="str">
            <v>N.A.</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2.3E-2</v>
          </cell>
          <cell r="V58">
            <v>2.1451147319939825E-2</v>
          </cell>
          <cell r="W58" t="str">
            <v>N.A.</v>
          </cell>
          <cell r="X58">
            <v>1.5488526800601747E-3</v>
          </cell>
          <cell r="Y58" t="str">
            <v>N.A.</v>
          </cell>
        </row>
        <row r="59">
          <cell r="B59" t="str">
            <v>Concession Cost %</v>
          </cell>
          <cell r="C59" t="str">
            <v>N.A.</v>
          </cell>
          <cell r="E59">
            <v>0.20499999999999999</v>
          </cell>
          <cell r="F59">
            <v>0.20499999999999999</v>
          </cell>
          <cell r="G59">
            <v>0.20499999999999999</v>
          </cell>
          <cell r="H59">
            <v>0.20499999999999999</v>
          </cell>
          <cell r="I59">
            <v>0.20499999999999999</v>
          </cell>
          <cell r="J59">
            <v>0.20499999999999999</v>
          </cell>
          <cell r="K59">
            <v>0.20499999999999999</v>
          </cell>
          <cell r="L59">
            <v>0.20499999999999999</v>
          </cell>
          <cell r="M59">
            <v>0.20499999999999999</v>
          </cell>
          <cell r="N59">
            <v>0.20499999999999999</v>
          </cell>
          <cell r="O59">
            <v>0.20499999999999999</v>
          </cell>
          <cell r="P59">
            <v>0.20499999999999999</v>
          </cell>
          <cell r="Q59" t="str">
            <v/>
          </cell>
          <cell r="R59" t="str">
            <v>N.A.</v>
          </cell>
          <cell r="S59" t="str">
            <v>N.A.</v>
          </cell>
          <cell r="U59">
            <v>0.20499999999999999</v>
          </cell>
          <cell r="V59">
            <v>0.16056734583437565</v>
          </cell>
          <cell r="W59" t="str">
            <v>N.A.</v>
          </cell>
          <cell r="X59">
            <v>4.4432654165624419E-2</v>
          </cell>
          <cell r="Y59" t="str">
            <v>N.A.</v>
          </cell>
        </row>
        <row r="60">
          <cell r="B60" t="str">
            <v>Concess. Rev per Patron (S$)</v>
          </cell>
          <cell r="C60" t="str">
            <v>N.A.</v>
          </cell>
          <cell r="E60">
            <v>1.2</v>
          </cell>
          <cell r="F60">
            <v>1.2</v>
          </cell>
          <cell r="G60">
            <v>1.2</v>
          </cell>
          <cell r="H60">
            <v>1.2</v>
          </cell>
          <cell r="I60">
            <v>1.2</v>
          </cell>
          <cell r="J60">
            <v>1.2</v>
          </cell>
          <cell r="K60">
            <v>1.2</v>
          </cell>
          <cell r="L60">
            <v>1.2</v>
          </cell>
          <cell r="M60">
            <v>1.2</v>
          </cell>
          <cell r="N60">
            <v>1.2</v>
          </cell>
          <cell r="O60">
            <v>1.2</v>
          </cell>
          <cell r="P60">
            <v>1.2</v>
          </cell>
          <cell r="R60" t="str">
            <v>N.A.</v>
          </cell>
          <cell r="S60" t="str">
            <v>N.A.</v>
          </cell>
          <cell r="U60">
            <v>1.2</v>
          </cell>
          <cell r="V60">
            <v>1.1556165191740413</v>
          </cell>
          <cell r="W60" t="str">
            <v>N.A.</v>
          </cell>
          <cell r="X60">
            <v>4.4383480825958666E-2</v>
          </cell>
          <cell r="Y60" t="str">
            <v>N.A.</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0.46278360130962293</v>
          </cell>
          <cell r="W61" t="str">
            <v>N.A.</v>
          </cell>
          <cell r="X61">
            <v>2.2163986903771526E-3</v>
          </cell>
          <cell r="Y61" t="str">
            <v>N.A.</v>
          </cell>
        </row>
        <row r="62">
          <cell r="B62" t="str">
            <v>Direct Payroll : Net Box</v>
          </cell>
          <cell r="C62" t="str">
            <v>N.A.</v>
          </cell>
          <cell r="E62">
            <v>7.3494809212014151E-2</v>
          </cell>
          <cell r="F62">
            <v>7.1044982238280346E-2</v>
          </cell>
          <cell r="G62">
            <v>5.4631775894396543E-2</v>
          </cell>
          <cell r="H62">
            <v>7.1044982238280346E-2</v>
          </cell>
          <cell r="I62">
            <v>6.6604670848387837E-2</v>
          </cell>
          <cell r="J62">
            <v>5.0429331594827577E-2</v>
          </cell>
          <cell r="K62">
            <v>7.2353506008378393E-2</v>
          </cell>
          <cell r="L62">
            <v>6.8545426744779536E-2</v>
          </cell>
          <cell r="M62">
            <v>5.6555764802003465E-2</v>
          </cell>
          <cell r="N62">
            <v>7.2353506008378393E-2</v>
          </cell>
          <cell r="O62">
            <v>5.5613168721970072E-2</v>
          </cell>
          <cell r="P62">
            <v>6.2958304213551031E-2</v>
          </cell>
          <cell r="Q62" t="str">
            <v/>
          </cell>
          <cell r="R62" t="str">
            <v>N.A.</v>
          </cell>
          <cell r="S62" t="str">
            <v>N.A.</v>
          </cell>
          <cell r="T62" t="str">
            <v>N.A.</v>
          </cell>
          <cell r="U62">
            <v>6.3509746089778815E-2</v>
          </cell>
          <cell r="V62">
            <v>6.9323298625449808E-2</v>
          </cell>
          <cell r="W62" t="str">
            <v>N.A.</v>
          </cell>
          <cell r="X62">
            <v>-5.8135525356709933E-3</v>
          </cell>
          <cell r="Y62" t="str">
            <v>N.A.</v>
          </cell>
        </row>
        <row r="63">
          <cell r="B63" t="str">
            <v>Direct Payroll : Net Box &amp; Conc.</v>
          </cell>
          <cell r="C63" t="str">
            <v>N.A.</v>
          </cell>
          <cell r="E63">
            <v>6.2470587830212032E-2</v>
          </cell>
          <cell r="F63">
            <v>6.03882349025383E-2</v>
          </cell>
          <cell r="G63">
            <v>4.6437009510237062E-2</v>
          </cell>
          <cell r="H63">
            <v>6.03882349025383E-2</v>
          </cell>
          <cell r="I63">
            <v>5.6613970221129656E-2</v>
          </cell>
          <cell r="J63">
            <v>4.2864931855603437E-2</v>
          </cell>
          <cell r="K63">
            <v>6.1500480107121634E-2</v>
          </cell>
          <cell r="L63">
            <v>5.8263612733062603E-2</v>
          </cell>
          <cell r="M63">
            <v>4.8072400081702944E-2</v>
          </cell>
          <cell r="N63">
            <v>6.1500480107121634E-2</v>
          </cell>
          <cell r="O63">
            <v>4.7271193413674563E-2</v>
          </cell>
          <cell r="P63">
            <v>5.3514558581518372E-2</v>
          </cell>
          <cell r="Q63" t="str">
            <v/>
          </cell>
          <cell r="R63" t="str">
            <v>N.A.</v>
          </cell>
          <cell r="S63" t="str">
            <v>N.A.</v>
          </cell>
          <cell r="T63" t="str">
            <v>N.A.</v>
          </cell>
          <cell r="U63">
            <v>5.3983284176311992E-2</v>
          </cell>
          <cell r="V63">
            <v>5.8903223791058376E-2</v>
          </cell>
          <cell r="W63" t="str">
            <v>N.A.</v>
          </cell>
          <cell r="X63">
            <v>-4.9199396147463839E-3</v>
          </cell>
          <cell r="Y63" t="str">
            <v>N.A.</v>
          </cell>
        </row>
        <row r="64">
          <cell r="B64" t="str">
            <v>Direct Payroll of Admissions (S$)</v>
          </cell>
          <cell r="C64" t="str">
            <v>N.A.</v>
          </cell>
          <cell r="E64">
            <v>0.49976470264169626</v>
          </cell>
          <cell r="F64">
            <v>0.4831058792203064</v>
          </cell>
          <cell r="G64">
            <v>0.3714960760818965</v>
          </cell>
          <cell r="H64">
            <v>0.4831058792203064</v>
          </cell>
          <cell r="I64">
            <v>0.45291176176903725</v>
          </cell>
          <cell r="J64">
            <v>0.3429194548448275</v>
          </cell>
          <cell r="K64">
            <v>0.49200384085697307</v>
          </cell>
          <cell r="L64">
            <v>0.46610890186450082</v>
          </cell>
          <cell r="M64">
            <v>0.38457920065362355</v>
          </cell>
          <cell r="N64">
            <v>0.49200384085697307</v>
          </cell>
          <cell r="O64">
            <v>0.3781695473093965</v>
          </cell>
          <cell r="P64">
            <v>0.42811646865214698</v>
          </cell>
          <cell r="Q64" t="str">
            <v/>
          </cell>
          <cell r="R64" t="e">
            <v>#DIV/0!</v>
          </cell>
          <cell r="S64" t="e">
            <v>#DIV/0!</v>
          </cell>
          <cell r="T64" t="e">
            <v>#DIV/0!</v>
          </cell>
          <cell r="U64">
            <v>0.43186627341049583</v>
          </cell>
          <cell r="V64">
            <v>0.45285710668633244</v>
          </cell>
          <cell r="W64" t="str">
            <v>N.A.</v>
          </cell>
          <cell r="X64">
            <v>-2.0990833275836618E-2</v>
          </cell>
          <cell r="Y64" t="str">
            <v>N.A.</v>
          </cell>
        </row>
        <row r="65">
          <cell r="B65" t="str">
            <v>Gross Margin :Total Rev</v>
          </cell>
          <cell r="C65" t="str">
            <v>N.A.</v>
          </cell>
          <cell r="E65">
            <v>0.54059421870546454</v>
          </cell>
          <cell r="F65">
            <v>0.54096062020445368</v>
          </cell>
          <cell r="G65">
            <v>0.54262960896895462</v>
          </cell>
          <cell r="H65">
            <v>0.54096062020445368</v>
          </cell>
          <cell r="I65">
            <v>0.5416309260085983</v>
          </cell>
          <cell r="J65">
            <v>0.54335493752014141</v>
          </cell>
          <cell r="K65">
            <v>0.53995485603267002</v>
          </cell>
          <cell r="L65">
            <v>0.54056689772014832</v>
          </cell>
          <cell r="M65">
            <v>0.5416859534460996</v>
          </cell>
          <cell r="N65">
            <v>0.53995485603267002</v>
          </cell>
          <cell r="O65">
            <v>0.54185678932663595</v>
          </cell>
          <cell r="P65">
            <v>0.540536724396246</v>
          </cell>
          <cell r="Q65" t="str">
            <v/>
          </cell>
          <cell r="R65" t="e">
            <v>#DIV/0!</v>
          </cell>
          <cell r="S65" t="e">
            <v>#DIV/0!</v>
          </cell>
          <cell r="T65" t="e">
            <v>#DIV/0!</v>
          </cell>
          <cell r="U65">
            <v>0.54133487422254134</v>
          </cell>
          <cell r="V65">
            <v>0.54938829961557534</v>
          </cell>
          <cell r="W65" t="str">
            <v>N.A.</v>
          </cell>
          <cell r="X65">
            <v>-8.0534253930339972E-3</v>
          </cell>
          <cell r="Y65" t="str">
            <v>N.A.</v>
          </cell>
        </row>
        <row r="66">
          <cell r="B66" t="str">
            <v>G&amp;A % of total revenue</v>
          </cell>
          <cell r="C66" t="str">
            <v>N.A.</v>
          </cell>
          <cell r="E66">
            <v>2.712647501520676E-2</v>
          </cell>
          <cell r="F66">
            <v>2.6308824477817631E-2</v>
          </cell>
          <cell r="G66">
            <v>2.0025338198760859E-2</v>
          </cell>
          <cell r="H66">
            <v>2.6308824477817631E-2</v>
          </cell>
          <cell r="I66">
            <v>2.4566611012093988E-2</v>
          </cell>
          <cell r="J66">
            <v>1.8776463993122314E-2</v>
          </cell>
          <cell r="K66">
            <v>2.6318882119535467E-2</v>
          </cell>
          <cell r="L66">
            <v>2.7303357335282368E-2</v>
          </cell>
          <cell r="M66">
            <v>2.0551116872095931E-2</v>
          </cell>
          <cell r="N66">
            <v>2.605765007027732E-2</v>
          </cell>
          <cell r="O66">
            <v>2.023379462207224E-2</v>
          </cell>
          <cell r="P66">
            <v>2.2460720572580802E-2</v>
          </cell>
          <cell r="Q66" t="str">
            <v/>
          </cell>
          <cell r="R66" t="str">
            <v>N.A.</v>
          </cell>
          <cell r="S66" t="str">
            <v>N.A.</v>
          </cell>
          <cell r="T66" t="str">
            <v>N.A.</v>
          </cell>
          <cell r="U66">
            <v>2.3445090990258672E-2</v>
          </cell>
          <cell r="V66">
            <v>3.3775651535928271E-2</v>
          </cell>
          <cell r="W66" t="str">
            <v>N.A.</v>
          </cell>
          <cell r="X66">
            <v>-1.0330560545669599E-2</v>
          </cell>
          <cell r="Y66" t="str">
            <v>N.A.</v>
          </cell>
        </row>
        <row r="67">
          <cell r="B67" t="str">
            <v>E.B.I.T.D. : Total Rev</v>
          </cell>
          <cell r="C67" t="str">
            <v>N.A.</v>
          </cell>
          <cell r="E67">
            <v>0.17160397274683856</v>
          </cell>
          <cell r="F67">
            <v>0.15169445426092004</v>
          </cell>
          <cell r="G67">
            <v>0.26783728379215599</v>
          </cell>
          <cell r="H67">
            <v>0.17681292053574219</v>
          </cell>
          <cell r="I67">
            <v>0.20435643781478083</v>
          </cell>
          <cell r="J67">
            <v>0.28690152259928997</v>
          </cell>
          <cell r="K67">
            <v>0.18043773536651408</v>
          </cell>
          <cell r="L67">
            <v>0.19600347437507501</v>
          </cell>
          <cell r="M67">
            <v>0.26109326657530196</v>
          </cell>
          <cell r="N67">
            <v>0.18069896741577218</v>
          </cell>
          <cell r="O67">
            <v>0.26559663111071297</v>
          </cell>
          <cell r="P67">
            <v>0.23102376237160846</v>
          </cell>
          <cell r="Q67" t="str">
            <v/>
          </cell>
          <cell r="R67" t="e">
            <v>#DIV/0!</v>
          </cell>
          <cell r="S67" t="e">
            <v>#DIV/0!</v>
          </cell>
          <cell r="T67" t="e">
            <v>#DIV/0!</v>
          </cell>
          <cell r="U67">
            <v>0.22012965226243639</v>
          </cell>
          <cell r="V67">
            <v>0.28064305746560586</v>
          </cell>
          <cell r="W67" t="str">
            <v>N.A.</v>
          </cell>
          <cell r="X67">
            <v>-6.0513405203169474E-2</v>
          </cell>
          <cell r="Y67" t="str">
            <v>N.A.</v>
          </cell>
        </row>
        <row r="68">
          <cell r="B68" t="str">
            <v>No of Concession Transactions</v>
          </cell>
          <cell r="E68">
            <v>20</v>
          </cell>
          <cell r="F68">
            <v>23</v>
          </cell>
          <cell r="G68">
            <v>25</v>
          </cell>
          <cell r="H68">
            <v>20</v>
          </cell>
          <cell r="I68">
            <v>21</v>
          </cell>
          <cell r="J68">
            <v>28</v>
          </cell>
          <cell r="K68">
            <v>22</v>
          </cell>
          <cell r="L68">
            <v>25</v>
          </cell>
          <cell r="M68">
            <v>28</v>
          </cell>
          <cell r="N68">
            <v>21.253</v>
          </cell>
          <cell r="O68">
            <v>30</v>
          </cell>
          <cell r="P68">
            <v>30</v>
          </cell>
          <cell r="U68">
            <v>293.25299999999999</v>
          </cell>
          <cell r="V68">
            <v>221</v>
          </cell>
          <cell r="W68" t="str">
            <v>N.A.</v>
          </cell>
          <cell r="X68">
            <v>72.252999999999986</v>
          </cell>
          <cell r="Y68" t="str">
            <v>N.A.</v>
          </cell>
        </row>
        <row r="69">
          <cell r="B69" t="str">
            <v>Strike Rate %(No of Trans/Adm)</v>
          </cell>
          <cell r="E69">
            <v>0.22988505747126436</v>
          </cell>
          <cell r="F69">
            <v>0.25555555555555554</v>
          </cell>
          <cell r="G69">
            <v>0.20833333333333334</v>
          </cell>
          <cell r="H69">
            <v>0.22222222222222221</v>
          </cell>
          <cell r="I69">
            <v>0.21875</v>
          </cell>
          <cell r="J69">
            <v>0.2153846153846154</v>
          </cell>
          <cell r="K69">
            <v>0.24444444444444444</v>
          </cell>
          <cell r="L69">
            <v>0.26315789473684209</v>
          </cell>
          <cell r="M69">
            <v>0.23728813559322035</v>
          </cell>
          <cell r="N69">
            <v>0.23614444444444443</v>
          </cell>
          <cell r="O69">
            <v>0.25</v>
          </cell>
          <cell r="P69">
            <v>0.28301886792452829</v>
          </cell>
          <cell r="U69">
            <v>0.23803003246753246</v>
          </cell>
          <cell r="V69">
            <v>0.32595870206489674</v>
          </cell>
          <cell r="W69" t="str">
            <v>N.A.</v>
          </cell>
          <cell r="X69">
            <v>-8.7928669597364284E-2</v>
          </cell>
          <cell r="Y69" t="str">
            <v>N.A.</v>
          </cell>
        </row>
        <row r="70">
          <cell r="B70" t="str">
            <v>Ave Sales (Total Sale/No of Trans) (S$)</v>
          </cell>
          <cell r="E70">
            <v>5.22</v>
          </cell>
          <cell r="F70">
            <v>4.6956521739130439</v>
          </cell>
          <cell r="G70">
            <v>5.76</v>
          </cell>
          <cell r="H70">
            <v>5.4</v>
          </cell>
          <cell r="I70">
            <v>5.4857142857142849</v>
          </cell>
          <cell r="J70">
            <v>5.5714285714285712</v>
          </cell>
          <cell r="K70">
            <v>4.9090909090909092</v>
          </cell>
          <cell r="L70">
            <v>4.5599999999999996</v>
          </cell>
          <cell r="M70">
            <v>5.0571428571428569</v>
          </cell>
          <cell r="N70">
            <v>5.0816355338069918</v>
          </cell>
          <cell r="O70">
            <v>4.8</v>
          </cell>
          <cell r="P70">
            <v>4.24</v>
          </cell>
          <cell r="U70">
            <v>5.0413806508373318</v>
          </cell>
          <cell r="V70">
            <v>3.5452850678733032</v>
          </cell>
          <cell r="W70" t="str">
            <v>N.A.</v>
          </cell>
          <cell r="X70">
            <v>1.4960955829640286</v>
          </cell>
          <cell r="Y70" t="str">
            <v>N.A.</v>
          </cell>
        </row>
        <row r="71">
          <cell r="B71" t="str">
            <v xml:space="preserve">Total Concession Combo Sales </v>
          </cell>
          <cell r="E71">
            <v>49</v>
          </cell>
          <cell r="F71">
            <v>50</v>
          </cell>
          <cell r="G71">
            <v>58</v>
          </cell>
          <cell r="H71">
            <v>43</v>
          </cell>
          <cell r="I71">
            <v>46</v>
          </cell>
          <cell r="J71">
            <v>68</v>
          </cell>
          <cell r="K71">
            <v>47</v>
          </cell>
          <cell r="L71">
            <v>52</v>
          </cell>
          <cell r="M71">
            <v>59</v>
          </cell>
          <cell r="N71">
            <v>45</v>
          </cell>
          <cell r="O71">
            <v>64</v>
          </cell>
          <cell r="P71">
            <v>61</v>
          </cell>
          <cell r="U71">
            <v>642</v>
          </cell>
          <cell r="V71">
            <v>321</v>
          </cell>
          <cell r="W71" t="str">
            <v>N.A.</v>
          </cell>
          <cell r="X71">
            <v>321</v>
          </cell>
          <cell r="Y71" t="str">
            <v>N.A.</v>
          </cell>
        </row>
        <row r="72">
          <cell r="B72" t="str">
            <v>Combo Sales as % of Total Sales</v>
          </cell>
          <cell r="E72">
            <v>0.46934865900383144</v>
          </cell>
          <cell r="F72">
            <v>0.46296296296296297</v>
          </cell>
          <cell r="G72">
            <v>0.40277777777777779</v>
          </cell>
          <cell r="H72">
            <v>0.39814814814814814</v>
          </cell>
          <cell r="I72">
            <v>0.39930555555555558</v>
          </cell>
          <cell r="J72">
            <v>0.4358974358974359</v>
          </cell>
          <cell r="K72">
            <v>0.43518518518518517</v>
          </cell>
          <cell r="L72">
            <v>0.45614035087719296</v>
          </cell>
          <cell r="M72">
            <v>0.41666666666666669</v>
          </cell>
          <cell r="N72">
            <v>0.41666666666666669</v>
          </cell>
          <cell r="O72">
            <v>0.44444444444444442</v>
          </cell>
          <cell r="P72">
            <v>0.47955974842767302</v>
          </cell>
          <cell r="U72">
            <v>0.43425324675324678</v>
          </cell>
          <cell r="V72">
            <v>0.4096958805781179</v>
          </cell>
          <cell r="W72" t="str">
            <v>N.A.</v>
          </cell>
          <cell r="X72">
            <v>2.4557366175128881E-2</v>
          </cell>
          <cell r="Y72" t="str">
            <v>N.A.</v>
          </cell>
        </row>
        <row r="73">
          <cell r="B73" t="str">
            <v>No of Payroll hours Paid</v>
          </cell>
          <cell r="E73">
            <v>4</v>
          </cell>
          <cell r="F73">
            <v>4</v>
          </cell>
          <cell r="G73">
            <v>5</v>
          </cell>
          <cell r="H73">
            <v>4</v>
          </cell>
          <cell r="I73">
            <v>4</v>
          </cell>
          <cell r="J73">
            <v>5</v>
          </cell>
          <cell r="K73">
            <v>4</v>
          </cell>
          <cell r="L73">
            <v>4</v>
          </cell>
          <cell r="M73">
            <v>5</v>
          </cell>
          <cell r="N73">
            <v>4</v>
          </cell>
          <cell r="O73">
            <v>4</v>
          </cell>
          <cell r="P73">
            <v>5</v>
          </cell>
          <cell r="U73">
            <v>92</v>
          </cell>
          <cell r="V73">
            <v>57</v>
          </cell>
          <cell r="W73" t="str">
            <v>N.A.</v>
          </cell>
          <cell r="X73">
            <v>35</v>
          </cell>
          <cell r="Y73" t="str">
            <v>N.A.</v>
          </cell>
        </row>
        <row r="74">
          <cell r="B74" t="str">
            <v>Admissions/labour hour paid</v>
          </cell>
          <cell r="E74">
            <v>12.428571428571429</v>
          </cell>
          <cell r="F74">
            <v>12.857142857142858</v>
          </cell>
          <cell r="G74">
            <v>13.333333333333334</v>
          </cell>
          <cell r="H74">
            <v>12.857142857142858</v>
          </cell>
          <cell r="I74">
            <v>13.714285714285714</v>
          </cell>
          <cell r="J74">
            <v>14.444444444444445</v>
          </cell>
          <cell r="K74">
            <v>12.857142857142858</v>
          </cell>
          <cell r="L74">
            <v>13.571428571428571</v>
          </cell>
          <cell r="M74">
            <v>14.75</v>
          </cell>
          <cell r="N74">
            <v>12.857142857142858</v>
          </cell>
          <cell r="O74">
            <v>13.333333333333334</v>
          </cell>
          <cell r="P74">
            <v>13.25</v>
          </cell>
          <cell r="U74">
            <v>13.391304347826088</v>
          </cell>
          <cell r="V74">
            <v>11.894736842105264</v>
          </cell>
          <cell r="W74" t="str">
            <v>N.A.</v>
          </cell>
          <cell r="X74">
            <v>1.4965675057208241</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32.08625</v>
          </cell>
          <cell r="W77">
            <v>0</v>
          </cell>
          <cell r="X77">
            <v>-4.8987499999999997</v>
          </cell>
          <cell r="Y77">
            <v>27.1875</v>
          </cell>
        </row>
        <row r="78">
          <cell r="A78">
            <v>53</v>
          </cell>
          <cell r="B78" t="str">
            <v>Auditorium Rentals</v>
          </cell>
          <cell r="E78">
            <v>2</v>
          </cell>
          <cell r="F78">
            <v>2</v>
          </cell>
          <cell r="G78">
            <v>2</v>
          </cell>
          <cell r="H78">
            <v>2</v>
          </cell>
          <cell r="I78">
            <v>2</v>
          </cell>
          <cell r="J78">
            <v>2</v>
          </cell>
          <cell r="K78">
            <v>2</v>
          </cell>
          <cell r="L78">
            <v>2</v>
          </cell>
          <cell r="M78">
            <v>2</v>
          </cell>
          <cell r="N78">
            <v>2</v>
          </cell>
          <cell r="O78">
            <v>2</v>
          </cell>
          <cell r="P78">
            <v>2</v>
          </cell>
          <cell r="T78">
            <v>0</v>
          </cell>
          <cell r="U78">
            <v>24</v>
          </cell>
          <cell r="V78">
            <v>10.821999999999999</v>
          </cell>
          <cell r="W78">
            <v>0</v>
          </cell>
          <cell r="X78">
            <v>13.178000000000001</v>
          </cell>
          <cell r="Y78">
            <v>24</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5.6243333333333325</v>
          </cell>
          <cell r="F82">
            <v>5.6243333333333325</v>
          </cell>
          <cell r="G82">
            <v>5.6243333333333325</v>
          </cell>
          <cell r="H82">
            <v>5.6243333333333325</v>
          </cell>
          <cell r="I82">
            <v>5.6243333333333325</v>
          </cell>
          <cell r="J82">
            <v>5.6243333333333325</v>
          </cell>
          <cell r="K82">
            <v>5.6243333333333325</v>
          </cell>
          <cell r="L82">
            <v>5.6243333333333325</v>
          </cell>
          <cell r="M82">
            <v>5.6243333333333325</v>
          </cell>
          <cell r="N82">
            <v>5.6243333333333325</v>
          </cell>
          <cell r="O82">
            <v>5.6243333333333325</v>
          </cell>
          <cell r="P82">
            <v>5.6243333333333325</v>
          </cell>
          <cell r="T82">
            <v>0</v>
          </cell>
          <cell r="U82">
            <v>67.49199999999999</v>
          </cell>
          <cell r="V82">
            <v>34.58</v>
          </cell>
          <cell r="W82">
            <v>0</v>
          </cell>
          <cell r="X82">
            <v>32.911999999999992</v>
          </cell>
          <cell r="Y82">
            <v>67.49199999999999</v>
          </cell>
        </row>
        <row r="83">
          <cell r="C83">
            <v>0</v>
          </cell>
          <cell r="E83">
            <v>9.8899583333333325</v>
          </cell>
          <cell r="F83">
            <v>9.8899583333333325</v>
          </cell>
          <cell r="G83">
            <v>9.8899583333333325</v>
          </cell>
          <cell r="H83">
            <v>9.8899583333333325</v>
          </cell>
          <cell r="I83">
            <v>9.8899583333333325</v>
          </cell>
          <cell r="J83">
            <v>9.8899583333333325</v>
          </cell>
          <cell r="K83">
            <v>9.8899583333333325</v>
          </cell>
          <cell r="L83">
            <v>9.8899583333333325</v>
          </cell>
          <cell r="M83">
            <v>9.8899583333333325</v>
          </cell>
          <cell r="N83">
            <v>9.8899583333333325</v>
          </cell>
          <cell r="O83">
            <v>9.8899583333333325</v>
          </cell>
          <cell r="P83">
            <v>9.8899583333333325</v>
          </cell>
          <cell r="R83">
            <v>0</v>
          </cell>
          <cell r="S83">
            <v>0</v>
          </cell>
          <cell r="T83">
            <v>0</v>
          </cell>
          <cell r="U83">
            <v>118.67949999999999</v>
          </cell>
          <cell r="V83">
            <v>77.488249999999994</v>
          </cell>
          <cell r="W83">
            <v>0</v>
          </cell>
          <cell r="X83">
            <v>41.191249999999997</v>
          </cell>
          <cell r="Y83">
            <v>118.67949999999999</v>
          </cell>
        </row>
        <row r="84">
          <cell r="X84" t="str">
            <v/>
          </cell>
          <cell r="Y84" t="str">
            <v/>
          </cell>
        </row>
        <row r="85">
          <cell r="B85" t="str">
            <v>10 Other Cost</v>
          </cell>
          <cell r="X85" t="str">
            <v/>
          </cell>
          <cell r="Y85" t="str">
            <v/>
          </cell>
        </row>
        <row r="86">
          <cell r="A86">
            <v>61</v>
          </cell>
          <cell r="B86" t="str">
            <v>Authors Rights</v>
          </cell>
          <cell r="E86">
            <v>1.1832</v>
          </cell>
          <cell r="F86">
            <v>1.224</v>
          </cell>
          <cell r="G86">
            <v>1.6320000000000001</v>
          </cell>
          <cell r="H86">
            <v>1.224</v>
          </cell>
          <cell r="I86">
            <v>1.3055999999999999</v>
          </cell>
          <cell r="J86">
            <v>1.768</v>
          </cell>
          <cell r="K86">
            <v>1.224</v>
          </cell>
          <cell r="L86">
            <v>1.292</v>
          </cell>
          <cell r="M86">
            <v>1.6048</v>
          </cell>
          <cell r="N86">
            <v>1.224</v>
          </cell>
          <cell r="O86">
            <v>1.6320000000000001</v>
          </cell>
          <cell r="P86">
            <v>1.4416</v>
          </cell>
          <cell r="U86">
            <v>16.755199999999999</v>
          </cell>
          <cell r="V86">
            <v>8.8581220000000016</v>
          </cell>
          <cell r="W86">
            <v>0</v>
          </cell>
          <cell r="X86">
            <v>7.8970779999999969</v>
          </cell>
          <cell r="Y86">
            <v>16.755199999999999</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1.1832</v>
          </cell>
          <cell r="F91">
            <v>1.224</v>
          </cell>
          <cell r="G91">
            <v>1.6320000000000001</v>
          </cell>
          <cell r="H91">
            <v>1.224</v>
          </cell>
          <cell r="I91">
            <v>1.3055999999999999</v>
          </cell>
          <cell r="J91">
            <v>1.768</v>
          </cell>
          <cell r="K91">
            <v>1.224</v>
          </cell>
          <cell r="L91">
            <v>1.292</v>
          </cell>
          <cell r="M91">
            <v>1.6048</v>
          </cell>
          <cell r="N91">
            <v>1.224</v>
          </cell>
          <cell r="O91">
            <v>1.6320000000000001</v>
          </cell>
          <cell r="P91">
            <v>1.4416</v>
          </cell>
          <cell r="U91">
            <v>16.755199999999999</v>
          </cell>
          <cell r="V91">
            <v>8.8581220000000016</v>
          </cell>
          <cell r="W91">
            <v>0</v>
          </cell>
          <cell r="X91">
            <v>7.8970779999999969</v>
          </cell>
          <cell r="Y91">
            <v>16.755199999999999</v>
          </cell>
        </row>
        <row r="92">
          <cell r="X92" t="str">
            <v/>
          </cell>
          <cell r="Y92" t="str">
            <v/>
          </cell>
        </row>
        <row r="93">
          <cell r="B93" t="str">
            <v>11 Direct Payroll</v>
          </cell>
          <cell r="X93" t="str">
            <v/>
          </cell>
          <cell r="Y93" t="str">
            <v/>
          </cell>
        </row>
        <row r="94">
          <cell r="A94">
            <v>66</v>
          </cell>
          <cell r="B94" t="str">
            <v>Salaries</v>
          </cell>
          <cell r="E94">
            <v>40.119659546494248</v>
          </cell>
          <cell r="F94">
            <v>40.119659546494248</v>
          </cell>
          <cell r="G94">
            <v>41.219659546494249</v>
          </cell>
          <cell r="H94">
            <v>40.119659546494248</v>
          </cell>
          <cell r="I94">
            <v>40.119659546494248</v>
          </cell>
          <cell r="J94">
            <v>41.219659546494249</v>
          </cell>
          <cell r="K94">
            <v>40.92047609379425</v>
          </cell>
          <cell r="L94">
            <v>40.92047609379425</v>
          </cell>
          <cell r="M94">
            <v>42.020476093794251</v>
          </cell>
          <cell r="N94">
            <v>40.92047609379425</v>
          </cell>
          <cell r="O94">
            <v>42.020476093794251</v>
          </cell>
          <cell r="P94">
            <v>42.020476093794251</v>
          </cell>
          <cell r="T94">
            <v>0</v>
          </cell>
          <cell r="U94">
            <v>491.74081384173098</v>
          </cell>
          <cell r="V94">
            <v>278.19983500000006</v>
          </cell>
          <cell r="W94">
            <v>0</v>
          </cell>
          <cell r="X94">
            <v>213.54097884173092</v>
          </cell>
          <cell r="Y94">
            <v>491.74081384173098</v>
          </cell>
        </row>
        <row r="95">
          <cell r="A95">
            <v>67</v>
          </cell>
          <cell r="B95" t="str">
            <v>Bonus/Commission</v>
          </cell>
          <cell r="E95">
            <v>2.0224695833333333</v>
          </cell>
          <cell r="F95">
            <v>2.0224695833333333</v>
          </cell>
          <cell r="G95">
            <v>2.0224695833333333</v>
          </cell>
          <cell r="H95">
            <v>2.0224695833333333</v>
          </cell>
          <cell r="I95">
            <v>2.0224695833333333</v>
          </cell>
          <cell r="J95">
            <v>2.0224695833333333</v>
          </cell>
          <cell r="K95">
            <v>2.0224695833333333</v>
          </cell>
          <cell r="L95">
            <v>2.0224695833333333</v>
          </cell>
          <cell r="M95">
            <v>2.0224695833333333</v>
          </cell>
          <cell r="N95">
            <v>2.0224695833333333</v>
          </cell>
          <cell r="O95">
            <v>2.0224695833333333</v>
          </cell>
          <cell r="P95">
            <v>2.0224695833333333</v>
          </cell>
          <cell r="T95">
            <v>0</v>
          </cell>
          <cell r="U95">
            <v>24.269634999999997</v>
          </cell>
          <cell r="V95">
            <v>18.586883333333336</v>
          </cell>
          <cell r="W95">
            <v>0</v>
          </cell>
          <cell r="X95">
            <v>5.6827516666666611</v>
          </cell>
          <cell r="Y95">
            <v>24.269634999999997</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4.76</v>
          </cell>
          <cell r="W97">
            <v>0</v>
          </cell>
          <cell r="X97">
            <v>1.8760000000000003</v>
          </cell>
          <cell r="Y97">
            <v>6.6360000000000001</v>
          </cell>
        </row>
        <row r="98">
          <cell r="A98">
            <v>70</v>
          </cell>
          <cell r="B98" t="str">
            <v>Miscellaneous</v>
          </cell>
          <cell r="E98">
            <v>0.78439999999999999</v>
          </cell>
          <cell r="F98">
            <v>0.78439999999999999</v>
          </cell>
          <cell r="G98">
            <v>0.78439999999999999</v>
          </cell>
          <cell r="H98">
            <v>0.78439999999999999</v>
          </cell>
          <cell r="I98">
            <v>0.78439999999999999</v>
          </cell>
          <cell r="J98">
            <v>0.78439999999999999</v>
          </cell>
          <cell r="K98">
            <v>0.78439999999999999</v>
          </cell>
          <cell r="L98">
            <v>0.78439999999999999</v>
          </cell>
          <cell r="M98">
            <v>0.78439999999999999</v>
          </cell>
          <cell r="N98">
            <v>0.78439999999999999</v>
          </cell>
          <cell r="O98">
            <v>0.78439999999999999</v>
          </cell>
          <cell r="P98">
            <v>0.78439999999999999</v>
          </cell>
          <cell r="T98">
            <v>0</v>
          </cell>
          <cell r="U98">
            <v>9.4127999999999989</v>
          </cell>
          <cell r="V98">
            <v>5.4904000000000011</v>
          </cell>
          <cell r="W98">
            <v>0</v>
          </cell>
          <cell r="X98">
            <v>3.9223999999999979</v>
          </cell>
          <cell r="Y98">
            <v>9.4127999999999989</v>
          </cell>
        </row>
        <row r="99">
          <cell r="C99">
            <v>0</v>
          </cell>
          <cell r="E99">
            <v>43.479529129827576</v>
          </cell>
          <cell r="F99">
            <v>43.479529129827576</v>
          </cell>
          <cell r="G99">
            <v>44.579529129827577</v>
          </cell>
          <cell r="H99">
            <v>43.479529129827576</v>
          </cell>
          <cell r="I99">
            <v>43.479529129827576</v>
          </cell>
          <cell r="J99">
            <v>44.579529129827577</v>
          </cell>
          <cell r="K99">
            <v>44.280345677127578</v>
          </cell>
          <cell r="L99">
            <v>44.280345677127578</v>
          </cell>
          <cell r="M99">
            <v>45.380345677127579</v>
          </cell>
          <cell r="N99">
            <v>44.280345677127578</v>
          </cell>
          <cell r="O99">
            <v>45.380345677127579</v>
          </cell>
          <cell r="P99">
            <v>45.380345677127579</v>
          </cell>
          <cell r="R99">
            <v>0</v>
          </cell>
          <cell r="S99">
            <v>0</v>
          </cell>
          <cell r="T99">
            <v>0</v>
          </cell>
          <cell r="U99">
            <v>532.05924884173089</v>
          </cell>
          <cell r="V99">
            <v>307.03711833333341</v>
          </cell>
          <cell r="W99">
            <v>0</v>
          </cell>
          <cell r="X99">
            <v>225.02213050839748</v>
          </cell>
          <cell r="Y99">
            <v>532.05924884173089</v>
          </cell>
        </row>
        <row r="100">
          <cell r="X100" t="str">
            <v/>
          </cell>
          <cell r="Y100" t="str">
            <v/>
          </cell>
        </row>
        <row r="101">
          <cell r="B101" t="str">
            <v>16 Other Overhead Costs</v>
          </cell>
          <cell r="X101" t="str">
            <v/>
          </cell>
          <cell r="Y101" t="str">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T102">
            <v>0</v>
          </cell>
          <cell r="U102">
            <v>15.6</v>
          </cell>
          <cell r="V102">
            <v>9.6349999999999998</v>
          </cell>
          <cell r="W102">
            <v>0</v>
          </cell>
          <cell r="X102">
            <v>5.9649999999999999</v>
          </cell>
          <cell r="Y102">
            <v>15.6</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18.335833333333333</v>
          </cell>
          <cell r="W104">
            <v>0</v>
          </cell>
          <cell r="X104">
            <v>5.6641666666666666</v>
          </cell>
          <cell r="Y104">
            <v>24</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6.3579999999999988</v>
          </cell>
          <cell r="W105">
            <v>0</v>
          </cell>
          <cell r="X105">
            <v>5.6420000000000012</v>
          </cell>
          <cell r="Y105">
            <v>12</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1.5549999999999999</v>
          </cell>
          <cell r="W106">
            <v>0</v>
          </cell>
          <cell r="X106">
            <v>4.4450000000000003</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0.24</v>
          </cell>
          <cell r="F108">
            <v>0.24</v>
          </cell>
          <cell r="G108">
            <v>0.24</v>
          </cell>
          <cell r="H108">
            <v>0.24</v>
          </cell>
          <cell r="I108">
            <v>0.24</v>
          </cell>
          <cell r="J108">
            <v>0.24</v>
          </cell>
          <cell r="K108">
            <v>0.24</v>
          </cell>
          <cell r="L108">
            <v>0.24</v>
          </cell>
          <cell r="M108">
            <v>0.24</v>
          </cell>
          <cell r="N108">
            <v>0.24</v>
          </cell>
          <cell r="O108">
            <v>0.24</v>
          </cell>
          <cell r="P108">
            <v>0.24</v>
          </cell>
          <cell r="T108">
            <v>0</v>
          </cell>
          <cell r="U108">
            <v>2.88</v>
          </cell>
          <cell r="V108">
            <v>3.8674779999999984</v>
          </cell>
          <cell r="W108">
            <v>0</v>
          </cell>
          <cell r="X108">
            <v>-0.98747799999999764</v>
          </cell>
          <cell r="Y108">
            <v>2.88</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6.4480000000000004</v>
          </cell>
          <cell r="F111">
            <v>6.4480000000000004</v>
          </cell>
          <cell r="G111">
            <v>6.24</v>
          </cell>
          <cell r="H111">
            <v>6.4480000000000004</v>
          </cell>
          <cell r="I111">
            <v>6.24</v>
          </cell>
          <cell r="J111">
            <v>6.4480000000000004</v>
          </cell>
          <cell r="K111">
            <v>6.4480000000000004</v>
          </cell>
          <cell r="L111">
            <v>8.3239999999999998</v>
          </cell>
          <cell r="M111">
            <v>6.4480000000000004</v>
          </cell>
          <cell r="N111">
            <v>6.24</v>
          </cell>
          <cell r="O111">
            <v>6.4480000000000004</v>
          </cell>
          <cell r="P111">
            <v>6.24</v>
          </cell>
          <cell r="T111">
            <v>0</v>
          </cell>
          <cell r="U111">
            <v>78.42</v>
          </cell>
          <cell r="V111">
            <v>56.227000000000004</v>
          </cell>
          <cell r="W111">
            <v>0</v>
          </cell>
          <cell r="X111">
            <v>22.192999999999998</v>
          </cell>
          <cell r="Y111">
            <v>78.42</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29.887999999999998</v>
          </cell>
          <cell r="W112">
            <v>0</v>
          </cell>
          <cell r="X112">
            <v>18.112000000000002</v>
          </cell>
          <cell r="Y112">
            <v>48</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10.143000000000001</v>
          </cell>
          <cell r="W113">
            <v>0</v>
          </cell>
          <cell r="X113">
            <v>-2.9430000000000023</v>
          </cell>
          <cell r="Y113">
            <v>7.2</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2.629</v>
          </cell>
          <cell r="W114">
            <v>0</v>
          </cell>
          <cell r="X114">
            <v>-0.22900000000000009</v>
          </cell>
          <cell r="Y114">
            <v>2.4</v>
          </cell>
        </row>
        <row r="115">
          <cell r="A115">
            <v>84</v>
          </cell>
          <cell r="B115" t="str">
            <v>Freight</v>
          </cell>
          <cell r="E115">
            <v>0</v>
          </cell>
          <cell r="F115">
            <v>0</v>
          </cell>
          <cell r="G115">
            <v>0</v>
          </cell>
          <cell r="H115">
            <v>0</v>
          </cell>
          <cell r="I115">
            <v>0</v>
          </cell>
          <cell r="J115">
            <v>0</v>
          </cell>
          <cell r="K115">
            <v>0</v>
          </cell>
          <cell r="L115">
            <v>0</v>
          </cell>
          <cell r="M115">
            <v>0</v>
          </cell>
          <cell r="N115">
            <v>0</v>
          </cell>
          <cell r="O115">
            <v>0</v>
          </cell>
          <cell r="P115">
            <v>0</v>
          </cell>
          <cell r="T115">
            <v>0</v>
          </cell>
          <cell r="U115">
            <v>0</v>
          </cell>
          <cell r="V115">
            <v>12.696</v>
          </cell>
          <cell r="W115">
            <v>0</v>
          </cell>
          <cell r="X115">
            <v>-12.696</v>
          </cell>
          <cell r="Y115">
            <v>0</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2.5</v>
          </cell>
          <cell r="F117">
            <v>2.5</v>
          </cell>
          <cell r="G117">
            <v>2.5</v>
          </cell>
          <cell r="H117">
            <v>2.5</v>
          </cell>
          <cell r="I117">
            <v>2.5</v>
          </cell>
          <cell r="J117">
            <v>2.5</v>
          </cell>
          <cell r="K117">
            <v>2.5</v>
          </cell>
          <cell r="L117">
            <v>2.5</v>
          </cell>
          <cell r="M117">
            <v>2.5</v>
          </cell>
          <cell r="N117">
            <v>2.5</v>
          </cell>
          <cell r="O117">
            <v>2.5</v>
          </cell>
          <cell r="P117">
            <v>2.5</v>
          </cell>
          <cell r="T117">
            <v>0</v>
          </cell>
          <cell r="U117">
            <v>30</v>
          </cell>
          <cell r="V117">
            <v>27.247</v>
          </cell>
          <cell r="W117">
            <v>0</v>
          </cell>
          <cell r="X117">
            <v>2.7530000000000001</v>
          </cell>
          <cell r="Y117">
            <v>30</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0.55979529129827588</v>
          </cell>
          <cell r="F119">
            <v>0.55979529129827588</v>
          </cell>
          <cell r="G119">
            <v>0.57079529129827589</v>
          </cell>
          <cell r="H119">
            <v>0.55979529129827588</v>
          </cell>
          <cell r="I119">
            <v>0.55979529129827588</v>
          </cell>
          <cell r="J119">
            <v>0.57079529129827589</v>
          </cell>
          <cell r="K119">
            <v>0.56780345677127586</v>
          </cell>
          <cell r="L119">
            <v>0.56780345677127586</v>
          </cell>
          <cell r="M119">
            <v>0.57880345677127587</v>
          </cell>
          <cell r="N119">
            <v>0.56780345677127586</v>
          </cell>
          <cell r="O119">
            <v>0.57880345677127587</v>
          </cell>
          <cell r="P119">
            <v>0.57880345677127587</v>
          </cell>
          <cell r="T119">
            <v>0</v>
          </cell>
          <cell r="U119">
            <v>6.8205924884173097</v>
          </cell>
          <cell r="V119">
            <v>5.0430672000000012</v>
          </cell>
          <cell r="W119">
            <v>0</v>
          </cell>
          <cell r="X119">
            <v>1.7775252884173085</v>
          </cell>
          <cell r="Y119">
            <v>6.8205924884173097</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8.8000000000000007</v>
          </cell>
          <cell r="W120">
            <v>0</v>
          </cell>
          <cell r="X120">
            <v>6.8</v>
          </cell>
          <cell r="Y120">
            <v>15.6</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1.44</v>
          </cell>
          <cell r="W124">
            <v>0</v>
          </cell>
          <cell r="X124">
            <v>2.16</v>
          </cell>
          <cell r="Y124">
            <v>3.6</v>
          </cell>
        </row>
        <row r="125">
          <cell r="C125">
            <v>0</v>
          </cell>
          <cell r="E125">
            <v>20.947795291298277</v>
          </cell>
          <cell r="F125">
            <v>20.947795291298277</v>
          </cell>
          <cell r="G125">
            <v>20.750795291298278</v>
          </cell>
          <cell r="H125">
            <v>20.947795291298277</v>
          </cell>
          <cell r="I125">
            <v>20.739795291298279</v>
          </cell>
          <cell r="J125">
            <v>20.958795291298276</v>
          </cell>
          <cell r="K125">
            <v>20.955803456771278</v>
          </cell>
          <cell r="L125">
            <v>22.831803456771279</v>
          </cell>
          <cell r="M125">
            <v>20.966803456771277</v>
          </cell>
          <cell r="N125">
            <v>20.74780345677128</v>
          </cell>
          <cell r="O125">
            <v>20.966803456771277</v>
          </cell>
          <cell r="P125">
            <v>20.758803456771279</v>
          </cell>
          <cell r="R125">
            <v>0</v>
          </cell>
          <cell r="S125">
            <v>0</v>
          </cell>
          <cell r="T125">
            <v>0</v>
          </cell>
          <cell r="U125">
            <v>252.52059248841729</v>
          </cell>
          <cell r="V125">
            <v>193.86437853333331</v>
          </cell>
          <cell r="W125">
            <v>0</v>
          </cell>
          <cell r="X125">
            <v>58.656213955083985</v>
          </cell>
          <cell r="Y125">
            <v>252.52059248841729</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cell>
          <cell r="Y132" t="str">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37" refreshError="1"/>
      <sheetData sheetId="38" refreshError="1">
        <row r="11">
          <cell r="A11">
            <v>1</v>
          </cell>
          <cell r="B11" t="str">
            <v>Net Film Revenue</v>
          </cell>
          <cell r="E11">
            <v>0</v>
          </cell>
          <cell r="F11">
            <v>0</v>
          </cell>
          <cell r="G11">
            <v>0</v>
          </cell>
          <cell r="H11">
            <v>0</v>
          </cell>
          <cell r="I11">
            <v>0</v>
          </cell>
          <cell r="J11">
            <v>0</v>
          </cell>
          <cell r="K11">
            <v>0</v>
          </cell>
          <cell r="L11">
            <v>0</v>
          </cell>
          <cell r="M11">
            <v>0</v>
          </cell>
          <cell r="N11">
            <v>0</v>
          </cell>
          <cell r="O11">
            <v>0</v>
          </cell>
          <cell r="P11">
            <v>0</v>
          </cell>
          <cell r="Q11">
            <v>0</v>
          </cell>
          <cell r="T11">
            <v>0</v>
          </cell>
          <cell r="U11">
            <v>0</v>
          </cell>
          <cell r="V11">
            <v>0</v>
          </cell>
          <cell r="W11">
            <v>0</v>
          </cell>
          <cell r="X11">
            <v>0</v>
          </cell>
          <cell r="Y11">
            <v>0</v>
          </cell>
        </row>
        <row r="12">
          <cell r="A12">
            <v>2</v>
          </cell>
          <cell r="B12" t="str">
            <v>Concession Sales</v>
          </cell>
          <cell r="E12">
            <v>0</v>
          </cell>
          <cell r="F12">
            <v>0</v>
          </cell>
          <cell r="G12">
            <v>0</v>
          </cell>
          <cell r="H12">
            <v>0</v>
          </cell>
          <cell r="I12">
            <v>0</v>
          </cell>
          <cell r="J12">
            <v>0</v>
          </cell>
          <cell r="K12">
            <v>0</v>
          </cell>
          <cell r="L12">
            <v>0</v>
          </cell>
          <cell r="M12">
            <v>0</v>
          </cell>
          <cell r="N12">
            <v>0</v>
          </cell>
          <cell r="O12">
            <v>0</v>
          </cell>
          <cell r="P12">
            <v>0</v>
          </cell>
          <cell r="T12">
            <v>0</v>
          </cell>
          <cell r="U12">
            <v>0</v>
          </cell>
          <cell r="V12">
            <v>0</v>
          </cell>
          <cell r="W12">
            <v>0</v>
          </cell>
          <cell r="X12">
            <v>0</v>
          </cell>
          <cell r="Y12">
            <v>0</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0</v>
          </cell>
          <cell r="F15">
            <v>0</v>
          </cell>
          <cell r="G15">
            <v>0</v>
          </cell>
          <cell r="H15">
            <v>0</v>
          </cell>
          <cell r="I15">
            <v>0</v>
          </cell>
          <cell r="J15">
            <v>0</v>
          </cell>
          <cell r="K15">
            <v>0</v>
          </cell>
          <cell r="L15">
            <v>0</v>
          </cell>
          <cell r="M15">
            <v>0</v>
          </cell>
          <cell r="N15">
            <v>0</v>
          </cell>
          <cell r="O15">
            <v>0</v>
          </cell>
          <cell r="P15">
            <v>0</v>
          </cell>
          <cell r="T15">
            <v>0</v>
          </cell>
          <cell r="U15">
            <v>0</v>
          </cell>
          <cell r="V15">
            <v>0</v>
          </cell>
          <cell r="W15">
            <v>0</v>
          </cell>
          <cell r="X15">
            <v>0</v>
          </cell>
          <cell r="Y15">
            <v>0</v>
          </cell>
        </row>
        <row r="16">
          <cell r="A16">
            <v>6</v>
          </cell>
          <cell r="B16" t="str">
            <v>Other Income</v>
          </cell>
          <cell r="C16">
            <v>0</v>
          </cell>
          <cell r="E16">
            <v>0.5</v>
          </cell>
          <cell r="F16">
            <v>0.5</v>
          </cell>
          <cell r="G16">
            <v>0.5</v>
          </cell>
          <cell r="H16">
            <v>0.5</v>
          </cell>
          <cell r="I16">
            <v>0.5</v>
          </cell>
          <cell r="J16">
            <v>0.5</v>
          </cell>
          <cell r="K16">
            <v>0.5</v>
          </cell>
          <cell r="L16">
            <v>0.5</v>
          </cell>
          <cell r="M16">
            <v>0.5</v>
          </cell>
          <cell r="N16">
            <v>0.5</v>
          </cell>
          <cell r="O16">
            <v>0.5</v>
          </cell>
          <cell r="P16">
            <v>0.5</v>
          </cell>
          <cell r="R16">
            <v>0</v>
          </cell>
          <cell r="S16">
            <v>0</v>
          </cell>
          <cell r="T16">
            <v>0</v>
          </cell>
          <cell r="U16">
            <v>6</v>
          </cell>
          <cell r="V16">
            <v>13.6</v>
          </cell>
          <cell r="W16">
            <v>5.0979999999999999</v>
          </cell>
          <cell r="X16">
            <v>-7.6</v>
          </cell>
          <cell r="Y16">
            <v>0.90200000000000014</v>
          </cell>
        </row>
        <row r="17">
          <cell r="B17" t="str">
            <v>TOTAL REVENUE</v>
          </cell>
          <cell r="C17">
            <v>0</v>
          </cell>
          <cell r="E17">
            <v>0.5</v>
          </cell>
          <cell r="F17">
            <v>0.5</v>
          </cell>
          <cell r="G17">
            <v>0.5</v>
          </cell>
          <cell r="H17">
            <v>0.5</v>
          </cell>
          <cell r="I17">
            <v>0.5</v>
          </cell>
          <cell r="J17">
            <v>0.5</v>
          </cell>
          <cell r="K17">
            <v>0.5</v>
          </cell>
          <cell r="L17">
            <v>0.5</v>
          </cell>
          <cell r="M17">
            <v>0.5</v>
          </cell>
          <cell r="N17">
            <v>0.5</v>
          </cell>
          <cell r="O17">
            <v>0.5</v>
          </cell>
          <cell r="P17">
            <v>0.5</v>
          </cell>
          <cell r="R17">
            <v>0</v>
          </cell>
          <cell r="S17">
            <v>0</v>
          </cell>
          <cell r="T17">
            <v>0</v>
          </cell>
          <cell r="U17">
            <v>6</v>
          </cell>
          <cell r="V17">
            <v>13.6</v>
          </cell>
          <cell r="W17">
            <v>5.0979999999999999</v>
          </cell>
          <cell r="X17">
            <v>-7.6</v>
          </cell>
          <cell r="Y17">
            <v>0.90200000000000014</v>
          </cell>
        </row>
        <row r="19">
          <cell r="A19">
            <v>7</v>
          </cell>
          <cell r="B19" t="str">
            <v>Film Hire</v>
          </cell>
          <cell r="E19">
            <v>0</v>
          </cell>
          <cell r="F19">
            <v>0</v>
          </cell>
          <cell r="G19">
            <v>0</v>
          </cell>
          <cell r="H19">
            <v>0</v>
          </cell>
          <cell r="I19">
            <v>0</v>
          </cell>
          <cell r="J19">
            <v>0</v>
          </cell>
          <cell r="K19">
            <v>0</v>
          </cell>
          <cell r="L19">
            <v>0</v>
          </cell>
          <cell r="M19">
            <v>0</v>
          </cell>
          <cell r="N19">
            <v>0</v>
          </cell>
          <cell r="O19">
            <v>0</v>
          </cell>
          <cell r="P19">
            <v>0</v>
          </cell>
          <cell r="U19">
            <v>0</v>
          </cell>
          <cell r="V19">
            <v>0</v>
          </cell>
          <cell r="W19">
            <v>0</v>
          </cell>
          <cell r="X19">
            <v>0</v>
          </cell>
          <cell r="Y19">
            <v>0</v>
          </cell>
        </row>
        <row r="20">
          <cell r="A20">
            <v>8</v>
          </cell>
          <cell r="B20" t="str">
            <v>Concession Cost</v>
          </cell>
          <cell r="E20">
            <v>0</v>
          </cell>
          <cell r="F20">
            <v>0</v>
          </cell>
          <cell r="G20">
            <v>0</v>
          </cell>
          <cell r="H20">
            <v>0</v>
          </cell>
          <cell r="I20">
            <v>0</v>
          </cell>
          <cell r="J20">
            <v>0</v>
          </cell>
          <cell r="K20">
            <v>0</v>
          </cell>
          <cell r="L20">
            <v>0</v>
          </cell>
          <cell r="M20">
            <v>0</v>
          </cell>
          <cell r="N20">
            <v>0</v>
          </cell>
          <cell r="O20">
            <v>0</v>
          </cell>
          <cell r="P20">
            <v>0</v>
          </cell>
          <cell r="T20">
            <v>0</v>
          </cell>
          <cell r="U20">
            <v>0</v>
          </cell>
          <cell r="V20">
            <v>0</v>
          </cell>
          <cell r="W20">
            <v>0</v>
          </cell>
          <cell r="X20">
            <v>0</v>
          </cell>
          <cell r="Y20">
            <v>0</v>
          </cell>
        </row>
        <row r="21">
          <cell r="A21">
            <v>9</v>
          </cell>
          <cell r="B21" t="str">
            <v>Less Concession Rebates</v>
          </cell>
          <cell r="E21">
            <v>0</v>
          </cell>
          <cell r="F21">
            <v>0</v>
          </cell>
          <cell r="G21">
            <v>0</v>
          </cell>
          <cell r="H21">
            <v>0</v>
          </cell>
          <cell r="I21">
            <v>0</v>
          </cell>
          <cell r="J21">
            <v>0</v>
          </cell>
          <cell r="K21">
            <v>0</v>
          </cell>
          <cell r="L21">
            <v>0</v>
          </cell>
          <cell r="M21">
            <v>0</v>
          </cell>
          <cell r="N21">
            <v>0</v>
          </cell>
          <cell r="O21">
            <v>0</v>
          </cell>
          <cell r="P21">
            <v>0</v>
          </cell>
          <cell r="U21">
            <v>0</v>
          </cell>
          <cell r="V21">
            <v>0</v>
          </cell>
          <cell r="W21">
            <v>0</v>
          </cell>
          <cell r="X21">
            <v>0</v>
          </cell>
          <cell r="Y21">
            <v>0</v>
          </cell>
        </row>
        <row r="22">
          <cell r="A22">
            <v>10</v>
          </cell>
          <cell r="B22" t="str">
            <v>Advertising Cost</v>
          </cell>
          <cell r="E22">
            <v>0</v>
          </cell>
          <cell r="F22">
            <v>0</v>
          </cell>
          <cell r="G22">
            <v>0</v>
          </cell>
          <cell r="H22">
            <v>0</v>
          </cell>
          <cell r="I22">
            <v>0</v>
          </cell>
          <cell r="J22">
            <v>0</v>
          </cell>
          <cell r="K22">
            <v>0</v>
          </cell>
          <cell r="L22">
            <v>0</v>
          </cell>
          <cell r="M22">
            <v>0</v>
          </cell>
          <cell r="N22">
            <v>0</v>
          </cell>
          <cell r="O22">
            <v>0</v>
          </cell>
          <cell r="P22">
            <v>0</v>
          </cell>
          <cell r="T22">
            <v>0</v>
          </cell>
          <cell r="U22">
            <v>0</v>
          </cell>
          <cell r="V22">
            <v>0</v>
          </cell>
          <cell r="W22">
            <v>1</v>
          </cell>
          <cell r="X22">
            <v>0</v>
          </cell>
          <cell r="Y22">
            <v>-1</v>
          </cell>
        </row>
        <row r="23">
          <cell r="A23">
            <v>11</v>
          </cell>
          <cell r="B23" t="str">
            <v>Other Cost</v>
          </cell>
          <cell r="C23">
            <v>0</v>
          </cell>
          <cell r="E23">
            <v>0</v>
          </cell>
          <cell r="F23">
            <v>0</v>
          </cell>
          <cell r="G23">
            <v>0</v>
          </cell>
          <cell r="H23">
            <v>0</v>
          </cell>
          <cell r="I23">
            <v>0</v>
          </cell>
          <cell r="J23">
            <v>0</v>
          </cell>
          <cell r="K23">
            <v>0</v>
          </cell>
          <cell r="L23">
            <v>0</v>
          </cell>
          <cell r="M23">
            <v>0</v>
          </cell>
          <cell r="N23">
            <v>0</v>
          </cell>
          <cell r="O23">
            <v>0</v>
          </cell>
          <cell r="P23">
            <v>0</v>
          </cell>
          <cell r="R23">
            <v>0</v>
          </cell>
          <cell r="S23">
            <v>0</v>
          </cell>
          <cell r="T23">
            <v>0</v>
          </cell>
          <cell r="U23">
            <v>0</v>
          </cell>
          <cell r="V23">
            <v>0</v>
          </cell>
          <cell r="W23">
            <v>0</v>
          </cell>
          <cell r="X23">
            <v>0</v>
          </cell>
          <cell r="Y23">
            <v>0</v>
          </cell>
        </row>
        <row r="24">
          <cell r="A24">
            <v>12</v>
          </cell>
          <cell r="B24" t="str">
            <v>Direct Payroll</v>
          </cell>
          <cell r="C24">
            <v>0</v>
          </cell>
          <cell r="E24">
            <v>90.765082916666657</v>
          </cell>
          <cell r="F24">
            <v>90.765082916666657</v>
          </cell>
          <cell r="G24">
            <v>88.735082916666656</v>
          </cell>
          <cell r="H24">
            <v>87.865082916666665</v>
          </cell>
          <cell r="I24">
            <v>87.865082916666665</v>
          </cell>
          <cell r="J24">
            <v>87.865082916666665</v>
          </cell>
          <cell r="K24">
            <v>89.941772916666679</v>
          </cell>
          <cell r="L24">
            <v>89.941772916666679</v>
          </cell>
          <cell r="M24">
            <v>89.941772916666679</v>
          </cell>
          <cell r="N24">
            <v>89.941772916666679</v>
          </cell>
          <cell r="O24">
            <v>89.941772916666679</v>
          </cell>
          <cell r="P24">
            <v>89.941772916666679</v>
          </cell>
          <cell r="R24">
            <v>0</v>
          </cell>
          <cell r="S24">
            <v>0</v>
          </cell>
          <cell r="T24">
            <v>0</v>
          </cell>
          <cell r="U24">
            <v>1073.511135</v>
          </cell>
          <cell r="V24">
            <v>1092.7482116666667</v>
          </cell>
          <cell r="W24">
            <v>1211.7870000000003</v>
          </cell>
          <cell r="X24">
            <v>-19.237076666666781</v>
          </cell>
          <cell r="Y24">
            <v>-138.27586500000029</v>
          </cell>
        </row>
        <row r="25">
          <cell r="B25" t="str">
            <v>TOTAL COST</v>
          </cell>
          <cell r="C25">
            <v>0</v>
          </cell>
          <cell r="E25">
            <v>90.765082916666657</v>
          </cell>
          <cell r="F25">
            <v>90.765082916666657</v>
          </cell>
          <cell r="G25">
            <v>88.735082916666656</v>
          </cell>
          <cell r="H25">
            <v>87.865082916666665</v>
          </cell>
          <cell r="I25">
            <v>87.865082916666665</v>
          </cell>
          <cell r="J25">
            <v>87.865082916666665</v>
          </cell>
          <cell r="K25">
            <v>89.941772916666679</v>
          </cell>
          <cell r="L25">
            <v>89.941772916666679</v>
          </cell>
          <cell r="M25">
            <v>89.941772916666679</v>
          </cell>
          <cell r="N25">
            <v>89.941772916666679</v>
          </cell>
          <cell r="O25">
            <v>89.941772916666679</v>
          </cell>
          <cell r="P25">
            <v>89.941772916666679</v>
          </cell>
          <cell r="R25">
            <v>0</v>
          </cell>
          <cell r="S25">
            <v>0</v>
          </cell>
          <cell r="T25">
            <v>0</v>
          </cell>
          <cell r="U25">
            <v>1073.511135</v>
          </cell>
          <cell r="V25">
            <v>1092.7482116666667</v>
          </cell>
          <cell r="W25">
            <v>1212.7870000000003</v>
          </cell>
          <cell r="X25">
            <v>-19.237076666666781</v>
          </cell>
          <cell r="Y25">
            <v>-139.27586500000029</v>
          </cell>
        </row>
        <row r="27">
          <cell r="B27" t="str">
            <v>GROSS MARGIN</v>
          </cell>
          <cell r="C27">
            <v>0</v>
          </cell>
          <cell r="E27">
            <v>-90.265082916666657</v>
          </cell>
          <cell r="F27">
            <v>-90.265082916666657</v>
          </cell>
          <cell r="G27">
            <v>-88.235082916666656</v>
          </cell>
          <cell r="H27">
            <v>-87.365082916666665</v>
          </cell>
          <cell r="I27">
            <v>-87.365082916666665</v>
          </cell>
          <cell r="J27">
            <v>-87.365082916666665</v>
          </cell>
          <cell r="K27">
            <v>-89.441772916666679</v>
          </cell>
          <cell r="L27">
            <v>-89.441772916666679</v>
          </cell>
          <cell r="M27">
            <v>-89.441772916666679</v>
          </cell>
          <cell r="N27">
            <v>-89.441772916666679</v>
          </cell>
          <cell r="O27">
            <v>-89.441772916666679</v>
          </cell>
          <cell r="P27">
            <v>-89.441772916666679</v>
          </cell>
          <cell r="R27">
            <v>0</v>
          </cell>
          <cell r="S27">
            <v>0</v>
          </cell>
          <cell r="T27">
            <v>0</v>
          </cell>
          <cell r="U27">
            <v>-1067.511135</v>
          </cell>
          <cell r="V27">
            <v>-1079.1482116666668</v>
          </cell>
          <cell r="W27">
            <v>-1207.6890000000003</v>
          </cell>
          <cell r="X27">
            <v>11.637076666666871</v>
          </cell>
          <cell r="Y27">
            <v>140.17786500000034</v>
          </cell>
        </row>
        <row r="28">
          <cell r="X28" t="str">
            <v/>
          </cell>
          <cell r="Y28" t="str">
            <v/>
          </cell>
        </row>
        <row r="29">
          <cell r="A29">
            <v>13</v>
          </cell>
          <cell r="B29" t="str">
            <v>Direct Rent</v>
          </cell>
          <cell r="E29">
            <v>20.953899999999997</v>
          </cell>
          <cell r="F29">
            <v>20.953899999999997</v>
          </cell>
          <cell r="G29">
            <v>20.953899999999997</v>
          </cell>
          <cell r="H29">
            <v>20.953899999999997</v>
          </cell>
          <cell r="I29">
            <v>20.953899999999997</v>
          </cell>
          <cell r="J29">
            <v>20.953899999999997</v>
          </cell>
          <cell r="K29">
            <v>20.953899999999997</v>
          </cell>
          <cell r="L29">
            <v>20.953899999999997</v>
          </cell>
          <cell r="M29">
            <v>20.953899999999997</v>
          </cell>
          <cell r="N29">
            <v>20.953899999999997</v>
          </cell>
          <cell r="O29">
            <v>20.953899999999997</v>
          </cell>
          <cell r="P29">
            <v>20.953899999999997</v>
          </cell>
          <cell r="T29">
            <v>0</v>
          </cell>
          <cell r="U29">
            <v>251.44680000000002</v>
          </cell>
          <cell r="V29">
            <v>216.42934491871819</v>
          </cell>
          <cell r="W29">
            <v>199.74</v>
          </cell>
          <cell r="X29">
            <v>35.017455081281838</v>
          </cell>
          <cell r="Y29">
            <v>51.706800000000015</v>
          </cell>
        </row>
        <row r="30">
          <cell r="A30">
            <v>14</v>
          </cell>
          <cell r="B30" t="str">
            <v>Light, Heat and Power</v>
          </cell>
          <cell r="E30">
            <v>1</v>
          </cell>
          <cell r="F30">
            <v>1</v>
          </cell>
          <cell r="G30">
            <v>1</v>
          </cell>
          <cell r="H30">
            <v>1</v>
          </cell>
          <cell r="I30">
            <v>1</v>
          </cell>
          <cell r="J30">
            <v>1</v>
          </cell>
          <cell r="K30">
            <v>1</v>
          </cell>
          <cell r="L30">
            <v>1</v>
          </cell>
          <cell r="M30">
            <v>1</v>
          </cell>
          <cell r="N30">
            <v>1</v>
          </cell>
          <cell r="O30">
            <v>1</v>
          </cell>
          <cell r="P30">
            <v>1</v>
          </cell>
          <cell r="T30">
            <v>0</v>
          </cell>
          <cell r="U30">
            <v>12</v>
          </cell>
          <cell r="V30">
            <v>7.7254799999999983</v>
          </cell>
          <cell r="W30">
            <v>7.9870000000000001</v>
          </cell>
          <cell r="X30">
            <v>4.2745200000000017</v>
          </cell>
          <cell r="Y30">
            <v>4.0129999999999999</v>
          </cell>
        </row>
        <row r="31">
          <cell r="A31">
            <v>15</v>
          </cell>
          <cell r="B31" t="str">
            <v>Repair &amp; Maintenance</v>
          </cell>
          <cell r="E31">
            <v>4.2</v>
          </cell>
          <cell r="F31">
            <v>4.2</v>
          </cell>
          <cell r="G31">
            <v>4.2</v>
          </cell>
          <cell r="H31">
            <v>4.2</v>
          </cell>
          <cell r="I31">
            <v>4.2</v>
          </cell>
          <cell r="J31">
            <v>4.2</v>
          </cell>
          <cell r="K31">
            <v>4.2</v>
          </cell>
          <cell r="L31">
            <v>4.2</v>
          </cell>
          <cell r="M31">
            <v>4.2</v>
          </cell>
          <cell r="N31">
            <v>4.2</v>
          </cell>
          <cell r="O31">
            <v>4.2</v>
          </cell>
          <cell r="P31">
            <v>4.2</v>
          </cell>
          <cell r="T31">
            <v>0</v>
          </cell>
          <cell r="U31">
            <v>50.4</v>
          </cell>
          <cell r="V31">
            <v>71.554509999999993</v>
          </cell>
          <cell r="W31">
            <v>40.314999999999998</v>
          </cell>
          <cell r="X31">
            <v>-21.154509999999981</v>
          </cell>
          <cell r="Y31">
            <v>10.085000000000001</v>
          </cell>
        </row>
        <row r="32">
          <cell r="A32">
            <v>16</v>
          </cell>
          <cell r="B32" t="str">
            <v>Common Area Maintenance</v>
          </cell>
          <cell r="E32">
            <v>0</v>
          </cell>
          <cell r="F32">
            <v>0</v>
          </cell>
          <cell r="G32">
            <v>0</v>
          </cell>
          <cell r="H32">
            <v>0</v>
          </cell>
          <cell r="I32">
            <v>0</v>
          </cell>
          <cell r="J32">
            <v>0</v>
          </cell>
          <cell r="K32">
            <v>0</v>
          </cell>
          <cell r="L32">
            <v>0</v>
          </cell>
          <cell r="M32">
            <v>0</v>
          </cell>
          <cell r="N32">
            <v>0</v>
          </cell>
          <cell r="O32">
            <v>0</v>
          </cell>
          <cell r="P32">
            <v>0</v>
          </cell>
          <cell r="T32">
            <v>0</v>
          </cell>
          <cell r="U32">
            <v>0</v>
          </cell>
          <cell r="V32">
            <v>0</v>
          </cell>
          <cell r="W32">
            <v>0</v>
          </cell>
          <cell r="X32">
            <v>0</v>
          </cell>
          <cell r="Y32">
            <v>0</v>
          </cell>
        </row>
        <row r="33">
          <cell r="A33">
            <v>17</v>
          </cell>
          <cell r="B33" t="str">
            <v>Other Overhead Costs</v>
          </cell>
          <cell r="C33">
            <v>0</v>
          </cell>
          <cell r="E33">
            <v>37.070150829166664</v>
          </cell>
          <cell r="F33">
            <v>37.070150829166664</v>
          </cell>
          <cell r="G33">
            <v>37.049850829166672</v>
          </cell>
          <cell r="H33">
            <v>37.041150829166668</v>
          </cell>
          <cell r="I33">
            <v>37.041150829166668</v>
          </cell>
          <cell r="J33">
            <v>37.041150829166668</v>
          </cell>
          <cell r="K33">
            <v>37.061917729166666</v>
          </cell>
          <cell r="L33">
            <v>37.061917729166666</v>
          </cell>
          <cell r="M33">
            <v>37.061917729166666</v>
          </cell>
          <cell r="N33">
            <v>37.061917729166666</v>
          </cell>
          <cell r="O33">
            <v>37.061917729166666</v>
          </cell>
          <cell r="P33">
            <v>37.061917729166666</v>
          </cell>
          <cell r="R33">
            <v>0</v>
          </cell>
          <cell r="S33">
            <v>0</v>
          </cell>
          <cell r="T33">
            <v>0</v>
          </cell>
          <cell r="U33">
            <v>444.68511135000006</v>
          </cell>
          <cell r="V33">
            <v>496.03872999999999</v>
          </cell>
          <cell r="W33">
            <v>694.47800000000007</v>
          </cell>
          <cell r="X33">
            <v>-51.35361864999993</v>
          </cell>
          <cell r="Y33">
            <v>-249.79288865000001</v>
          </cell>
        </row>
        <row r="35">
          <cell r="B35" t="str">
            <v>Total Overhead Expenses</v>
          </cell>
          <cell r="C35">
            <v>0</v>
          </cell>
          <cell r="E35">
            <v>63.224050829166657</v>
          </cell>
          <cell r="F35">
            <v>63.224050829166657</v>
          </cell>
          <cell r="G35">
            <v>63.203750829166665</v>
          </cell>
          <cell r="H35">
            <v>63.195050829166661</v>
          </cell>
          <cell r="I35">
            <v>63.195050829166661</v>
          </cell>
          <cell r="J35">
            <v>63.195050829166661</v>
          </cell>
          <cell r="K35">
            <v>63.215817729166659</v>
          </cell>
          <cell r="L35">
            <v>63.215817729166659</v>
          </cell>
          <cell r="M35">
            <v>63.215817729166659</v>
          </cell>
          <cell r="N35">
            <v>63.215817729166659</v>
          </cell>
          <cell r="O35">
            <v>63.215817729166659</v>
          </cell>
          <cell r="P35">
            <v>63.215817729166659</v>
          </cell>
          <cell r="R35">
            <v>0</v>
          </cell>
          <cell r="S35">
            <v>0</v>
          </cell>
          <cell r="T35">
            <v>0</v>
          </cell>
          <cell r="U35">
            <v>758.53191135000009</v>
          </cell>
          <cell r="V35">
            <v>791.74806491871823</v>
          </cell>
          <cell r="W35">
            <v>942.52</v>
          </cell>
          <cell r="X35">
            <v>-33.216153568718141</v>
          </cell>
          <cell r="Y35">
            <v>-183.98808865000001</v>
          </cell>
        </row>
        <row r="37">
          <cell r="B37" t="str">
            <v>E.B.I.T.D.</v>
          </cell>
          <cell r="C37">
            <v>0</v>
          </cell>
          <cell r="E37">
            <v>-153.48913374583333</v>
          </cell>
          <cell r="F37">
            <v>-153.48913374583333</v>
          </cell>
          <cell r="G37">
            <v>-151.43883374583334</v>
          </cell>
          <cell r="H37">
            <v>-150.56013374583333</v>
          </cell>
          <cell r="I37">
            <v>-150.56013374583333</v>
          </cell>
          <cell r="J37">
            <v>-150.56013374583333</v>
          </cell>
          <cell r="K37">
            <v>-152.65759064583335</v>
          </cell>
          <cell r="L37">
            <v>-152.65759064583335</v>
          </cell>
          <cell r="M37">
            <v>-152.65759064583335</v>
          </cell>
          <cell r="N37">
            <v>-152.65759064583335</v>
          </cell>
          <cell r="O37">
            <v>-152.65759064583335</v>
          </cell>
          <cell r="P37">
            <v>-152.65759064583335</v>
          </cell>
          <cell r="R37">
            <v>0</v>
          </cell>
          <cell r="S37">
            <v>0</v>
          </cell>
          <cell r="T37">
            <v>0</v>
          </cell>
          <cell r="U37">
            <v>-1826.0430463500002</v>
          </cell>
          <cell r="V37">
            <v>-1870.8962765853851</v>
          </cell>
          <cell r="W37">
            <v>-2150.2090000000003</v>
          </cell>
          <cell r="X37">
            <v>44.853230235385013</v>
          </cell>
          <cell r="Y37">
            <v>324.16595365000035</v>
          </cell>
        </row>
        <row r="39">
          <cell r="A39">
            <v>18</v>
          </cell>
          <cell r="B39" t="str">
            <v>Depreciation</v>
          </cell>
          <cell r="E39">
            <v>33.989666666666665</v>
          </cell>
          <cell r="F39">
            <v>33.989666666666665</v>
          </cell>
          <cell r="G39">
            <v>33.989666666666665</v>
          </cell>
          <cell r="H39">
            <v>33.989666666666665</v>
          </cell>
          <cell r="I39">
            <v>33.989666666666665</v>
          </cell>
          <cell r="J39">
            <v>33.989666666666665</v>
          </cell>
          <cell r="K39">
            <v>33.989666666666665</v>
          </cell>
          <cell r="L39">
            <v>33.989666666666665</v>
          </cell>
          <cell r="M39">
            <v>33.989666666666665</v>
          </cell>
          <cell r="N39">
            <v>33.989666666666665</v>
          </cell>
          <cell r="O39">
            <v>33.989666666666665</v>
          </cell>
          <cell r="P39">
            <v>33.989666666666665</v>
          </cell>
          <cell r="T39">
            <v>0</v>
          </cell>
          <cell r="U39">
            <v>407.87599999999998</v>
          </cell>
          <cell r="V39">
            <v>122.57752000000001</v>
          </cell>
          <cell r="W39">
            <v>103.379</v>
          </cell>
          <cell r="X39">
            <v>285.29847999999998</v>
          </cell>
          <cell r="Y39">
            <v>304.49699999999996</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47.983849821315353</v>
          </cell>
          <cell r="W40">
            <v>0.125</v>
          </cell>
          <cell r="X40">
            <v>-47.983849821315353</v>
          </cell>
          <cell r="Y40">
            <v>-0.125</v>
          </cell>
        </row>
        <row r="41">
          <cell r="A41">
            <v>20</v>
          </cell>
          <cell r="B41" t="str">
            <v>External Interest</v>
          </cell>
          <cell r="E41">
            <v>127.83253424657536</v>
          </cell>
          <cell r="F41">
            <v>127.19554794520549</v>
          </cell>
          <cell r="G41">
            <v>122.47602739726027</v>
          </cell>
          <cell r="H41">
            <v>124.22294520547948</v>
          </cell>
          <cell r="I41">
            <v>119.59931506849318</v>
          </cell>
          <cell r="J41">
            <v>120.38510273972605</v>
          </cell>
          <cell r="K41">
            <v>118.3998287671233</v>
          </cell>
          <cell r="L41">
            <v>106.36643835616439</v>
          </cell>
          <cell r="M41">
            <v>117.12585616438356</v>
          </cell>
          <cell r="N41">
            <v>112.73116438356166</v>
          </cell>
          <cell r="O41">
            <v>114.04708904109589</v>
          </cell>
          <cell r="P41">
            <v>107.27054794520549</v>
          </cell>
          <cell r="T41">
            <v>0</v>
          </cell>
          <cell r="U41">
            <v>1417.652397260274</v>
          </cell>
          <cell r="V41">
            <v>3.9070800000000001</v>
          </cell>
          <cell r="W41">
            <v>0</v>
          </cell>
          <cell r="X41">
            <v>1413.7453172602741</v>
          </cell>
          <cell r="Y41">
            <v>1417.652397260274</v>
          </cell>
        </row>
        <row r="42">
          <cell r="A42">
            <v>21</v>
          </cell>
          <cell r="B42" t="str">
            <v>Intercompany Interest Income</v>
          </cell>
          <cell r="E42">
            <v>0</v>
          </cell>
          <cell r="F42">
            <v>0</v>
          </cell>
          <cell r="G42">
            <v>0</v>
          </cell>
          <cell r="H42">
            <v>0</v>
          </cell>
          <cell r="I42">
            <v>0</v>
          </cell>
          <cell r="J42">
            <v>0</v>
          </cell>
          <cell r="K42">
            <v>0</v>
          </cell>
          <cell r="L42">
            <v>0</v>
          </cell>
          <cell r="M42">
            <v>0</v>
          </cell>
          <cell r="N42">
            <v>0</v>
          </cell>
          <cell r="O42">
            <v>0</v>
          </cell>
          <cell r="P42">
            <v>0</v>
          </cell>
          <cell r="T42">
            <v>0</v>
          </cell>
          <cell r="U42">
            <v>0</v>
          </cell>
          <cell r="V42">
            <v>0</v>
          </cell>
          <cell r="W42">
            <v>0</v>
          </cell>
          <cell r="X42">
            <v>0</v>
          </cell>
          <cell r="Y42">
            <v>0</v>
          </cell>
        </row>
        <row r="43">
          <cell r="A43">
            <v>22</v>
          </cell>
          <cell r="B43" t="str">
            <v>External Interest Income</v>
          </cell>
          <cell r="E43">
            <v>0</v>
          </cell>
          <cell r="F43">
            <v>0</v>
          </cell>
          <cell r="G43">
            <v>0</v>
          </cell>
          <cell r="H43">
            <v>0</v>
          </cell>
          <cell r="I43">
            <v>0.16900000000000001</v>
          </cell>
          <cell r="J43">
            <v>0.222</v>
          </cell>
          <cell r="K43">
            <v>0</v>
          </cell>
          <cell r="L43">
            <v>0</v>
          </cell>
          <cell r="M43">
            <v>0</v>
          </cell>
          <cell r="N43">
            <v>0</v>
          </cell>
          <cell r="O43">
            <v>0</v>
          </cell>
          <cell r="P43">
            <v>0</v>
          </cell>
          <cell r="T43">
            <v>0</v>
          </cell>
          <cell r="U43">
            <v>0.39100000000000001</v>
          </cell>
          <cell r="V43">
            <v>0</v>
          </cell>
          <cell r="W43">
            <v>0</v>
          </cell>
          <cell r="X43">
            <v>0.39100000000000001</v>
          </cell>
          <cell r="Y43">
            <v>0.39100000000000001</v>
          </cell>
        </row>
        <row r="44">
          <cell r="B44" t="str">
            <v>E.B.T.</v>
          </cell>
          <cell r="C44">
            <v>0</v>
          </cell>
          <cell r="E44">
            <v>-315.31133465907533</v>
          </cell>
          <cell r="F44">
            <v>-314.67434835770547</v>
          </cell>
          <cell r="G44">
            <v>-307.90452780976028</v>
          </cell>
          <cell r="H44">
            <v>-308.77274561797947</v>
          </cell>
          <cell r="I44">
            <v>-303.98011548099316</v>
          </cell>
          <cell r="J44">
            <v>-304.71290315222609</v>
          </cell>
          <cell r="K44">
            <v>-305.04708607962334</v>
          </cell>
          <cell r="L44">
            <v>-293.01369566866441</v>
          </cell>
          <cell r="M44">
            <v>-303.77311347688357</v>
          </cell>
          <cell r="N44">
            <v>-299.37842169606165</v>
          </cell>
          <cell r="O44">
            <v>-300.6943463535959</v>
          </cell>
          <cell r="P44">
            <v>-293.91780525770548</v>
          </cell>
          <cell r="Q44">
            <v>0</v>
          </cell>
          <cell r="R44">
            <v>0</v>
          </cell>
          <cell r="S44">
            <v>0</v>
          </cell>
          <cell r="T44">
            <v>0</v>
          </cell>
          <cell r="U44">
            <v>-3651.1804436102739</v>
          </cell>
          <cell r="V44">
            <v>-2045.3647264067004</v>
          </cell>
          <cell r="W44">
            <v>-2253.7130000000002</v>
          </cell>
          <cell r="X44">
            <v>-1605.8157172035735</v>
          </cell>
          <cell r="Y44">
            <v>-1397.4674436102737</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-18.3</v>
          </cell>
          <cell r="F47">
            <v>-18.3</v>
          </cell>
          <cell r="G47">
            <v>-18.3</v>
          </cell>
          <cell r="H47">
            <v>-18.3</v>
          </cell>
          <cell r="I47">
            <v>-18.3</v>
          </cell>
          <cell r="J47">
            <v>-18.3</v>
          </cell>
          <cell r="K47">
            <v>-18.3</v>
          </cell>
          <cell r="L47">
            <v>-18.3</v>
          </cell>
          <cell r="M47">
            <v>-18.3</v>
          </cell>
          <cell r="N47">
            <v>-18.3</v>
          </cell>
          <cell r="O47">
            <v>-18.3</v>
          </cell>
          <cell r="P47">
            <v>-18.3</v>
          </cell>
          <cell r="R47">
            <v>0</v>
          </cell>
          <cell r="S47">
            <v>0</v>
          </cell>
          <cell r="T47">
            <v>0</v>
          </cell>
          <cell r="U47">
            <v>-219.6</v>
          </cell>
          <cell r="V47">
            <v>-231.23731502155525</v>
          </cell>
          <cell r="W47">
            <v>-52.8</v>
          </cell>
          <cell r="X47">
            <v>11.637315021555196</v>
          </cell>
          <cell r="Y47">
            <v>-166.8</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-297.01133465907532</v>
          </cell>
          <cell r="F50">
            <v>-296.37434835770546</v>
          </cell>
          <cell r="G50">
            <v>-289.60452780976027</v>
          </cell>
          <cell r="H50">
            <v>-290.47274561797946</v>
          </cell>
          <cell r="I50">
            <v>-285.68011548099315</v>
          </cell>
          <cell r="J50">
            <v>-286.41290315222608</v>
          </cell>
          <cell r="K50">
            <v>-286.74708607962333</v>
          </cell>
          <cell r="L50">
            <v>-274.7136956686644</v>
          </cell>
          <cell r="M50">
            <v>-285.47311347688355</v>
          </cell>
          <cell r="N50">
            <v>-281.07842169606164</v>
          </cell>
          <cell r="O50">
            <v>-282.39434635359589</v>
          </cell>
          <cell r="P50">
            <v>-275.61780525770547</v>
          </cell>
          <cell r="Q50">
            <v>0</v>
          </cell>
          <cell r="R50">
            <v>0</v>
          </cell>
          <cell r="S50">
            <v>0</v>
          </cell>
          <cell r="T50">
            <v>0</v>
          </cell>
          <cell r="U50">
            <v>-3431.580443610274</v>
          </cell>
          <cell r="V50">
            <v>-1814.127411385145</v>
          </cell>
          <cell r="W50">
            <v>-2200.913</v>
          </cell>
          <cell r="X50">
            <v>-1617.4530322251289</v>
          </cell>
          <cell r="Y50">
            <v>-1230.6674436102739</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0</v>
          </cell>
          <cell r="F54">
            <v>0</v>
          </cell>
          <cell r="G54">
            <v>0</v>
          </cell>
          <cell r="H54">
            <v>0</v>
          </cell>
          <cell r="I54">
            <v>0</v>
          </cell>
          <cell r="J54">
            <v>0</v>
          </cell>
          <cell r="K54">
            <v>0</v>
          </cell>
          <cell r="L54">
            <v>0</v>
          </cell>
          <cell r="M54">
            <v>0</v>
          </cell>
          <cell r="N54">
            <v>0</v>
          </cell>
          <cell r="O54">
            <v>0</v>
          </cell>
          <cell r="P54">
            <v>0</v>
          </cell>
          <cell r="T54">
            <v>0</v>
          </cell>
          <cell r="U54">
            <v>0</v>
          </cell>
          <cell r="V54">
            <v>0</v>
          </cell>
          <cell r="W54">
            <v>0</v>
          </cell>
          <cell r="X54">
            <v>0</v>
          </cell>
          <cell r="Y54">
            <v>0</v>
          </cell>
        </row>
        <row r="55">
          <cell r="A55">
            <v>28</v>
          </cell>
          <cell r="B55" t="str">
            <v>Admissions</v>
          </cell>
          <cell r="E55">
            <v>0</v>
          </cell>
          <cell r="F55">
            <v>0</v>
          </cell>
          <cell r="G55">
            <v>0</v>
          </cell>
          <cell r="H55">
            <v>0</v>
          </cell>
          <cell r="I55">
            <v>0</v>
          </cell>
          <cell r="J55">
            <v>0</v>
          </cell>
          <cell r="K55">
            <v>0</v>
          </cell>
          <cell r="L55">
            <v>0</v>
          </cell>
          <cell r="M55">
            <v>0</v>
          </cell>
          <cell r="N55">
            <v>0</v>
          </cell>
          <cell r="O55">
            <v>0</v>
          </cell>
          <cell r="P55">
            <v>0</v>
          </cell>
          <cell r="T55">
            <v>0</v>
          </cell>
          <cell r="U55">
            <v>0</v>
          </cell>
          <cell r="V55">
            <v>0</v>
          </cell>
          <cell r="W55">
            <v>0</v>
          </cell>
          <cell r="X55">
            <v>0</v>
          </cell>
          <cell r="Y55">
            <v>0</v>
          </cell>
        </row>
        <row r="56">
          <cell r="B56" t="str">
            <v>Utilisation Rate</v>
          </cell>
          <cell r="E56" t="str">
            <v>N.A.</v>
          </cell>
          <cell r="F56" t="str">
            <v>N.A.</v>
          </cell>
          <cell r="G56" t="str">
            <v>N.A.</v>
          </cell>
          <cell r="H56" t="str">
            <v>N.A.</v>
          </cell>
          <cell r="I56" t="str">
            <v>N.A.</v>
          </cell>
          <cell r="J56" t="str">
            <v>N.A.</v>
          </cell>
          <cell r="K56" t="str">
            <v>N.A.</v>
          </cell>
          <cell r="L56" t="str">
            <v>N.A.</v>
          </cell>
          <cell r="M56" t="str">
            <v>N.A.</v>
          </cell>
          <cell r="N56" t="str">
            <v>N.A.</v>
          </cell>
          <cell r="O56" t="str">
            <v>N.A.</v>
          </cell>
          <cell r="P56" t="str">
            <v>N.A.</v>
          </cell>
          <cell r="U56" t="str">
            <v>N.A.</v>
          </cell>
          <cell r="V56" t="str">
            <v>N.A.</v>
          </cell>
          <cell r="W56" t="str">
            <v>N.A.</v>
          </cell>
          <cell r="X56" t="str">
            <v>N.A.</v>
          </cell>
          <cell r="Y56" t="str">
            <v>N.A.</v>
          </cell>
        </row>
        <row r="57">
          <cell r="B57" t="str">
            <v>Ave. Admission Price (S$)</v>
          </cell>
          <cell r="C57" t="str">
            <v>N.A.</v>
          </cell>
          <cell r="E57" t="str">
            <v>N.A.</v>
          </cell>
          <cell r="F57" t="str">
            <v>N.A.</v>
          </cell>
          <cell r="G57" t="str">
            <v>N.A.</v>
          </cell>
          <cell r="H57" t="str">
            <v>N.A.</v>
          </cell>
          <cell r="I57" t="str">
            <v>N.A.</v>
          </cell>
          <cell r="J57" t="str">
            <v>N.A.</v>
          </cell>
          <cell r="K57" t="str">
            <v>N.A.</v>
          </cell>
          <cell r="L57" t="str">
            <v>N.A.</v>
          </cell>
          <cell r="M57" t="str">
            <v>N.A.</v>
          </cell>
          <cell r="N57" t="str">
            <v>N.A.</v>
          </cell>
          <cell r="O57" t="str">
            <v>N.A.</v>
          </cell>
          <cell r="P57" t="str">
            <v>N.A.</v>
          </cell>
          <cell r="R57" t="str">
            <v>N.A.</v>
          </cell>
          <cell r="S57" t="str">
            <v>N.A.</v>
          </cell>
          <cell r="T57" t="str">
            <v>N.A.</v>
          </cell>
          <cell r="U57" t="str">
            <v>N.A.</v>
          </cell>
          <cell r="V57" t="str">
            <v>N.A.</v>
          </cell>
          <cell r="W57" t="str">
            <v>N.A.</v>
          </cell>
          <cell r="X57" t="str">
            <v>N.A.</v>
          </cell>
          <cell r="Y57" t="str">
            <v>N.A.</v>
          </cell>
        </row>
        <row r="58">
          <cell r="B58" t="str">
            <v>Advert. Cost % of Box</v>
          </cell>
          <cell r="C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R58" t="str">
            <v>N.A.</v>
          </cell>
          <cell r="S58" t="str">
            <v>N.A.</v>
          </cell>
          <cell r="T58" t="str">
            <v>N.A.</v>
          </cell>
          <cell r="U58" t="str">
            <v>N.A.</v>
          </cell>
          <cell r="V58" t="str">
            <v>N.A.</v>
          </cell>
          <cell r="W58" t="str">
            <v>N.A.</v>
          </cell>
          <cell r="X58" t="str">
            <v>N.A.</v>
          </cell>
          <cell r="Y58" t="str">
            <v>N.A.</v>
          </cell>
        </row>
        <row r="59">
          <cell r="B59" t="str">
            <v>Concession Cost %</v>
          </cell>
          <cell r="C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R59" t="str">
            <v>N.A.</v>
          </cell>
          <cell r="S59" t="str">
            <v>N.A.</v>
          </cell>
          <cell r="T59" t="str">
            <v>N.A.</v>
          </cell>
          <cell r="U59" t="str">
            <v>N.A.</v>
          </cell>
          <cell r="V59" t="str">
            <v>N.A.</v>
          </cell>
          <cell r="W59" t="str">
            <v>N.A.</v>
          </cell>
          <cell r="X59" t="str">
            <v>N.A.</v>
          </cell>
          <cell r="Y59" t="str">
            <v>N.A.</v>
          </cell>
        </row>
        <row r="60">
          <cell r="B60" t="str">
            <v>Concess. Rev per Patron (S$)</v>
          </cell>
          <cell r="C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R60" t="str">
            <v>N.A.</v>
          </cell>
          <cell r="S60" t="str">
            <v>N.A.</v>
          </cell>
          <cell r="T60" t="str">
            <v>N.A.</v>
          </cell>
          <cell r="U60" t="str">
            <v>N.A.</v>
          </cell>
          <cell r="V60" t="str">
            <v>N.A.</v>
          </cell>
          <cell r="W60" t="str">
            <v>N.A.</v>
          </cell>
          <cell r="X60" t="str">
            <v>N.A.</v>
          </cell>
          <cell r="Y60" t="str">
            <v>N.A.</v>
          </cell>
        </row>
        <row r="61">
          <cell r="B61" t="str">
            <v>Film Hire : % of Net Box</v>
          </cell>
          <cell r="C61" t="str">
            <v>N.A.</v>
          </cell>
          <cell r="E61" t="str">
            <v>N.A.</v>
          </cell>
          <cell r="F61" t="str">
            <v>N.A.</v>
          </cell>
          <cell r="G61" t="str">
            <v>N.A.</v>
          </cell>
          <cell r="H61" t="str">
            <v>N.A.</v>
          </cell>
          <cell r="I61" t="str">
            <v>N.A.</v>
          </cell>
          <cell r="J61" t="str">
            <v>N.A.</v>
          </cell>
          <cell r="K61" t="str">
            <v>N.A.</v>
          </cell>
          <cell r="L61" t="str">
            <v>N.A.</v>
          </cell>
          <cell r="M61" t="str">
            <v>N.A.</v>
          </cell>
          <cell r="N61" t="str">
            <v>N.A.</v>
          </cell>
          <cell r="O61" t="str">
            <v>N.A.</v>
          </cell>
          <cell r="P61" t="str">
            <v>N.A.</v>
          </cell>
          <cell r="R61" t="str">
            <v>N.A.</v>
          </cell>
          <cell r="S61" t="str">
            <v>N.A.</v>
          </cell>
          <cell r="T61" t="str">
            <v>N.A.</v>
          </cell>
          <cell r="U61" t="str">
            <v>N.A.</v>
          </cell>
          <cell r="V61" t="str">
            <v>N.A.</v>
          </cell>
          <cell r="W61" t="str">
            <v>N.A.</v>
          </cell>
          <cell r="X61" t="str">
            <v>N.A.</v>
          </cell>
          <cell r="Y61" t="str">
            <v>N.A.</v>
          </cell>
        </row>
        <row r="62">
          <cell r="B62" t="str">
            <v>Direct Payroll : Net Box</v>
          </cell>
          <cell r="C62" t="str">
            <v>N.A.</v>
          </cell>
          <cell r="E62" t="str">
            <v>N.A.</v>
          </cell>
          <cell r="F62" t="str">
            <v>N.A.</v>
          </cell>
          <cell r="G62" t="str">
            <v>N.A.</v>
          </cell>
          <cell r="H62" t="str">
            <v>N.A.</v>
          </cell>
          <cell r="I62" t="str">
            <v>N.A.</v>
          </cell>
          <cell r="J62" t="str">
            <v>N.A.</v>
          </cell>
          <cell r="K62" t="str">
            <v>N.A.</v>
          </cell>
          <cell r="L62" t="str">
            <v>N.A.</v>
          </cell>
          <cell r="M62" t="str">
            <v>N.A.</v>
          </cell>
          <cell r="N62" t="str">
            <v>N.A.</v>
          </cell>
          <cell r="O62" t="str">
            <v>N.A.</v>
          </cell>
          <cell r="P62" t="str">
            <v>N.A.</v>
          </cell>
          <cell r="R62" t="str">
            <v>N.A.</v>
          </cell>
          <cell r="S62" t="str">
            <v>N.A.</v>
          </cell>
          <cell r="T62" t="str">
            <v>N.A.</v>
          </cell>
          <cell r="U62" t="str">
            <v>N.A.</v>
          </cell>
          <cell r="V62" t="str">
            <v>N.A.</v>
          </cell>
          <cell r="W62" t="str">
            <v>N.A.</v>
          </cell>
          <cell r="X62" t="str">
            <v>N.A.</v>
          </cell>
          <cell r="Y62" t="str">
            <v>N.A.</v>
          </cell>
        </row>
        <row r="63">
          <cell r="B63" t="str">
            <v>Direct Payroll : Net Box &amp; Conc.</v>
          </cell>
          <cell r="C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
          </cell>
          <cell r="R63" t="str">
            <v>N.A.</v>
          </cell>
          <cell r="S63" t="str">
            <v>N.A.</v>
          </cell>
          <cell r="T63" t="str">
            <v>N.A.</v>
          </cell>
          <cell r="U63" t="str">
            <v>N.A.</v>
          </cell>
          <cell r="V63" t="str">
            <v>N.A.</v>
          </cell>
          <cell r="W63" t="str">
            <v>N.A.</v>
          </cell>
          <cell r="X63" t="str">
            <v>N.A.</v>
          </cell>
          <cell r="Y63" t="str">
            <v>N.A.</v>
          </cell>
        </row>
        <row r="64">
          <cell r="B64" t="str">
            <v>Direct Payroll of Admissions (S$)</v>
          </cell>
          <cell r="C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
          </cell>
          <cell r="R64" t="str">
            <v>N.A.</v>
          </cell>
          <cell r="S64" t="str">
            <v>N.A.</v>
          </cell>
          <cell r="T64" t="str">
            <v>N.A.</v>
          </cell>
          <cell r="U64" t="str">
            <v>N.A.</v>
          </cell>
          <cell r="V64" t="str">
            <v>N.A.</v>
          </cell>
          <cell r="W64" t="str">
            <v>N.A.</v>
          </cell>
          <cell r="X64" t="str">
            <v>N.A.</v>
          </cell>
          <cell r="Y64" t="str">
            <v>N.A.</v>
          </cell>
        </row>
        <row r="65">
          <cell r="B65" t="str">
            <v>Gross Margin :Total Rev</v>
          </cell>
          <cell r="C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
          </cell>
          <cell r="R65" t="str">
            <v>N.A.</v>
          </cell>
          <cell r="S65" t="str">
            <v>N.A.</v>
          </cell>
          <cell r="T65" t="str">
            <v>N.A.</v>
          </cell>
          <cell r="U65" t="str">
            <v>N.A.</v>
          </cell>
          <cell r="V65" t="str">
            <v>N.A.</v>
          </cell>
          <cell r="W65" t="str">
            <v>N.A.</v>
          </cell>
          <cell r="X65" t="str">
            <v>N.A.</v>
          </cell>
          <cell r="Y65" t="str">
            <v>N.A.</v>
          </cell>
        </row>
        <row r="66">
          <cell r="B66" t="str">
            <v>G&amp;A % of total revenue</v>
          </cell>
          <cell r="C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
          </cell>
          <cell r="R66" t="str">
            <v>N.A.</v>
          </cell>
          <cell r="S66" t="str">
            <v>N.A.</v>
          </cell>
          <cell r="T66" t="str">
            <v>N.A.</v>
          </cell>
          <cell r="U66" t="str">
            <v>N.A.</v>
          </cell>
          <cell r="V66" t="str">
            <v>N.A.</v>
          </cell>
          <cell r="W66" t="str">
            <v>N.A.</v>
          </cell>
          <cell r="X66" t="str">
            <v>N.A.</v>
          </cell>
          <cell r="Y66" t="str">
            <v>N.A.</v>
          </cell>
        </row>
        <row r="67">
          <cell r="B67" t="str">
            <v>E.B.I.T.D. : Total Rev</v>
          </cell>
          <cell r="C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
          </cell>
          <cell r="R67" t="str">
            <v>N.A.</v>
          </cell>
          <cell r="S67" t="str">
            <v>N.A.</v>
          </cell>
          <cell r="T67" t="str">
            <v>N.A.</v>
          </cell>
          <cell r="U67" t="str">
            <v>N.A.</v>
          </cell>
          <cell r="V67" t="str">
            <v>N.A.</v>
          </cell>
          <cell r="W67" t="str">
            <v>N.A.</v>
          </cell>
          <cell r="X67" t="str">
            <v>N.A.</v>
          </cell>
          <cell r="Y67" t="str">
            <v>N.A.</v>
          </cell>
        </row>
        <row r="68">
          <cell r="B68" t="str">
            <v>No of Concession Transactions</v>
          </cell>
          <cell r="E68" t="str">
            <v>N.A.</v>
          </cell>
          <cell r="F68" t="str">
            <v>N.A.</v>
          </cell>
          <cell r="G68" t="str">
            <v>N.A.</v>
          </cell>
          <cell r="H68" t="str">
            <v>N.A.</v>
          </cell>
          <cell r="I68" t="str">
            <v>N.A.</v>
          </cell>
          <cell r="J68" t="str">
            <v>N.A.</v>
          </cell>
          <cell r="K68" t="str">
            <v>N.A.</v>
          </cell>
          <cell r="L68" t="str">
            <v>N.A.</v>
          </cell>
          <cell r="M68" t="str">
            <v>N.A.</v>
          </cell>
          <cell r="N68" t="str">
            <v>N.A.</v>
          </cell>
          <cell r="O68" t="str">
            <v>N.A.</v>
          </cell>
          <cell r="P68" t="str">
            <v>N.A.</v>
          </cell>
          <cell r="Q68" t="str">
            <v/>
          </cell>
          <cell r="R68">
            <v>30.731000000000002</v>
          </cell>
          <cell r="S68">
            <v>31.731000000000002</v>
          </cell>
          <cell r="T68">
            <v>32.731000000000002</v>
          </cell>
          <cell r="U68" t="str">
            <v>N.A.</v>
          </cell>
          <cell r="V68" t="str">
            <v>N.A.</v>
          </cell>
          <cell r="W68" t="str">
            <v>N.A.</v>
          </cell>
          <cell r="X68" t="str">
            <v>N.A.</v>
          </cell>
          <cell r="Y68" t="str">
            <v>N.A.</v>
          </cell>
        </row>
        <row r="69">
          <cell r="B69" t="str">
            <v>Strike Rate %(No of Trans/Adm)</v>
          </cell>
          <cell r="E69" t="str">
            <v>N.A.</v>
          </cell>
          <cell r="F69" t="str">
            <v>N.A.</v>
          </cell>
          <cell r="G69" t="str">
            <v>N.A.</v>
          </cell>
          <cell r="H69" t="str">
            <v>N.A.</v>
          </cell>
          <cell r="I69" t="str">
            <v>N.A.</v>
          </cell>
          <cell r="J69" t="str">
            <v>N.A.</v>
          </cell>
          <cell r="K69" t="str">
            <v>N.A.</v>
          </cell>
          <cell r="L69" t="str">
            <v>N.A.</v>
          </cell>
          <cell r="M69" t="str">
            <v>N.A.</v>
          </cell>
          <cell r="N69" t="str">
            <v>N.A.</v>
          </cell>
          <cell r="O69" t="str">
            <v>N.A.</v>
          </cell>
          <cell r="P69" t="str">
            <v>N.A.</v>
          </cell>
          <cell r="Q69" t="str">
            <v/>
          </cell>
          <cell r="R69" t="e">
            <v>#DIV/0!</v>
          </cell>
          <cell r="S69" t="e">
            <v>#DIV/0!</v>
          </cell>
          <cell r="T69" t="e">
            <v>#DIV/0!</v>
          </cell>
          <cell r="U69" t="str">
            <v>N.A.</v>
          </cell>
          <cell r="V69" t="str">
            <v>N.A.</v>
          </cell>
          <cell r="W69" t="str">
            <v>N.A.</v>
          </cell>
          <cell r="X69" t="str">
            <v>N.A.</v>
          </cell>
          <cell r="Y69" t="str">
            <v>N.A.</v>
          </cell>
        </row>
        <row r="70">
          <cell r="B70" t="str">
            <v>Ave Sales (Total Sale/No of Trans) (S$)</v>
          </cell>
          <cell r="E70" t="str">
            <v>N.A.</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t="str">
            <v/>
          </cell>
          <cell r="R70">
            <v>0</v>
          </cell>
          <cell r="S70">
            <v>0</v>
          </cell>
          <cell r="T70">
            <v>0</v>
          </cell>
          <cell r="U70" t="str">
            <v>N.A.</v>
          </cell>
          <cell r="V70" t="str">
            <v>N.A.</v>
          </cell>
          <cell r="W70" t="str">
            <v>N.A.</v>
          </cell>
          <cell r="X70" t="str">
            <v>N.A.</v>
          </cell>
          <cell r="Y70" t="str">
            <v>N.A.</v>
          </cell>
        </row>
        <row r="71">
          <cell r="B71" t="str">
            <v xml:space="preserve">Total Concession Combo Sales </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
          </cell>
          <cell r="R71">
            <v>74.369</v>
          </cell>
          <cell r="S71">
            <v>75.369</v>
          </cell>
          <cell r="T71">
            <v>76.369</v>
          </cell>
          <cell r="U71" t="str">
            <v>N.A.</v>
          </cell>
          <cell r="V71" t="str">
            <v>N.A.</v>
          </cell>
          <cell r="W71" t="str">
            <v>N.A.</v>
          </cell>
          <cell r="X71" t="str">
            <v>N.A.</v>
          </cell>
          <cell r="Y71" t="str">
            <v>N.A.</v>
          </cell>
        </row>
        <row r="72">
          <cell r="B72" t="str">
            <v>Combo Sales as % of Total Sales</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
          </cell>
          <cell r="R72" t="e">
            <v>#DIV/0!</v>
          </cell>
          <cell r="S72" t="e">
            <v>#DIV/0!</v>
          </cell>
          <cell r="T72" t="e">
            <v>#DIV/0!</v>
          </cell>
          <cell r="U72" t="str">
            <v>N.A.</v>
          </cell>
          <cell r="V72" t="str">
            <v>N.A.</v>
          </cell>
          <cell r="W72" t="str">
            <v>N.A.</v>
          </cell>
          <cell r="X72" t="str">
            <v>N.A.</v>
          </cell>
          <cell r="Y72" t="str">
            <v>N.A.</v>
          </cell>
        </row>
        <row r="73">
          <cell r="B73" t="str">
            <v>No of Payroll hours Paid</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
          </cell>
          <cell r="R73">
            <v>4.5520000000000005</v>
          </cell>
          <cell r="S73">
            <v>4.5520000000000005</v>
          </cell>
          <cell r="T73">
            <v>4.5520000000000005</v>
          </cell>
          <cell r="U73" t="str">
            <v>N.A.</v>
          </cell>
          <cell r="V73" t="str">
            <v>N.A.</v>
          </cell>
          <cell r="W73" t="str">
            <v>N.A.</v>
          </cell>
          <cell r="X73" t="str">
            <v>N.A.</v>
          </cell>
          <cell r="Y73" t="str">
            <v>N.A.</v>
          </cell>
        </row>
        <row r="74">
          <cell r="B74" t="str">
            <v>Admissions/labour hour paid</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
          </cell>
          <cell r="R74">
            <v>0</v>
          </cell>
          <cell r="S74">
            <v>0</v>
          </cell>
          <cell r="T74">
            <v>0</v>
          </cell>
          <cell r="U74" t="str">
            <v>N.A.</v>
          </cell>
          <cell r="V74" t="str">
            <v>N.A.</v>
          </cell>
          <cell r="W74" t="str">
            <v>N.A.</v>
          </cell>
          <cell r="X74" t="str">
            <v>N.A.</v>
          </cell>
          <cell r="Y74" t="str">
            <v>N.A.</v>
          </cell>
        </row>
        <row r="75">
          <cell r="A75" t="str">
            <v/>
          </cell>
        </row>
        <row r="76">
          <cell r="A76" t="str">
            <v/>
          </cell>
          <cell r="B76" t="str">
            <v>6 Other Income</v>
          </cell>
        </row>
        <row r="77">
          <cell r="A77">
            <v>52</v>
          </cell>
          <cell r="B77" t="str">
            <v>Booking Fee</v>
          </cell>
          <cell r="E77">
            <v>0</v>
          </cell>
          <cell r="F77">
            <v>0</v>
          </cell>
          <cell r="G77">
            <v>0</v>
          </cell>
          <cell r="H77">
            <v>0</v>
          </cell>
          <cell r="I77">
            <v>0</v>
          </cell>
          <cell r="J77">
            <v>0</v>
          </cell>
          <cell r="K77">
            <v>0</v>
          </cell>
          <cell r="L77">
            <v>0</v>
          </cell>
          <cell r="M77">
            <v>0</v>
          </cell>
          <cell r="N77">
            <v>0</v>
          </cell>
          <cell r="O77">
            <v>0</v>
          </cell>
          <cell r="P77">
            <v>0</v>
          </cell>
          <cell r="T77">
            <v>0</v>
          </cell>
          <cell r="U77">
            <v>0</v>
          </cell>
          <cell r="V77">
            <v>0.5</v>
          </cell>
          <cell r="W77">
            <v>0</v>
          </cell>
          <cell r="X77">
            <v>-0.5</v>
          </cell>
          <cell r="Y77">
            <v>0</v>
          </cell>
        </row>
        <row r="78">
          <cell r="A78">
            <v>53</v>
          </cell>
          <cell r="B78" t="str">
            <v>Auditorium Rentals</v>
          </cell>
          <cell r="E78">
            <v>0</v>
          </cell>
          <cell r="F78">
            <v>0</v>
          </cell>
          <cell r="G78">
            <v>0</v>
          </cell>
          <cell r="H78">
            <v>0</v>
          </cell>
          <cell r="I78">
            <v>0</v>
          </cell>
          <cell r="J78">
            <v>0</v>
          </cell>
          <cell r="K78">
            <v>0</v>
          </cell>
          <cell r="L78">
            <v>0</v>
          </cell>
          <cell r="M78">
            <v>0</v>
          </cell>
          <cell r="N78">
            <v>0</v>
          </cell>
          <cell r="O78">
            <v>0</v>
          </cell>
          <cell r="P78">
            <v>0</v>
          </cell>
          <cell r="T78">
            <v>0</v>
          </cell>
          <cell r="U78">
            <v>0</v>
          </cell>
          <cell r="V78">
            <v>0</v>
          </cell>
          <cell r="W78">
            <v>0</v>
          </cell>
          <cell r="X78">
            <v>0</v>
          </cell>
          <cell r="Y78">
            <v>0</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0.5</v>
          </cell>
          <cell r="F82">
            <v>0.5</v>
          </cell>
          <cell r="G82">
            <v>0.5</v>
          </cell>
          <cell r="H82">
            <v>0.5</v>
          </cell>
          <cell r="I82">
            <v>0.5</v>
          </cell>
          <cell r="J82">
            <v>0.5</v>
          </cell>
          <cell r="K82">
            <v>0.5</v>
          </cell>
          <cell r="L82">
            <v>0.5</v>
          </cell>
          <cell r="M82">
            <v>0.5</v>
          </cell>
          <cell r="N82">
            <v>0.5</v>
          </cell>
          <cell r="O82">
            <v>0.5</v>
          </cell>
          <cell r="P82">
            <v>0.5</v>
          </cell>
          <cell r="T82">
            <v>0</v>
          </cell>
          <cell r="U82">
            <v>6</v>
          </cell>
          <cell r="V82">
            <v>13</v>
          </cell>
          <cell r="W82">
            <v>5.0979999999999999</v>
          </cell>
          <cell r="X82">
            <v>-7</v>
          </cell>
          <cell r="Y82">
            <v>0.90200000000000014</v>
          </cell>
        </row>
        <row r="83">
          <cell r="C83">
            <v>0</v>
          </cell>
          <cell r="E83">
            <v>0.5</v>
          </cell>
          <cell r="F83">
            <v>0.5</v>
          </cell>
          <cell r="G83">
            <v>0.5</v>
          </cell>
          <cell r="H83">
            <v>0.5</v>
          </cell>
          <cell r="I83">
            <v>0.5</v>
          </cell>
          <cell r="J83">
            <v>0.5</v>
          </cell>
          <cell r="K83">
            <v>0.5</v>
          </cell>
          <cell r="L83">
            <v>0.5</v>
          </cell>
          <cell r="M83">
            <v>0.5</v>
          </cell>
          <cell r="N83">
            <v>0.5</v>
          </cell>
          <cell r="O83">
            <v>0.5</v>
          </cell>
          <cell r="P83">
            <v>0.5</v>
          </cell>
          <cell r="R83">
            <v>0</v>
          </cell>
          <cell r="S83">
            <v>0</v>
          </cell>
          <cell r="T83">
            <v>0</v>
          </cell>
          <cell r="U83">
            <v>6</v>
          </cell>
          <cell r="V83">
            <v>13.5</v>
          </cell>
          <cell r="W83">
            <v>5.0979999999999999</v>
          </cell>
          <cell r="X83">
            <v>-7.5</v>
          </cell>
          <cell r="Y83">
            <v>0.90200000000000014</v>
          </cell>
        </row>
        <row r="84">
          <cell r="X84" t="str">
            <v/>
          </cell>
          <cell r="Y84" t="str">
            <v/>
          </cell>
        </row>
        <row r="85">
          <cell r="B85" t="str">
            <v>10 Other Cost</v>
          </cell>
          <cell r="X85" t="str">
            <v/>
          </cell>
          <cell r="Y85" t="str">
            <v/>
          </cell>
        </row>
        <row r="86">
          <cell r="A86">
            <v>61</v>
          </cell>
          <cell r="B86" t="str">
            <v>Authors Rights</v>
          </cell>
          <cell r="E86">
            <v>0</v>
          </cell>
          <cell r="F86">
            <v>0</v>
          </cell>
          <cell r="G86">
            <v>0</v>
          </cell>
          <cell r="H86">
            <v>0</v>
          </cell>
          <cell r="I86">
            <v>0</v>
          </cell>
          <cell r="J86">
            <v>0</v>
          </cell>
          <cell r="K86">
            <v>0</v>
          </cell>
          <cell r="L86">
            <v>0</v>
          </cell>
          <cell r="M86">
            <v>0</v>
          </cell>
          <cell r="N86">
            <v>0</v>
          </cell>
          <cell r="O86">
            <v>0</v>
          </cell>
          <cell r="P86">
            <v>0</v>
          </cell>
          <cell r="U86">
            <v>0</v>
          </cell>
          <cell r="V86">
            <v>0</v>
          </cell>
          <cell r="W86">
            <v>0</v>
          </cell>
          <cell r="X86">
            <v>0</v>
          </cell>
          <cell r="Y86">
            <v>0</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v>
          </cell>
          <cell r="F91">
            <v>0</v>
          </cell>
          <cell r="G91">
            <v>0</v>
          </cell>
          <cell r="H91">
            <v>0</v>
          </cell>
          <cell r="I91">
            <v>0</v>
          </cell>
          <cell r="J91">
            <v>0</v>
          </cell>
          <cell r="K91">
            <v>0</v>
          </cell>
          <cell r="L91">
            <v>0</v>
          </cell>
          <cell r="M91">
            <v>0</v>
          </cell>
          <cell r="N91">
            <v>0</v>
          </cell>
          <cell r="O91">
            <v>0</v>
          </cell>
          <cell r="P91">
            <v>0</v>
          </cell>
          <cell r="U91">
            <v>0</v>
          </cell>
          <cell r="V91">
            <v>0</v>
          </cell>
          <cell r="W91">
            <v>0</v>
          </cell>
          <cell r="X91">
            <v>0</v>
          </cell>
          <cell r="Y91">
            <v>0</v>
          </cell>
        </row>
        <row r="92">
          <cell r="X92" t="str">
            <v/>
          </cell>
          <cell r="Y92" t="str">
            <v/>
          </cell>
        </row>
        <row r="93">
          <cell r="B93" t="str">
            <v>11 Direct Payroll</v>
          </cell>
          <cell r="X93" t="str">
            <v/>
          </cell>
          <cell r="Y93" t="str">
            <v/>
          </cell>
        </row>
        <row r="94">
          <cell r="A94">
            <v>66</v>
          </cell>
          <cell r="B94" t="str">
            <v>Salaries</v>
          </cell>
          <cell r="E94">
            <v>74.415462083333338</v>
          </cell>
          <cell r="F94">
            <v>74.415462083333338</v>
          </cell>
          <cell r="G94">
            <v>74.415462083333338</v>
          </cell>
          <cell r="H94">
            <v>74.415462083333338</v>
          </cell>
          <cell r="I94">
            <v>74.415462083333338</v>
          </cell>
          <cell r="J94">
            <v>74.415462083333338</v>
          </cell>
          <cell r="K94">
            <v>76.492152083333337</v>
          </cell>
          <cell r="L94">
            <v>76.492152083333337</v>
          </cell>
          <cell r="M94">
            <v>76.492152083333337</v>
          </cell>
          <cell r="N94">
            <v>76.492152083333337</v>
          </cell>
          <cell r="O94">
            <v>76.492152083333337</v>
          </cell>
          <cell r="P94">
            <v>76.492152083333337</v>
          </cell>
          <cell r="Q94" t="str">
            <v/>
          </cell>
          <cell r="T94">
            <v>0</v>
          </cell>
          <cell r="U94">
            <v>905.44568500000037</v>
          </cell>
          <cell r="V94">
            <v>921.25519499999984</v>
          </cell>
          <cell r="W94">
            <v>918.11300000000006</v>
          </cell>
          <cell r="X94">
            <v>-15.809509999999477</v>
          </cell>
          <cell r="Y94">
            <v>-12.667314999999689</v>
          </cell>
        </row>
        <row r="95">
          <cell r="A95">
            <v>67</v>
          </cell>
          <cell r="B95" t="str">
            <v>Bonus/Commission</v>
          </cell>
          <cell r="E95">
            <v>5.6696208333333331</v>
          </cell>
          <cell r="F95">
            <v>5.6696208333333331</v>
          </cell>
          <cell r="G95">
            <v>5.6696208333333331</v>
          </cell>
          <cell r="H95">
            <v>5.6696208333333331</v>
          </cell>
          <cell r="I95">
            <v>5.6696208333333331</v>
          </cell>
          <cell r="J95">
            <v>5.6696208333333331</v>
          </cell>
          <cell r="K95">
            <v>5.6696208333333331</v>
          </cell>
          <cell r="L95">
            <v>5.6696208333333331</v>
          </cell>
          <cell r="M95">
            <v>5.6696208333333331</v>
          </cell>
          <cell r="N95">
            <v>5.6696208333333331</v>
          </cell>
          <cell r="O95">
            <v>5.6696208333333331</v>
          </cell>
          <cell r="P95">
            <v>5.6696208333333331</v>
          </cell>
          <cell r="Q95" t="str">
            <v/>
          </cell>
          <cell r="T95">
            <v>0</v>
          </cell>
          <cell r="U95">
            <v>68.035449999999997</v>
          </cell>
          <cell r="V95">
            <v>65.161416666666668</v>
          </cell>
          <cell r="W95">
            <v>136.34299999999999</v>
          </cell>
          <cell r="X95">
            <v>2.8740333333333297</v>
          </cell>
          <cell r="Y95">
            <v>-68.307549999999992</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Q96" t="str">
            <v/>
          </cell>
          <cell r="T96">
            <v>0</v>
          </cell>
          <cell r="U96">
            <v>0</v>
          </cell>
          <cell r="V96">
            <v>0</v>
          </cell>
          <cell r="W96">
            <v>0</v>
          </cell>
          <cell r="X96">
            <v>0</v>
          </cell>
          <cell r="Y96">
            <v>0</v>
          </cell>
        </row>
        <row r="97">
          <cell r="A97">
            <v>69</v>
          </cell>
          <cell r="B97" t="str">
            <v>Welfare &amp; Pension</v>
          </cell>
          <cell r="E97">
            <v>1.74</v>
          </cell>
          <cell r="F97">
            <v>1.74</v>
          </cell>
          <cell r="G97">
            <v>1.74</v>
          </cell>
          <cell r="H97">
            <v>1.74</v>
          </cell>
          <cell r="I97">
            <v>1.74</v>
          </cell>
          <cell r="J97">
            <v>1.74</v>
          </cell>
          <cell r="K97">
            <v>1.74</v>
          </cell>
          <cell r="L97">
            <v>1.74</v>
          </cell>
          <cell r="M97">
            <v>1.74</v>
          </cell>
          <cell r="N97">
            <v>1.74</v>
          </cell>
          <cell r="O97">
            <v>1.74</v>
          </cell>
          <cell r="P97">
            <v>1.74</v>
          </cell>
          <cell r="Q97" t="str">
            <v/>
          </cell>
          <cell r="T97">
            <v>0</v>
          </cell>
          <cell r="U97">
            <v>20.88</v>
          </cell>
          <cell r="V97">
            <v>15.915600000000001</v>
          </cell>
          <cell r="W97">
            <v>25.748000000000001</v>
          </cell>
          <cell r="X97">
            <v>4.9643999999999942</v>
          </cell>
          <cell r="Y97">
            <v>-4.8680000000000057</v>
          </cell>
        </row>
        <row r="98">
          <cell r="A98">
            <v>70</v>
          </cell>
          <cell r="B98" t="str">
            <v>Miscellaneous</v>
          </cell>
          <cell r="E98">
            <v>8.94</v>
          </cell>
          <cell r="F98">
            <v>8.94</v>
          </cell>
          <cell r="G98">
            <v>6.91</v>
          </cell>
          <cell r="H98">
            <v>6.04</v>
          </cell>
          <cell r="I98">
            <v>6.04</v>
          </cell>
          <cell r="J98">
            <v>6.04</v>
          </cell>
          <cell r="K98">
            <v>6.04</v>
          </cell>
          <cell r="L98">
            <v>6.04</v>
          </cell>
          <cell r="M98">
            <v>6.04</v>
          </cell>
          <cell r="N98">
            <v>6.04</v>
          </cell>
          <cell r="O98">
            <v>6.04</v>
          </cell>
          <cell r="P98">
            <v>6.04</v>
          </cell>
          <cell r="Q98" t="str">
            <v/>
          </cell>
          <cell r="T98">
            <v>0</v>
          </cell>
          <cell r="U98">
            <v>79.150000000000006</v>
          </cell>
          <cell r="V98">
            <v>90.41400000000003</v>
          </cell>
          <cell r="W98">
            <v>131.583</v>
          </cell>
          <cell r="X98">
            <v>-11.264000000000024</v>
          </cell>
          <cell r="Y98">
            <v>-52.432999999999993</v>
          </cell>
        </row>
        <row r="99">
          <cell r="C99">
            <v>0</v>
          </cell>
          <cell r="E99">
            <v>90.765082916666657</v>
          </cell>
          <cell r="F99">
            <v>90.765082916666657</v>
          </cell>
          <cell r="G99">
            <v>88.735082916666656</v>
          </cell>
          <cell r="H99">
            <v>87.865082916666665</v>
          </cell>
          <cell r="I99">
            <v>87.865082916666665</v>
          </cell>
          <cell r="J99">
            <v>87.865082916666665</v>
          </cell>
          <cell r="K99">
            <v>89.941772916666679</v>
          </cell>
          <cell r="L99">
            <v>89.941772916666679</v>
          </cell>
          <cell r="M99">
            <v>89.941772916666679</v>
          </cell>
          <cell r="N99">
            <v>89.941772916666679</v>
          </cell>
          <cell r="O99">
            <v>89.941772916666679</v>
          </cell>
          <cell r="P99">
            <v>89.941772916666679</v>
          </cell>
          <cell r="Q99" t="str">
            <v/>
          </cell>
          <cell r="R99">
            <v>0</v>
          </cell>
          <cell r="S99">
            <v>0</v>
          </cell>
          <cell r="T99">
            <v>0</v>
          </cell>
          <cell r="U99">
            <v>1073.5111350000004</v>
          </cell>
          <cell r="V99">
            <v>1092.7462116666666</v>
          </cell>
          <cell r="W99">
            <v>1211.7870000000003</v>
          </cell>
          <cell r="X99">
            <v>-19.235076666666146</v>
          </cell>
          <cell r="Y99">
            <v>-138.27586499999984</v>
          </cell>
        </row>
        <row r="100">
          <cell r="Q100" t="str">
            <v/>
          </cell>
          <cell r="X100" t="str">
            <v/>
          </cell>
          <cell r="Y100" t="str">
            <v/>
          </cell>
        </row>
        <row r="101">
          <cell r="B101" t="str">
            <v>16 Other Overhead Costs</v>
          </cell>
          <cell r="Q101" t="str">
            <v/>
          </cell>
          <cell r="X101" t="str">
            <v/>
          </cell>
          <cell r="Y101" t="str">
            <v/>
          </cell>
        </row>
        <row r="102">
          <cell r="A102">
            <v>71</v>
          </cell>
          <cell r="B102" t="str">
            <v>Insurance (Other than employee)</v>
          </cell>
          <cell r="E102">
            <v>1.5</v>
          </cell>
          <cell r="F102">
            <v>1.5</v>
          </cell>
          <cell r="G102">
            <v>1.5</v>
          </cell>
          <cell r="H102">
            <v>1.5</v>
          </cell>
          <cell r="I102">
            <v>1.5</v>
          </cell>
          <cell r="J102">
            <v>1.5</v>
          </cell>
          <cell r="K102">
            <v>1.5</v>
          </cell>
          <cell r="L102">
            <v>1.5</v>
          </cell>
          <cell r="M102">
            <v>1.5</v>
          </cell>
          <cell r="N102">
            <v>1.5</v>
          </cell>
          <cell r="O102">
            <v>1.5</v>
          </cell>
          <cell r="P102">
            <v>1.5</v>
          </cell>
          <cell r="Q102" t="str">
            <v/>
          </cell>
          <cell r="T102">
            <v>0</v>
          </cell>
          <cell r="U102">
            <v>18</v>
          </cell>
          <cell r="V102">
            <v>15.72799</v>
          </cell>
          <cell r="W102">
            <v>20.826000000000001</v>
          </cell>
          <cell r="X102">
            <v>2.2720099999999999</v>
          </cell>
          <cell r="Y102">
            <v>-2.8260000000000005</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Q103" t="str">
            <v/>
          </cell>
          <cell r="T103">
            <v>0</v>
          </cell>
          <cell r="U103">
            <v>0</v>
          </cell>
          <cell r="V103">
            <v>0</v>
          </cell>
          <cell r="W103">
            <v>0</v>
          </cell>
          <cell r="X103">
            <v>0</v>
          </cell>
          <cell r="Y103">
            <v>0</v>
          </cell>
        </row>
        <row r="104">
          <cell r="A104">
            <v>73</v>
          </cell>
          <cell r="B104" t="str">
            <v>Travel &amp; Entertainment</v>
          </cell>
          <cell r="E104">
            <v>9</v>
          </cell>
          <cell r="F104">
            <v>9</v>
          </cell>
          <cell r="G104">
            <v>9</v>
          </cell>
          <cell r="H104">
            <v>9</v>
          </cell>
          <cell r="I104">
            <v>9</v>
          </cell>
          <cell r="J104">
            <v>9</v>
          </cell>
          <cell r="K104">
            <v>9</v>
          </cell>
          <cell r="L104">
            <v>9</v>
          </cell>
          <cell r="M104">
            <v>9</v>
          </cell>
          <cell r="N104">
            <v>9</v>
          </cell>
          <cell r="O104">
            <v>9</v>
          </cell>
          <cell r="P104">
            <v>9</v>
          </cell>
          <cell r="T104">
            <v>0</v>
          </cell>
          <cell r="U104">
            <v>108</v>
          </cell>
          <cell r="V104">
            <v>88.448200000000014</v>
          </cell>
          <cell r="W104">
            <v>70.89</v>
          </cell>
          <cell r="X104">
            <v>19.551799999999986</v>
          </cell>
          <cell r="Y104">
            <v>37.11</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52.978819999999992</v>
          </cell>
          <cell r="W105">
            <v>132.49100000000001</v>
          </cell>
          <cell r="X105">
            <v>-40.978819999999992</v>
          </cell>
          <cell r="Y105">
            <v>-120.49100000000001</v>
          </cell>
        </row>
        <row r="106">
          <cell r="A106">
            <v>75</v>
          </cell>
          <cell r="B106" t="str">
            <v>Credit Card Charges</v>
          </cell>
          <cell r="E106">
            <v>0</v>
          </cell>
          <cell r="F106">
            <v>0</v>
          </cell>
          <cell r="G106">
            <v>0</v>
          </cell>
          <cell r="H106">
            <v>0</v>
          </cell>
          <cell r="I106">
            <v>0</v>
          </cell>
          <cell r="J106">
            <v>0</v>
          </cell>
          <cell r="K106">
            <v>0</v>
          </cell>
          <cell r="L106">
            <v>0</v>
          </cell>
          <cell r="M106">
            <v>0</v>
          </cell>
          <cell r="N106">
            <v>0</v>
          </cell>
          <cell r="O106">
            <v>0</v>
          </cell>
          <cell r="P106">
            <v>0</v>
          </cell>
          <cell r="T106">
            <v>0</v>
          </cell>
          <cell r="U106">
            <v>0</v>
          </cell>
          <cell r="V106">
            <v>0.22500000000000001</v>
          </cell>
          <cell r="W106">
            <v>0</v>
          </cell>
          <cell r="X106">
            <v>-0.22500000000000001</v>
          </cell>
          <cell r="Y106">
            <v>0</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v>
          </cell>
          <cell r="F108">
            <v>0</v>
          </cell>
          <cell r="G108">
            <v>0</v>
          </cell>
          <cell r="H108">
            <v>0</v>
          </cell>
          <cell r="I108">
            <v>0</v>
          </cell>
          <cell r="J108">
            <v>0</v>
          </cell>
          <cell r="K108">
            <v>0</v>
          </cell>
          <cell r="L108">
            <v>0</v>
          </cell>
          <cell r="M108">
            <v>0</v>
          </cell>
          <cell r="N108">
            <v>0</v>
          </cell>
          <cell r="O108">
            <v>0</v>
          </cell>
          <cell r="P108">
            <v>0</v>
          </cell>
          <cell r="T108">
            <v>0</v>
          </cell>
          <cell r="U108">
            <v>0</v>
          </cell>
          <cell r="V108">
            <v>0</v>
          </cell>
          <cell r="W108">
            <v>0</v>
          </cell>
          <cell r="X108">
            <v>0</v>
          </cell>
          <cell r="Y108">
            <v>0</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0.5</v>
          </cell>
          <cell r="F111">
            <v>0.5</v>
          </cell>
          <cell r="G111">
            <v>0.5</v>
          </cell>
          <cell r="H111">
            <v>0.5</v>
          </cell>
          <cell r="I111">
            <v>0.5</v>
          </cell>
          <cell r="J111">
            <v>0.5</v>
          </cell>
          <cell r="K111">
            <v>0.5</v>
          </cell>
          <cell r="L111">
            <v>0.5</v>
          </cell>
          <cell r="M111">
            <v>0.5</v>
          </cell>
          <cell r="N111">
            <v>0.5</v>
          </cell>
          <cell r="O111">
            <v>0.5</v>
          </cell>
          <cell r="P111">
            <v>0.5</v>
          </cell>
          <cell r="T111">
            <v>0</v>
          </cell>
          <cell r="U111">
            <v>6</v>
          </cell>
          <cell r="V111">
            <v>3.9910000000000005</v>
          </cell>
          <cell r="W111">
            <v>3.956</v>
          </cell>
          <cell r="X111">
            <v>2.0089999999999995</v>
          </cell>
          <cell r="Y111">
            <v>2.044</v>
          </cell>
        </row>
        <row r="112">
          <cell r="A112">
            <v>81</v>
          </cell>
          <cell r="B112" t="str">
            <v>Telephone &amp; Faxes</v>
          </cell>
          <cell r="E112">
            <v>10</v>
          </cell>
          <cell r="F112">
            <v>10</v>
          </cell>
          <cell r="G112">
            <v>10</v>
          </cell>
          <cell r="H112">
            <v>10</v>
          </cell>
          <cell r="I112">
            <v>10</v>
          </cell>
          <cell r="J112">
            <v>10</v>
          </cell>
          <cell r="K112">
            <v>10</v>
          </cell>
          <cell r="L112">
            <v>10</v>
          </cell>
          <cell r="M112">
            <v>10</v>
          </cell>
          <cell r="N112">
            <v>10</v>
          </cell>
          <cell r="O112">
            <v>10</v>
          </cell>
          <cell r="P112">
            <v>10</v>
          </cell>
          <cell r="T112">
            <v>0</v>
          </cell>
          <cell r="U112">
            <v>120</v>
          </cell>
          <cell r="V112">
            <v>127.40438999999998</v>
          </cell>
          <cell r="W112">
            <v>98.522999999999996</v>
          </cell>
          <cell r="X112">
            <v>-7.404389999999978</v>
          </cell>
          <cell r="Y112">
            <v>21.477000000000004</v>
          </cell>
        </row>
        <row r="113">
          <cell r="A113">
            <v>82</v>
          </cell>
          <cell r="B113" t="str">
            <v>Stationery &amp; Printing</v>
          </cell>
          <cell r="E113">
            <v>3</v>
          </cell>
          <cell r="F113">
            <v>3</v>
          </cell>
          <cell r="G113">
            <v>3</v>
          </cell>
          <cell r="H113">
            <v>3</v>
          </cell>
          <cell r="I113">
            <v>3</v>
          </cell>
          <cell r="J113">
            <v>3</v>
          </cell>
          <cell r="K113">
            <v>3</v>
          </cell>
          <cell r="L113">
            <v>3</v>
          </cell>
          <cell r="M113">
            <v>3</v>
          </cell>
          <cell r="N113">
            <v>3</v>
          </cell>
          <cell r="O113">
            <v>3</v>
          </cell>
          <cell r="P113">
            <v>3</v>
          </cell>
          <cell r="T113">
            <v>0</v>
          </cell>
          <cell r="U113">
            <v>36</v>
          </cell>
          <cell r="V113">
            <v>34.327619999999996</v>
          </cell>
          <cell r="W113">
            <v>33.523000000000003</v>
          </cell>
          <cell r="X113">
            <v>1.672380000000004</v>
          </cell>
          <cell r="Y113">
            <v>2.4769999999999968</v>
          </cell>
        </row>
        <row r="114">
          <cell r="A114">
            <v>83</v>
          </cell>
          <cell r="B114" t="str">
            <v>Uniforms &amp; Laundry</v>
          </cell>
          <cell r="E114">
            <v>0</v>
          </cell>
          <cell r="F114">
            <v>0</v>
          </cell>
          <cell r="G114">
            <v>0</v>
          </cell>
          <cell r="H114">
            <v>0</v>
          </cell>
          <cell r="I114">
            <v>0</v>
          </cell>
          <cell r="J114">
            <v>0</v>
          </cell>
          <cell r="K114">
            <v>0</v>
          </cell>
          <cell r="L114">
            <v>0</v>
          </cell>
          <cell r="M114">
            <v>0</v>
          </cell>
          <cell r="N114">
            <v>0</v>
          </cell>
          <cell r="O114">
            <v>0</v>
          </cell>
          <cell r="P114">
            <v>0</v>
          </cell>
          <cell r="T114">
            <v>0</v>
          </cell>
          <cell r="U114">
            <v>0</v>
          </cell>
          <cell r="V114">
            <v>0</v>
          </cell>
          <cell r="W114">
            <v>0</v>
          </cell>
          <cell r="X114">
            <v>0</v>
          </cell>
          <cell r="Y114">
            <v>0</v>
          </cell>
        </row>
        <row r="115">
          <cell r="A115">
            <v>84</v>
          </cell>
          <cell r="B115" t="str">
            <v>Freight</v>
          </cell>
          <cell r="E115">
            <v>2</v>
          </cell>
          <cell r="F115">
            <v>2</v>
          </cell>
          <cell r="G115">
            <v>2</v>
          </cell>
          <cell r="H115">
            <v>2</v>
          </cell>
          <cell r="I115">
            <v>2</v>
          </cell>
          <cell r="J115">
            <v>2</v>
          </cell>
          <cell r="K115">
            <v>2</v>
          </cell>
          <cell r="L115">
            <v>2</v>
          </cell>
          <cell r="M115">
            <v>2</v>
          </cell>
          <cell r="N115">
            <v>2</v>
          </cell>
          <cell r="O115">
            <v>2</v>
          </cell>
          <cell r="P115">
            <v>2</v>
          </cell>
          <cell r="T115">
            <v>0</v>
          </cell>
          <cell r="U115">
            <v>24</v>
          </cell>
          <cell r="V115">
            <v>12.452110000000003</v>
          </cell>
          <cell r="W115">
            <v>33.911999999999999</v>
          </cell>
          <cell r="X115">
            <v>11.547889999999997</v>
          </cell>
          <cell r="Y115">
            <v>-9.911999999999999</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3.7499999999999999E-2</v>
          </cell>
          <cell r="F117">
            <v>3.7499999999999999E-2</v>
          </cell>
          <cell r="G117">
            <v>3.7499999999999999E-2</v>
          </cell>
          <cell r="H117">
            <v>3.7499999999999999E-2</v>
          </cell>
          <cell r="I117">
            <v>3.7499999999999999E-2</v>
          </cell>
          <cell r="J117">
            <v>3.7499999999999999E-2</v>
          </cell>
          <cell r="K117">
            <v>3.7499999999999999E-2</v>
          </cell>
          <cell r="L117">
            <v>3.7499999999999999E-2</v>
          </cell>
          <cell r="M117">
            <v>3.7499999999999999E-2</v>
          </cell>
          <cell r="N117">
            <v>3.7499999999999999E-2</v>
          </cell>
          <cell r="O117">
            <v>3.7499999999999999E-2</v>
          </cell>
          <cell r="P117">
            <v>3.7499999999999999E-2</v>
          </cell>
          <cell r="T117">
            <v>0</v>
          </cell>
          <cell r="U117">
            <v>0.45</v>
          </cell>
          <cell r="V117">
            <v>0.72349999999999992</v>
          </cell>
          <cell r="W117">
            <v>0.77700000000000002</v>
          </cell>
          <cell r="X117">
            <v>-0.27350000000000002</v>
          </cell>
          <cell r="Y117">
            <v>-0.32700000000000012</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1.0326508291666667</v>
          </cell>
          <cell r="F119">
            <v>1.0326508291666667</v>
          </cell>
          <cell r="G119">
            <v>1.0123508291666667</v>
          </cell>
          <cell r="H119">
            <v>1.0036508291666666</v>
          </cell>
          <cell r="I119">
            <v>1.0036508291666666</v>
          </cell>
          <cell r="J119">
            <v>1.0036508291666666</v>
          </cell>
          <cell r="K119">
            <v>1.0244177291666667</v>
          </cell>
          <cell r="L119">
            <v>1.0244177291666667</v>
          </cell>
          <cell r="M119">
            <v>1.0244177291666667</v>
          </cell>
          <cell r="N119">
            <v>1.0244177291666667</v>
          </cell>
          <cell r="O119">
            <v>1.0244177291666667</v>
          </cell>
          <cell r="P119">
            <v>1.0244177291666667</v>
          </cell>
          <cell r="T119">
            <v>0</v>
          </cell>
          <cell r="U119">
            <v>12.235111349999997</v>
          </cell>
          <cell r="V119">
            <v>14.345000000000001</v>
          </cell>
          <cell r="W119">
            <v>11.03</v>
          </cell>
          <cell r="X119">
            <v>-2.1098886500000038</v>
          </cell>
          <cell r="Y119">
            <v>1.2051113499999975</v>
          </cell>
        </row>
        <row r="120">
          <cell r="A120">
            <v>89</v>
          </cell>
          <cell r="B120" t="str">
            <v>Security</v>
          </cell>
          <cell r="E120">
            <v>0</v>
          </cell>
          <cell r="F120">
            <v>0</v>
          </cell>
          <cell r="G120">
            <v>0</v>
          </cell>
          <cell r="H120">
            <v>0</v>
          </cell>
          <cell r="I120">
            <v>0</v>
          </cell>
          <cell r="J120">
            <v>0</v>
          </cell>
          <cell r="K120">
            <v>0</v>
          </cell>
          <cell r="L120">
            <v>0</v>
          </cell>
          <cell r="M120">
            <v>0</v>
          </cell>
          <cell r="N120">
            <v>0</v>
          </cell>
          <cell r="O120">
            <v>0</v>
          </cell>
          <cell r="P120">
            <v>0</v>
          </cell>
          <cell r="U120">
            <v>0</v>
          </cell>
          <cell r="V120">
            <v>0</v>
          </cell>
          <cell r="W120">
            <v>0</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9</v>
          </cell>
          <cell r="F124">
            <v>9</v>
          </cell>
          <cell r="G124">
            <v>9</v>
          </cell>
          <cell r="H124">
            <v>9</v>
          </cell>
          <cell r="I124">
            <v>9</v>
          </cell>
          <cell r="J124">
            <v>9</v>
          </cell>
          <cell r="K124">
            <v>9</v>
          </cell>
          <cell r="L124">
            <v>9</v>
          </cell>
          <cell r="M124">
            <v>9</v>
          </cell>
          <cell r="N124">
            <v>9</v>
          </cell>
          <cell r="O124">
            <v>9</v>
          </cell>
          <cell r="P124">
            <v>9</v>
          </cell>
          <cell r="T124">
            <v>0</v>
          </cell>
          <cell r="U124">
            <v>108</v>
          </cell>
          <cell r="V124">
            <v>145.4151</v>
          </cell>
          <cell r="W124">
            <v>288.55</v>
          </cell>
          <cell r="X124">
            <v>-37.415099999999995</v>
          </cell>
          <cell r="Y124">
            <v>-180.55</v>
          </cell>
        </row>
        <row r="125">
          <cell r="C125">
            <v>0</v>
          </cell>
          <cell r="E125">
            <v>37.070150829166664</v>
          </cell>
          <cell r="F125">
            <v>37.070150829166664</v>
          </cell>
          <cell r="G125">
            <v>37.049850829166672</v>
          </cell>
          <cell r="H125">
            <v>37.041150829166668</v>
          </cell>
          <cell r="I125">
            <v>37.041150829166668</v>
          </cell>
          <cell r="J125">
            <v>37.041150829166668</v>
          </cell>
          <cell r="K125">
            <v>37.061917729166666</v>
          </cell>
          <cell r="L125">
            <v>37.061917729166666</v>
          </cell>
          <cell r="M125">
            <v>37.061917729166666</v>
          </cell>
          <cell r="N125">
            <v>37.061917729166666</v>
          </cell>
          <cell r="O125">
            <v>37.061917729166666</v>
          </cell>
          <cell r="P125">
            <v>37.061917729166666</v>
          </cell>
          <cell r="R125">
            <v>0</v>
          </cell>
          <cell r="S125">
            <v>0</v>
          </cell>
          <cell r="T125">
            <v>0</v>
          </cell>
          <cell r="U125">
            <v>444.68511135</v>
          </cell>
          <cell r="V125">
            <v>496.03873000000004</v>
          </cell>
          <cell r="W125">
            <v>694.47800000000007</v>
          </cell>
          <cell r="X125">
            <v>-51.353618650000044</v>
          </cell>
          <cell r="Y125">
            <v>-249.79288865000007</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Mgme fee income - CGV</v>
          </cell>
          <cell r="E129">
            <v>-18.3</v>
          </cell>
          <cell r="F129">
            <v>-18.3</v>
          </cell>
          <cell r="G129">
            <v>-18.3</v>
          </cell>
          <cell r="H129">
            <v>-18.3</v>
          </cell>
          <cell r="I129">
            <v>-18.3</v>
          </cell>
          <cell r="J129">
            <v>-18.3</v>
          </cell>
          <cell r="K129">
            <v>-18.3</v>
          </cell>
          <cell r="L129">
            <v>-18.3</v>
          </cell>
          <cell r="M129">
            <v>-18.3</v>
          </cell>
          <cell r="N129">
            <v>-18.3</v>
          </cell>
          <cell r="O129">
            <v>-18.3</v>
          </cell>
          <cell r="P129">
            <v>-18.3</v>
          </cell>
          <cell r="T129">
            <v>0</v>
          </cell>
          <cell r="U129">
            <v>-219.6</v>
          </cell>
          <cell r="V129">
            <v>-52.8</v>
          </cell>
          <cell r="W129">
            <v>-52.8</v>
          </cell>
          <cell r="X129">
            <v>-166.8</v>
          </cell>
          <cell r="Y129">
            <v>-166.8</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F132" t="str">
            <v/>
          </cell>
          <cell r="T132">
            <v>0</v>
          </cell>
          <cell r="X132" t="str">
            <v/>
          </cell>
          <cell r="Y132" t="str">
            <v/>
          </cell>
        </row>
        <row r="133">
          <cell r="C133">
            <v>0</v>
          </cell>
          <cell r="E133">
            <v>-18.3</v>
          </cell>
          <cell r="F133">
            <v>-18.3</v>
          </cell>
          <cell r="G133">
            <v>-18.3</v>
          </cell>
          <cell r="H133">
            <v>-18.3</v>
          </cell>
          <cell r="I133">
            <v>-18.3</v>
          </cell>
          <cell r="J133">
            <v>-18.3</v>
          </cell>
          <cell r="K133">
            <v>-18.3</v>
          </cell>
          <cell r="L133">
            <v>-18.3</v>
          </cell>
          <cell r="M133">
            <v>-18.3</v>
          </cell>
          <cell r="N133">
            <v>-18.3</v>
          </cell>
          <cell r="O133">
            <v>-18.3</v>
          </cell>
          <cell r="P133">
            <v>-18.3</v>
          </cell>
          <cell r="R133">
            <v>0</v>
          </cell>
          <cell r="S133">
            <v>0</v>
          </cell>
          <cell r="T133">
            <v>0</v>
          </cell>
          <cell r="U133">
            <v>-219.6</v>
          </cell>
          <cell r="V133">
            <v>-52.8</v>
          </cell>
          <cell r="W133">
            <v>-52.8</v>
          </cell>
          <cell r="X133">
            <v>-166.8</v>
          </cell>
          <cell r="Y133">
            <v>-166.8</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12">
          <cell r="E12">
            <v>1400</v>
          </cell>
        </row>
      </sheetData>
      <sheetData sheetId="59">
        <row r="11">
          <cell r="A11">
            <v>1</v>
          </cell>
        </row>
      </sheetData>
      <sheetData sheetId="60">
        <row r="11">
          <cell r="A11">
            <v>1</v>
          </cell>
        </row>
      </sheetData>
      <sheetData sheetId="61">
        <row r="11">
          <cell r="A11">
            <v>1</v>
          </cell>
        </row>
      </sheetData>
      <sheetData sheetId="62">
        <row r="11">
          <cell r="A11">
            <v>1</v>
          </cell>
        </row>
      </sheetData>
      <sheetData sheetId="63">
        <row r="11">
          <cell r="A11">
            <v>1</v>
          </cell>
        </row>
      </sheetData>
      <sheetData sheetId="64">
        <row r="11">
          <cell r="A11">
            <v>1</v>
          </cell>
        </row>
      </sheetData>
      <sheetData sheetId="65">
        <row r="11">
          <cell r="A11">
            <v>1</v>
          </cell>
        </row>
      </sheetData>
      <sheetData sheetId="66">
        <row r="11">
          <cell r="A11">
            <v>1</v>
          </cell>
        </row>
      </sheetData>
      <sheetData sheetId="67">
        <row r="11">
          <cell r="A11">
            <v>1</v>
          </cell>
        </row>
      </sheetData>
      <sheetData sheetId="68">
        <row r="11">
          <cell r="A11">
            <v>1</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box"/>
    </sheetNames>
    <definedNames>
      <definedName name="box2_select"/>
      <definedName name="OptionChk1"/>
      <definedName name="OptionChk2"/>
      <definedName name="OptionChk3"/>
    </definedNames>
    <sheetDataSet>
      <sheetData sheetId="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_res"/>
      <sheetName val="CRITERIA3"/>
      <sheetName val="CRITERIA1"/>
      <sheetName val="InputPO_Del"/>
      <sheetName val="Summary"/>
      <sheetName val="Compiled P&amp;L"/>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ARY-UPLOAD"/>
      <sheetName val="SALARY-DETAILS"/>
      <sheetName val="ALL-IBANK-BRS"/>
      <sheetName val="ALL_IBANK_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 sheetId="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PAP Reco"/>
      <sheetName val="Subsidiary Operating Profit"/>
      <sheetName val="Borrowing Bifurcation"/>
      <sheetName val="Interest Allocation Sheet"/>
      <sheetName val="PAP Memo"/>
      <sheetName val="Non Fund"/>
      <sheetName val="Esti report"/>
      <sheetName val="SPR"/>
      <sheetName val="Facility"/>
      <sheetName val="PAP"/>
      <sheetName val="Borrowing"/>
      <sheetName val="B S"/>
      <sheetName val="BOD BS"/>
      <sheetName val="deb"/>
      <sheetName val="InfraTL-COB"/>
      <sheetName val="Yield-COB"/>
      <sheetName val="Yield-COB sum"/>
      <sheetName val="Cntrl Sheet"/>
      <sheetName val="Interest"/>
      <sheetName val="Sheet2"/>
      <sheetName val="STAS"/>
      <sheetName val="Seg. report"/>
      <sheetName val="note_to_RP"/>
      <sheetName val="P L"/>
      <sheetName val="Yield-backup"/>
      <sheetName val="DTPL"/>
      <sheetName val="Cashflow"/>
      <sheetName val="BOD PL"/>
      <sheetName val="prof"/>
      <sheetName val="Bal"/>
      <sheetName val="Keyratios"/>
      <sheetName val="Key Ratio Back up"/>
      <sheetName val="Treasury MIS"/>
      <sheetName val="Proprietory MIS"/>
      <sheetName val="MIS reports"/>
      <sheetName val="Demerged"/>
      <sheetName val="Interest on IL&amp;FS lOANS"/>
      <sheetName val="Shantaram"/>
      <sheetName val="dAILY aVERAGE"/>
      <sheetName val="Daily Averages"/>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refreshError="1"/>
      <sheetData sheetId="13"/>
      <sheetData sheetId="14"/>
      <sheetData sheetId="15"/>
      <sheetData sheetId="16" refreshError="1"/>
      <sheetData sheetId="17"/>
      <sheetData sheetId="18" refreshError="1"/>
      <sheetData sheetId="19" refreshError="1"/>
      <sheetData sheetId="20"/>
      <sheetData sheetId="21"/>
      <sheetData sheetId="22"/>
      <sheetData sheetId="23"/>
      <sheetData sheetId="24" refreshError="1"/>
      <sheetData sheetId="25"/>
      <sheetData sheetId="26" refreshError="1"/>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s"/>
      <sheetName val="BS"/>
      <sheetName val="PL"/>
      <sheetName val="MC"/>
      <sheetName val="CF"/>
      <sheetName val="Cash flows"/>
      <sheetName val="Rates"/>
      <sheetName val="Entries'03"/>
      <sheetName val="Bal sheet"/>
      <sheetName val="Equity roll forward"/>
      <sheetName val="Groupings 2004"/>
      <sheetName val="Inc Statement"/>
      <sheetName val="India CF"/>
      <sheetName val="UK CF"/>
      <sheetName val="India Cons"/>
      <sheetName val="UK Cons"/>
      <sheetName val="US BS&amp;PL"/>
      <sheetName val="Italy-BS&amp;PL"/>
      <sheetName val="UK-BS&amp;PL"/>
      <sheetName val="India-BS&amp;PL"/>
      <sheetName val="Mectrac-BS&amp;PL"/>
      <sheetName val="US-grpg"/>
      <sheetName val="US-BS"/>
      <sheetName val="US P&amp;L"/>
      <sheetName val="India-grpg"/>
      <sheetName val="Salary Direct - indirect"/>
      <sheetName val="TB-India"/>
      <sheetName val="Fx Gain"/>
      <sheetName val="UK-grpg"/>
      <sheetName val="TB-UK"/>
      <sheetName val="Italy-grpg"/>
      <sheetName val="TB-ITALY"/>
      <sheetName val="Mectrac-grpg"/>
      <sheetName val="TB-Mectrac"/>
      <sheetName val="TB - Inc."/>
      <sheetName val="Sheet4"/>
      <sheetName val="Groupings 2003 (2)"/>
      <sheetName val="Sheet2"/>
      <sheetName val="Sheet1"/>
      <sheetName val="FN-CHN"/>
      <sheetName val="TB-CHN"/>
      <sheetName val="FN-GER"/>
      <sheetName val="TB-GER"/>
      <sheetName val="FN-IND"/>
      <sheetName val="ERF"/>
      <sheetName val="CF-W"/>
      <sheetName val="Consol"/>
      <sheetName val="FN-LLC"/>
      <sheetName val="GP-LLC"/>
      <sheetName val="TB-LLC"/>
      <sheetName val="FN-IND-C"/>
      <sheetName val="GP-IND"/>
      <sheetName val="TB-IND"/>
      <sheetName val="FN-MEC"/>
      <sheetName val="GP-MEC"/>
      <sheetName val="TB-MEC"/>
      <sheetName val="FN-ITL"/>
      <sheetName val="TB-ITL"/>
      <sheetName val="FN-UKL-C"/>
      <sheetName val="FN-UKL"/>
      <sheetName val="GP-UKL"/>
      <sheetName val="TB-UKL"/>
      <sheetName val="FN-ITB"/>
      <sheetName val="GP-ITB"/>
      <sheetName val="TB-ITB"/>
      <sheetName val="TB-INC"/>
      <sheetName val="FN-INC"/>
      <sheetName val="FN-JAPAN"/>
      <sheetName val="FN-QMLLC"/>
      <sheetName val="FN-UK"/>
      <sheetName val="GP-UK"/>
      <sheetName val="GP-ITL"/>
      <sheetName val="FN-QMPL"/>
      <sheetName val="GP-GER"/>
      <sheetName val="Chart of Account"/>
    </sheetNames>
    <sheetDataSet>
      <sheetData sheetId="0" refreshError="1"/>
      <sheetData sheetId="1" refreshError="1"/>
      <sheetData sheetId="2" refreshError="1"/>
      <sheetData sheetId="3" refreshError="1"/>
      <sheetData sheetId="4" refreshError="1"/>
      <sheetData sheetId="5" refreshError="1"/>
      <sheetData sheetId="6" refreshError="1">
        <row r="3">
          <cell r="C3">
            <v>1.8345494353537681</v>
          </cell>
          <cell r="D3">
            <v>1.7032982262862177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ABC (2)"/>
      <sheetName val="Part ABC"/>
      <sheetName val="Sheet1 "/>
      <sheetName val="Part D"/>
      <sheetName val="Internal CAPAD (2)"/>
      <sheetName val="Internal CAPAD"/>
      <sheetName val="Exposure Anx III "/>
      <sheetName val="B S-31-3-2006"/>
      <sheetName val="RBI_Assets"/>
      <sheetName val="capitall_Banks"/>
      <sheetName val="capitalall"/>
      <sheetName val="B S"/>
      <sheetName val="CAPADwithout SubDebt"/>
      <sheetName val="Summary"/>
      <sheetName val="Ratings_Basel"/>
      <sheetName val="Ratings_Internal"/>
      <sheetName val="Bkp-rated"/>
      <sheetName val="August"/>
      <sheetName val="Exp Sep 2005"/>
      <sheetName val="Subdebts"/>
      <sheetName val="August (2)"/>
      <sheetName val="Part E"/>
      <sheetName val="Exposure"/>
      <sheetName val="Yield-COB sum"/>
      <sheetName val="MIS re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port Setup Sheet"/>
      <sheetName val="Business Summary Financial"/>
      <sheetName val="Unit Breakup"/>
      <sheetName val="Segment"/>
      <sheetName val="Ughai"/>
      <sheetName val="KPM"/>
      <sheetName val="Project Progress"/>
      <sheetName val="Initiative Progress"/>
      <sheetName val="Business Position Paper"/>
      <sheetName val="Consolidated Business"/>
      <sheetName val="Unit1"/>
      <sheetName val="Unit2"/>
      <sheetName val="Unit3"/>
      <sheetName val="Unit4"/>
      <sheetName val="Unit5"/>
      <sheetName val="Unit6"/>
      <sheetName val="Unit7"/>
      <sheetName val="Unit8"/>
      <sheetName val="Unit9"/>
      <sheetName val="Unit10"/>
      <sheetName val="Unit11"/>
      <sheetName val="Unit12"/>
      <sheetName val="Unit13"/>
      <sheetName val="Unit14"/>
      <sheetName val="Unit15"/>
    </sheetNames>
    <sheetDataSet>
      <sheetData sheetId="0" refreshError="1"/>
      <sheetData sheetId="1" refreshError="1">
        <row r="50">
          <cell r="B50" t="str">
            <v>Carbon Black</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ng"/>
      <sheetName val="Misc"/>
      <sheetName val="Summary"/>
      <sheetName val="Rollup"/>
      <sheetName val="Assumptions"/>
      <sheetName val="A.O.R."/>
    </sheetNames>
    <sheetDataSet>
      <sheetData sheetId="0" refreshError="1"/>
      <sheetData sheetId="1" refreshError="1"/>
      <sheetData sheetId="2"/>
      <sheetData sheetId="3" refreshError="1">
        <row r="25">
          <cell r="E25" t="str">
            <v>x</v>
          </cell>
        </row>
        <row r="26">
          <cell r="E26" t="str">
            <v>X</v>
          </cell>
        </row>
      </sheetData>
      <sheetData sheetId="4" refreshError="1"/>
      <sheetData sheetId="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epn Sch"/>
      <sheetName val="Rates"/>
      <sheetName val="architect fees"/>
      <sheetName val="Monalisa - Lease Hold"/>
      <sheetName val="Depreciation Lease"/>
      <sheetName val="Asset Card"/>
      <sheetName val="Sheet3"/>
      <sheetName val="Other"/>
      <sheetName val="Summary"/>
      <sheetName val="Tools Rev"/>
      <sheetName val="G110"/>
      <sheetName val="ReBS"/>
      <sheetName val="SCH-A"/>
      <sheetName val="Debtors reco with GL"/>
      <sheetName val="MAY"/>
      <sheetName val="Cash Flow Forecast_USD"/>
      <sheetName val="OG-EP"/>
      <sheetName val="Ion NewCo"/>
      <sheetName val="NOTES"/>
      <sheetName val="OKS Data"/>
      <sheetName val="30.09.00"/>
      <sheetName val="#REF"/>
      <sheetName val="fa"/>
      <sheetName val="DHL KL Revenue"/>
      <sheetName val="P&amp;L"/>
      <sheetName val="SCH-A,B,C"/>
      <sheetName val="Travel Expense Report(1week)"/>
      <sheetName val="MTD Prod Support Drill2"/>
      <sheetName val="to be cost adjusted up"/>
      <sheetName val="Positions "/>
      <sheetName val="HYD"/>
      <sheetName val="Logistics"/>
      <sheetName val="Consol"/>
      <sheetName val="WNS UK P1"/>
      <sheetName val="Ann -1"/>
      <sheetName val="mp_rev"/>
      <sheetName val="Summary "/>
      <sheetName val="Misc"/>
      <sheetName val="Break up Sheet"/>
      <sheetName val="UK"/>
      <sheetName val="Rate_dec02"/>
      <sheetName val="Rate_Table"/>
      <sheetName val="Resource_Table"/>
      <sheetName val="Sheet1"/>
      <sheetName val="Payroll_Statement"/>
      <sheetName val="Exchange Rates"/>
      <sheetName val="May09"/>
      <sheetName val="feb 09"/>
      <sheetName val="CFA-INFORMATION"/>
      <sheetName val="PV"/>
      <sheetName val="PopCache"/>
      <sheetName val="List"/>
      <sheetName val="PL"/>
      <sheetName val="INV"/>
      <sheetName val="R.1.5_GL Dump"/>
      <sheetName val="3A - Segment Calculation"/>
      <sheetName val="Schedules"/>
      <sheetName val="__ls___ls___ls___ls___ls___ls_J"/>
      <sheetName val="__ls___ls___ls___ls___ls___ls_A"/>
      <sheetName val="vendor listing (2)"/>
      <sheetName val="Depn_Sch"/>
      <sheetName val="architect_fees"/>
      <sheetName val="Monalisa_-_Lease_Hold"/>
      <sheetName val="Depreciation_Lease"/>
      <sheetName val="Asset_Card"/>
      <sheetName val="Debtors_reco_with_GL"/>
      <sheetName val="Cash_Flow_Forecast_USD"/>
      <sheetName val="Tools_Rev"/>
      <sheetName val="DHL_KL_Revenue"/>
      <sheetName val="WNS_UK_P1"/>
      <sheetName val="Positions_"/>
      <sheetName val="Ann_-1"/>
      <sheetName val="OKS_Data"/>
      <sheetName val="30_09_00"/>
      <sheetName val="Summary_"/>
      <sheetName val="Ion_NewCo"/>
      <sheetName val="Break_up_Sheet"/>
      <sheetName val="Travel_Expense_Report(1week)"/>
      <sheetName val="MTD_Prod_Support_Drill2"/>
      <sheetName val="to_be_cost_adjusted_up"/>
      <sheetName val="Exchange_Rates"/>
      <sheetName val="feb_09"/>
      <sheetName val="Sheet16"/>
      <sheetName val="Parameters"/>
      <sheetName val="Depn_Sch1"/>
      <sheetName val="architect_fees1"/>
      <sheetName val="Monalisa_-_Lease_Hold1"/>
      <sheetName val="Depreciation_Lease1"/>
      <sheetName val="Asset_Card1"/>
      <sheetName val="Debtors_reco_with_GL1"/>
      <sheetName val="Cash_Flow_Forecast_USD1"/>
      <sheetName val="Tools_Rev1"/>
      <sheetName val="DHL_KL_Revenue1"/>
      <sheetName val="WNS_UK_P11"/>
      <sheetName val="Positions_1"/>
      <sheetName val="Ann_-11"/>
      <sheetName val="OKS_Data1"/>
      <sheetName val="30_09_001"/>
      <sheetName val="Summary_1"/>
      <sheetName val="Ion_NewCo1"/>
      <sheetName val="Break_up_Sheet1"/>
      <sheetName val="Travel_Expense_Report(1week)1"/>
      <sheetName val="MTD_Prod_Support_Drill21"/>
      <sheetName val="to_be_cost_adjusted_up1"/>
      <sheetName val="Exchange_Rates1"/>
      <sheetName val="feb_091"/>
      <sheetName val="R_1_5_GL_Dump"/>
      <sheetName val="3A_-_Segment_Calculation"/>
      <sheetName val="vendor_listing_(2)"/>
      <sheetName val="Depn_Sch2"/>
      <sheetName val="architect_fees2"/>
      <sheetName val="Monalisa_-_Lease_Hold2"/>
      <sheetName val="Depreciation_Lease2"/>
      <sheetName val="Asset_Card2"/>
      <sheetName val="Debtors_reco_with_GL2"/>
      <sheetName val="Cash_Flow_Forecast_USD2"/>
      <sheetName val="Tools_Rev2"/>
      <sheetName val="DHL_KL_Revenue2"/>
      <sheetName val="WNS_UK_P12"/>
      <sheetName val="Positions_2"/>
      <sheetName val="Ann_-12"/>
      <sheetName val="OKS_Data2"/>
      <sheetName val="30_09_002"/>
      <sheetName val="Summary_2"/>
      <sheetName val="Ion_NewCo2"/>
      <sheetName val="Break_up_Sheet2"/>
      <sheetName val="Travel_Expense_Report(1week)2"/>
      <sheetName val="MTD_Prod_Support_Drill22"/>
      <sheetName val="to_be_cost_adjusted_up2"/>
      <sheetName val="Exchange_Rates2"/>
      <sheetName val="feb_092"/>
      <sheetName val="R_1_5_GL_Dump1"/>
      <sheetName val="3A_-_Segment_Calculation1"/>
      <sheetName val="vendor_listing_(2)1"/>
      <sheetName val="Basic Details"/>
      <sheetName val="fidelity"/>
      <sheetName val="Query Results ALL"/>
      <sheetName val="Sheet2"/>
      <sheetName val="Comp with UP west"/>
      <sheetName val="STREET ESTIMATES"/>
      <sheetName val="License Summary Q2"/>
      <sheetName val="Input - 2000 Core Actual"/>
      <sheetName val="BDGET94"/>
      <sheetName val="Depn_Sch3"/>
      <sheetName val="architect_fees3"/>
      <sheetName val="Monalisa_-_Lease_Hold3"/>
      <sheetName val="Depreciation_Lease3"/>
      <sheetName val="Asset_Card3"/>
      <sheetName val="Debtors_reco_with_GL3"/>
      <sheetName val="Cash_Flow_Forecast_USD3"/>
      <sheetName val="Tools_Rev3"/>
      <sheetName val="DHL_KL_Revenue3"/>
      <sheetName val="WNS_UK_P13"/>
      <sheetName val="Summary_3"/>
      <sheetName val="Ion_NewCo3"/>
      <sheetName val="OKS_Data3"/>
      <sheetName val="30_09_003"/>
      <sheetName val="Positions_3"/>
      <sheetName val="Break_up_Sheet3"/>
      <sheetName val="Ann_-13"/>
      <sheetName val="Travel_Expense_Report(1week)3"/>
      <sheetName val="MTD_Prod_Support_Drill23"/>
      <sheetName val="to_be_cost_adjusted_up3"/>
      <sheetName val="Exchange_Rates3"/>
      <sheetName val="feb_093"/>
      <sheetName val="R_1_5_GL_Dump2"/>
      <sheetName val="3A_-_Segment_Calculation2"/>
      <sheetName val="vendor_listing_(2)2"/>
      <sheetName val="Gross_Rec"/>
      <sheetName val="QRE's"/>
      <sheetName val="Dallas Stuff"/>
      <sheetName val="qryAll_Regions"/>
      <sheetName val="UBS Q3"/>
      <sheetName val="RDY OPEN PO.APR.07"/>
      <sheetName val="PopCache_Sheet1"/>
      <sheetName val="Ref"/>
      <sheetName val="QCNL 100 BS"/>
      <sheetName val="Manual Inputs"/>
      <sheetName val="pack pnl-99"/>
      <sheetName val="Tax Computation"/>
      <sheetName val="Balance Sheet"/>
      <sheetName val="PO.Detail"/>
      <sheetName val="TRIAL BALANCE"/>
      <sheetName val="Groupings 2004"/>
      <sheetName val="Pronk"/>
      <sheetName val="FA Schedule"/>
      <sheetName val="Deletion"/>
      <sheetName val="Opening balance"/>
      <sheetName val="additions"/>
      <sheetName val="Closing balance"/>
      <sheetName val="Pivot for Dep charge"/>
      <sheetName val="２Ｒ 売上・収益推移"/>
      <sheetName val="12-19-00"/>
      <sheetName val="Distribution"/>
      <sheetName val="Depn_Sch4"/>
      <sheetName val="architect_fees4"/>
      <sheetName val="Monalisa_-_Lease_Hold4"/>
      <sheetName val="Depreciation_Lease4"/>
      <sheetName val="Asset_Card4"/>
      <sheetName val="Debtors_reco_with_GL4"/>
      <sheetName val="Cash_Flow_Forecast_USD4"/>
      <sheetName val="Tools_Rev4"/>
      <sheetName val="DHL_KL_Revenue4"/>
      <sheetName val="WNS_UK_P14"/>
      <sheetName val="Positions_4"/>
      <sheetName val="Ann_-14"/>
      <sheetName val="Summary_4"/>
      <sheetName val="Ion_NewCo4"/>
      <sheetName val="OKS_Data4"/>
      <sheetName val="30_09_004"/>
      <sheetName val="Break_up_Sheet4"/>
      <sheetName val="Travel_Expense_Report(1week)4"/>
      <sheetName val="MTD_Prod_Support_Drill24"/>
      <sheetName val="to_be_cost_adjusted_up4"/>
      <sheetName val="Exchange_Rates4"/>
      <sheetName val="feb_094"/>
      <sheetName val="R_1_5_GL_Dump3"/>
      <sheetName val="3A_-_Segment_Calculation3"/>
      <sheetName val="vendor_listing_(2)3"/>
      <sheetName val="Basic_Details"/>
      <sheetName val="Query_Results_ALL"/>
      <sheetName val="Comp_with_UP_west"/>
      <sheetName val="204eiffel"/>
      <sheetName val="Assumption"/>
      <sheetName val="Sensitivity "/>
      <sheetName val="Main Data Sheet"/>
      <sheetName val="Direct Cost"/>
      <sheetName val="P &amp; L Ac"/>
      <sheetName val="CRITERIA1"/>
      <sheetName val="15"/>
      <sheetName val="PM2"/>
      <sheetName val="Tables"/>
      <sheetName val="BS Rec Control Sheet"/>
      <sheetName val="PRINT-BL"/>
      <sheetName val="Lists"/>
      <sheetName val="P_L"/>
      <sheetName val="Details"/>
      <sheetName val="lookup"/>
      <sheetName val="ignore 0804"/>
      <sheetName val="IOPlan"/>
      <sheetName val="Balance Sheet "/>
      <sheetName val="To be Discuss"/>
      <sheetName val="Mohali_Rate"/>
      <sheetName val="D"/>
      <sheetName val="vlookup"/>
      <sheetName val="OI MONTH-YTD"/>
      <sheetName val="NS YTG"/>
      <sheetName val="%NS YTG vs PY"/>
      <sheetName val="OI YTG"/>
      <sheetName val="ROS YTG"/>
      <sheetName val="NS QTRS"/>
      <sheetName val="Company"/>
      <sheetName val="Applicability"/>
      <sheetName val="MERGER"/>
      <sheetName val="Table of Contents"/>
      <sheetName val="Grp-schs1"/>
      <sheetName val="Alloc CORP Summary"/>
      <sheetName val="Depn_Sch5"/>
      <sheetName val="architect_fees5"/>
      <sheetName val="Monalisa_-_Lease_Hold5"/>
      <sheetName val="Depreciation_Lease5"/>
      <sheetName val="Asset_Card5"/>
      <sheetName val="Ion_NewCo5"/>
      <sheetName val="OKS_Data5"/>
      <sheetName val="30_09_005"/>
      <sheetName val="Debtors_reco_with_GL5"/>
      <sheetName val="Cash_Flow_Forecast_USD5"/>
      <sheetName val="Tools_Rev5"/>
      <sheetName val="DHL_KL_Revenue5"/>
      <sheetName val="Positions_5"/>
      <sheetName val="Break_up_Sheet5"/>
      <sheetName val="WNS_UK_P15"/>
      <sheetName val="Summary_5"/>
      <sheetName val="Travel_Expense_Report(1week)5"/>
      <sheetName val="MTD_Prod_Support_Drill25"/>
      <sheetName val="to_be_cost_adjusted_up5"/>
      <sheetName val="Ann_-15"/>
      <sheetName val="Basic_Details1"/>
      <sheetName val="FA_Schedule"/>
      <sheetName val="Opening_balance"/>
      <sheetName val="Closing_balance"/>
      <sheetName val="Pivot_for_Dep_charge"/>
      <sheetName val="Comp_with_UP_west1"/>
      <sheetName val="STREET_ESTIMATES"/>
      <sheetName val="License_Summary_Q2"/>
      <sheetName val="Input_-_2000_Core_Actual"/>
      <sheetName val="feb_095"/>
      <sheetName val="R_1_5_GL_Dump4"/>
      <sheetName val="3A_-_Segment_Calculation4"/>
      <sheetName val="Exchange_Rates5"/>
      <sheetName val="vendor_listing_(2)4"/>
      <sheetName val="Query_Results_ALL1"/>
      <sheetName val="pack_pnl-99"/>
      <sheetName val="Tax_Computation"/>
      <sheetName val="QCNL_100_BS"/>
      <sheetName val="Manual_Inputs"/>
      <sheetName val="ignore_0804"/>
      <sheetName val="Dallas_Stuff"/>
      <sheetName val="UBS_Q3"/>
      <sheetName val="RDY_OPEN_PO_APR_07"/>
      <sheetName val="TRIAL_BALANCE"/>
      <sheetName val="Groupings_2004"/>
      <sheetName val="BS_Rec_Control_Sheet"/>
      <sheetName val="P_&amp;_L_Ac"/>
      <sheetName val="２Ｒ_売上・収益推移"/>
      <sheetName val="SPI"/>
      <sheetName val="gbp"/>
      <sheetName val="Sept '99"/>
      <sheetName val="P&amp;L Summary Page"/>
      <sheetName val="R11_Schedules"/>
      <sheetName val="Exchange rate"/>
      <sheetName val="QTY. PROV.LAB"/>
      <sheetName val="Purchases-CT1"/>
      <sheetName val="bs BP 04 SA"/>
      <sheetName val="CDR"/>
      <sheetName val="YTD"/>
      <sheetName val="Final TB-Oracle"/>
      <sheetName val="Main Sheet"/>
      <sheetName val="Manpower Master"/>
      <sheetName val="Lookup Table"/>
      <sheetName val="Level 0"/>
      <sheetName val="oracleTB"/>
      <sheetName val="Japan Reco"/>
      <sheetName val="description of fixed assets"/>
      <sheetName val="2136 Q1 Formatted"/>
      <sheetName val="2136 Q2 Formatted"/>
      <sheetName val="2136 Q3 Formatted"/>
      <sheetName val="2136 Q4 Formatted-7 April"/>
      <sheetName val="2136 Q5 Formatted-7April"/>
      <sheetName val="2136 YTD Formatted-7 April"/>
      <sheetName val="hmax_2"/>
      <sheetName val="Depn_Sch6"/>
      <sheetName val="architect_fees6"/>
      <sheetName val="Monalisa_-_Lease_Hold6"/>
      <sheetName val="Depreciation_Lease6"/>
      <sheetName val="Asset_Card6"/>
      <sheetName val="Ion_NewCo6"/>
      <sheetName val="OKS_Data6"/>
      <sheetName val="30_09_006"/>
      <sheetName val="Debtors_reco_with_GL6"/>
      <sheetName val="Cash_Flow_Forecast_USD6"/>
      <sheetName val="Tools_Rev6"/>
      <sheetName val="DHL_KL_Revenue6"/>
      <sheetName val="Positions_6"/>
      <sheetName val="Break_up_Sheet6"/>
      <sheetName val="WNS_UK_P16"/>
      <sheetName val="Ann_-16"/>
      <sheetName val="Travel_Expense_Report(1week)6"/>
      <sheetName val="MTD_Prod_Support_Drill26"/>
      <sheetName val="to_be_cost_adjusted_up6"/>
      <sheetName val="Query_Results_ALL2"/>
      <sheetName val="Exchange_Rates6"/>
      <sheetName val="Comp_with_UP_west2"/>
      <sheetName val="Summary_6"/>
      <sheetName val="feb_096"/>
      <sheetName val="QCNL_100_BS1"/>
      <sheetName val="Manual_Inputs1"/>
      <sheetName val="R_1_5_GL_Dump5"/>
      <sheetName val="3A_-_Segment_Calculation5"/>
      <sheetName val="STREET_ESTIMATES1"/>
      <sheetName val="License_Summary_Q21"/>
      <sheetName val="Input_-_2000_Core_Actual1"/>
      <sheetName val="Dallas_Stuff1"/>
      <sheetName val="Basic_Details2"/>
      <sheetName val="FA_Schedule1"/>
      <sheetName val="Opening_balance1"/>
      <sheetName val="Closing_balance1"/>
      <sheetName val="Pivot_for_Dep_charge1"/>
      <sheetName val="TRIAL_BALANCE1"/>
      <sheetName val="Groupings_20041"/>
      <sheetName val="２Ｒ_売上・収益推移1"/>
      <sheetName val="P_&amp;_L_Ac1"/>
      <sheetName val="vendor_listing_(2)5"/>
      <sheetName val="UBS_Q31"/>
      <sheetName val="RDY_OPEN_PO_APR_071"/>
      <sheetName val="pack_pnl-991"/>
      <sheetName val="Tax_Computation1"/>
      <sheetName val="ignore_08041"/>
      <sheetName val="BS_Rec_Control_Sheet1"/>
      <sheetName val="OI_MONTH-YTD"/>
      <sheetName val="NS_YTG"/>
      <sheetName val="%NS_YTG_vs_PY"/>
      <sheetName val="OI_YTG"/>
      <sheetName val="ROS_YTG"/>
      <sheetName val="NS_QTRS"/>
      <sheetName val="Balance_Sheet"/>
      <sheetName val="PO_Detail"/>
      <sheetName val="Table_of_Contents"/>
      <sheetName val="Main_Data_Sheet"/>
      <sheetName val="P&amp;L_Summary_Page"/>
      <sheetName val="Sept_'99"/>
      <sheetName val="Final_TB-Oracle"/>
      <sheetName val="Main_Sheet"/>
      <sheetName val="Direct_Cost"/>
      <sheetName val="Balance_Sheet_"/>
      <sheetName val="Cost details Jul08"/>
      <sheetName val="DataInput1"/>
      <sheetName val="NAV"/>
      <sheetName val="RCC,Ret. Wall"/>
      <sheetName val="CPIPE 1"/>
      <sheetName val="Ctinh 10kV"/>
      <sheetName val="ANNEXURE-P&amp;L"/>
      <sheetName val="Other:Summary"/>
      <sheetName val="esxa"/>
      <sheetName val="IT-accruals"/>
      <sheetName val="STEEL"/>
      <sheetName val="REVENUES &amp; BS"/>
      <sheetName val="STREET_ESTIMATES2"/>
      <sheetName val="License_Summary_Q22"/>
      <sheetName val="Input_-_2000_Core_Actual2"/>
      <sheetName val="QCNL_100_BS2"/>
      <sheetName val="Manual_Inputs2"/>
      <sheetName val="Dallas_Stuff2"/>
      <sheetName val="P_&amp;_L_Ac2"/>
      <sheetName val="TRIAL_BALANCE2"/>
      <sheetName val="Groupings_20042"/>
      <sheetName val="FA_Schedule2"/>
      <sheetName val="Opening_balance2"/>
      <sheetName val="Closing_balance2"/>
      <sheetName val="Pivot_for_Dep_charge2"/>
      <sheetName val="２Ｒ_売上・収益推移2"/>
      <sheetName val="UBS_Q32"/>
      <sheetName val="RDY_OPEN_PO_APR_072"/>
      <sheetName val="STREET_ESTIMATES4"/>
      <sheetName val="License_Summary_Q24"/>
      <sheetName val="Input_-_2000_Core_Actual4"/>
      <sheetName val="Query_Results_ALL4"/>
      <sheetName val="Comp_with_UP_west4"/>
      <sheetName val="QCNL_100_BS4"/>
      <sheetName val="Manual_Inputs4"/>
      <sheetName val="Dallas_Stuff4"/>
      <sheetName val="P_&amp;_L_Ac4"/>
      <sheetName val="Basic_Details4"/>
      <sheetName val="TRIAL_BALANCE4"/>
      <sheetName val="Groupings_20044"/>
      <sheetName val="FA_Schedule4"/>
      <sheetName val="Opening_balance4"/>
      <sheetName val="Closing_balance4"/>
      <sheetName val="Pivot_for_Dep_charge4"/>
      <sheetName val="２Ｒ_売上・収益推移4"/>
      <sheetName val="UBS_Q34"/>
      <sheetName val="RDY_OPEN_PO_APR_074"/>
      <sheetName val="STREET_ESTIMATES3"/>
      <sheetName val="License_Summary_Q23"/>
      <sheetName val="Input_-_2000_Core_Actual3"/>
      <sheetName val="Query_Results_ALL3"/>
      <sheetName val="Comp_with_UP_west3"/>
      <sheetName val="QCNL_100_BS3"/>
      <sheetName val="Manual_Inputs3"/>
      <sheetName val="Dallas_Stuff3"/>
      <sheetName val="P_&amp;_L_Ac3"/>
      <sheetName val="Basic_Details3"/>
      <sheetName val="TRIAL_BALANCE3"/>
      <sheetName val="Groupings_20043"/>
      <sheetName val="FA_Schedule3"/>
      <sheetName val="Opening_balance3"/>
      <sheetName val="Closing_balance3"/>
      <sheetName val="Pivot_for_Dep_charge3"/>
      <sheetName val="２Ｒ_売上・収益推移3"/>
      <sheetName val="UBS_Q33"/>
      <sheetName val="RDY_OPEN_PO_APR_073"/>
      <sheetName val="This Proj OCC"/>
      <sheetName val="RA-markate"/>
      <sheetName val="97 TRIAL BALANCE"/>
      <sheetName val="CC &amp; PC"/>
      <sheetName val="General info"/>
      <sheetName val="Assump"/>
      <sheetName val="HIDDEN"/>
      <sheetName val="meeting rectification control"/>
      <sheetName val="PO"/>
      <sheetName val="FAR"/>
      <sheetName val="PGTV Bond Levels"/>
      <sheetName val="DBS Rev &amp; COGS 11-09"/>
      <sheetName val="POP Inventory Detail 08-19-02"/>
      <sheetName val="Valuation"/>
      <sheetName val="ap 2"/>
      <sheetName val="gl 2"/>
      <sheetName val="Capital Structure"/>
      <sheetName val="S0110"/>
      <sheetName val="S0100"/>
      <sheetName val="Mobilephones"/>
      <sheetName val="master"/>
      <sheetName val="Sheet4"/>
      <sheetName val="AR_PL"/>
      <sheetName val="Long-Term Borrowings"/>
      <sheetName val="P&amp;L February"/>
      <sheetName val="Q-Mtr"/>
      <sheetName val="P&amp;L Feb 2001 cumulative"/>
      <sheetName val="Lead"/>
      <sheetName val="Interconnect"/>
      <sheetName val="Template"/>
      <sheetName val="B2 - 2017 Cubi TB PLN Loc GAAP"/>
      <sheetName val="B1 - 2017 Cubi TB PLN US GAAP"/>
      <sheetName val="Quarterly P&amp;L - VG"/>
      <sheetName val="FR4"/>
      <sheetName val="headcount"/>
      <sheetName val="Dep AY 6-7"/>
      <sheetName val="ENCL6"/>
      <sheetName val="Guidance"/>
      <sheetName val="Licences"/>
      <sheetName val="CM Calc"/>
      <sheetName val="BS"/>
      <sheetName val="COMICRO ROM"/>
      <sheetName val="Alloc_CORP_Summary"/>
      <sheetName val="2136_Q1_Formatted"/>
      <sheetName val="2136_Q2_Formatted"/>
      <sheetName val="2136_Q3_Formatted"/>
      <sheetName val="2136_Q4_Formatted-7_April"/>
      <sheetName val="2136_Q5_Formatted-7April"/>
      <sheetName val="2136_YTD_Formatted-7_April"/>
      <sheetName val="P&amp;L-Rptg format"/>
      <sheetName val="PC Master List"/>
      <sheetName val="Comp"/>
      <sheetName val="Depn_Sch7"/>
      <sheetName val="architect_fees7"/>
      <sheetName val="Monalisa_-_Lease_Hold7"/>
      <sheetName val="Depreciation_Lease7"/>
      <sheetName val="Asset_Card7"/>
      <sheetName val="Debtors_reco_with_GL7"/>
      <sheetName val="Cash_Flow_Forecast_USD7"/>
      <sheetName val="Summary_7"/>
      <sheetName val="Ion_NewCo7"/>
      <sheetName val="Tools_Rev7"/>
      <sheetName val="DHL_KL_Revenue7"/>
      <sheetName val="Positions_7"/>
      <sheetName val="OKS_Data7"/>
      <sheetName val="30_09_007"/>
      <sheetName val="Break_up_Sheet7"/>
      <sheetName val="WNS_UK_P17"/>
      <sheetName val="Travel_Expense_Report(1week)7"/>
      <sheetName val="MTD_Prod_Support_Drill27"/>
      <sheetName val="to_be_cost_adjusted_up7"/>
      <sheetName val="Ann_-17"/>
      <sheetName val="feb_097"/>
      <sheetName val="R_1_5_GL_Dump6"/>
      <sheetName val="3A_-_Segment_Calculation6"/>
      <sheetName val="Exchange_Rates7"/>
      <sheetName val="vendor_listing_(2)6"/>
      <sheetName val="pack_pnl-992"/>
      <sheetName val="Tax_Computation2"/>
      <sheetName val="BS_Rec_Control_Sheet2"/>
      <sheetName val="ignore_08042"/>
      <sheetName val="Balance_Sheet1"/>
      <sheetName val="PO_Detail1"/>
      <sheetName val="OI_MONTH-YTD1"/>
      <sheetName val="NS_YTG1"/>
      <sheetName val="%NS_YTG_vs_PY1"/>
      <sheetName val="OI_YTG1"/>
      <sheetName val="ROS_YTG1"/>
      <sheetName val="NS_QTRS1"/>
      <sheetName val="Table_of_Contents1"/>
      <sheetName val="Main_Data_Sheet1"/>
      <sheetName val="Direct_Cost1"/>
      <sheetName val="Balance_Sheet_1"/>
      <sheetName val="Sept_'991"/>
      <sheetName val="P&amp;L_Summary_Page1"/>
      <sheetName val="Exchange_rate"/>
      <sheetName val="QTY__PROV_LAB"/>
      <sheetName val="Sensitivity_"/>
      <sheetName val="To_be_Discuss"/>
      <sheetName val="bs_BP_04_SA"/>
      <sheetName val="Final_TB-Oracle1"/>
      <sheetName val="Main_Sheet1"/>
      <sheetName val="Manpower_Master"/>
      <sheetName val="Lookup_Table"/>
      <sheetName val="Level_0"/>
      <sheetName val="Japan_Reco"/>
      <sheetName val="description_of_fixed_assets"/>
      <sheetName val="Cost_details_Jul08"/>
      <sheetName val="RCC,Ret__Wall"/>
      <sheetName val="CPIPE_1"/>
      <sheetName val="Ctinh_10kV"/>
      <sheetName val="Depn_Sch8"/>
      <sheetName val="architect_fees8"/>
      <sheetName val="Monalisa_-_Lease_Hold8"/>
      <sheetName val="Depreciation_Lease8"/>
      <sheetName val="Asset_Card8"/>
      <sheetName val="Debtors_reco_with_GL8"/>
      <sheetName val="Cash_Flow_Forecast_USD8"/>
      <sheetName val="Summary_8"/>
      <sheetName val="Ion_NewCo8"/>
      <sheetName val="Tools_Rev8"/>
      <sheetName val="DHL_KL_Revenue8"/>
      <sheetName val="Positions_8"/>
      <sheetName val="OKS_Data8"/>
      <sheetName val="30_09_008"/>
      <sheetName val="Break_up_Sheet8"/>
      <sheetName val="WNS_UK_P18"/>
      <sheetName val="Travel_Expense_Report(1week)8"/>
      <sheetName val="MTD_Prod_Support_Drill28"/>
      <sheetName val="to_be_cost_adjusted_up8"/>
      <sheetName val="Ann_-18"/>
      <sheetName val="feb_098"/>
      <sheetName val="R_1_5_GL_Dump7"/>
      <sheetName val="3A_-_Segment_Calculation7"/>
      <sheetName val="Exchange_Rates8"/>
      <sheetName val="vendor_listing_(2)7"/>
      <sheetName val="pack_pnl-993"/>
      <sheetName val="Tax_Computation3"/>
      <sheetName val="BS_Rec_Control_Sheet3"/>
      <sheetName val="ignore_08043"/>
      <sheetName val="Balance_Sheet2"/>
      <sheetName val="PO_Detail2"/>
      <sheetName val="OI_MONTH-YTD2"/>
      <sheetName val="NS_YTG2"/>
      <sheetName val="%NS_YTG_vs_PY2"/>
      <sheetName val="OI_YTG2"/>
      <sheetName val="ROS_YTG2"/>
      <sheetName val="NS_QTRS2"/>
      <sheetName val="Table_of_Contents2"/>
      <sheetName val="Main_Data_Sheet2"/>
      <sheetName val="Direct_Cost2"/>
      <sheetName val="Balance_Sheet_2"/>
      <sheetName val="Sept_'992"/>
      <sheetName val="P&amp;L_Summary_Page2"/>
      <sheetName val="Exchange_rate1"/>
      <sheetName val="QTY__PROV_LAB1"/>
      <sheetName val="Sensitivity_1"/>
      <sheetName val="To_be_Discuss1"/>
      <sheetName val="bs_BP_04_SA1"/>
      <sheetName val="Final_TB-Oracle2"/>
      <sheetName val="Main_Sheet2"/>
      <sheetName val="Manpower_Master1"/>
      <sheetName val="Lookup_Table1"/>
      <sheetName val="Level_01"/>
      <sheetName val="Japan_Reco1"/>
      <sheetName val="description_of_fixed_assets1"/>
      <sheetName val="2136_Q1_Formatted1"/>
      <sheetName val="2136_Q2_Formatted1"/>
      <sheetName val="2136_Q3_Formatted1"/>
      <sheetName val="2136_Q4_Formatted-7_April1"/>
      <sheetName val="2136_Q5_Formatted-7April1"/>
      <sheetName val="2136_YTD_Formatted-7_April1"/>
      <sheetName val="Alloc_CORP_Summary1"/>
      <sheetName val="Cost_details_Jul081"/>
      <sheetName val="RCC,Ret__Wall1"/>
      <sheetName val="CPIPE_11"/>
      <sheetName val="Ctinh_10kV1"/>
      <sheetName val="MIS"/>
      <sheetName val="March Onwards"/>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
          <cell r="B1">
            <v>0</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1">
          <cell r="B1">
            <v>0</v>
          </cell>
        </row>
      </sheetData>
      <sheetData sheetId="73" refreshError="1"/>
      <sheetData sheetId="74" refreshError="1"/>
      <sheetData sheetId="75">
        <row r="1">
          <cell r="B1">
            <v>0</v>
          </cell>
        </row>
      </sheetData>
      <sheetData sheetId="76" refreshError="1"/>
      <sheetData sheetId="77">
        <row r="1">
          <cell r="B1">
            <v>0</v>
          </cell>
        </row>
      </sheetData>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1">
          <cell r="B1">
            <v>0</v>
          </cell>
        </row>
      </sheetData>
      <sheetData sheetId="95">
        <row r="1">
          <cell r="B1">
            <v>0</v>
          </cell>
        </row>
      </sheetData>
      <sheetData sheetId="96">
        <row r="1">
          <cell r="B1">
            <v>0</v>
          </cell>
        </row>
      </sheetData>
      <sheetData sheetId="97">
        <row r="1">
          <cell r="B1">
            <v>0</v>
          </cell>
        </row>
      </sheetData>
      <sheetData sheetId="98">
        <row r="1">
          <cell r="B1">
            <v>0</v>
          </cell>
        </row>
      </sheetData>
      <sheetData sheetId="99">
        <row r="1">
          <cell r="B1">
            <v>0</v>
          </cell>
        </row>
      </sheetData>
      <sheetData sheetId="100">
        <row r="1">
          <cell r="B1">
            <v>0</v>
          </cell>
        </row>
      </sheetData>
      <sheetData sheetId="101">
        <row r="1">
          <cell r="B1">
            <v>0</v>
          </cell>
        </row>
      </sheetData>
      <sheetData sheetId="102">
        <row r="1">
          <cell r="B1">
            <v>0</v>
          </cell>
        </row>
      </sheetData>
      <sheetData sheetId="103">
        <row r="1">
          <cell r="B1">
            <v>0</v>
          </cell>
        </row>
      </sheetData>
      <sheetData sheetId="104">
        <row r="1">
          <cell r="B1">
            <v>0</v>
          </cell>
        </row>
      </sheetData>
      <sheetData sheetId="105">
        <row r="1">
          <cell r="B1">
            <v>0</v>
          </cell>
        </row>
      </sheetData>
      <sheetData sheetId="106">
        <row r="1">
          <cell r="B1">
            <v>0</v>
          </cell>
        </row>
      </sheetData>
      <sheetData sheetId="107">
        <row r="1">
          <cell r="B1">
            <v>0</v>
          </cell>
        </row>
      </sheetData>
      <sheetData sheetId="108">
        <row r="1">
          <cell r="B1">
            <v>0</v>
          </cell>
        </row>
      </sheetData>
      <sheetData sheetId="109">
        <row r="1">
          <cell r="B1">
            <v>0</v>
          </cell>
        </row>
      </sheetData>
      <sheetData sheetId="110">
        <row r="1">
          <cell r="B1">
            <v>0</v>
          </cell>
        </row>
      </sheetData>
      <sheetData sheetId="111">
        <row r="1">
          <cell r="B1">
            <v>0</v>
          </cell>
        </row>
      </sheetData>
      <sheetData sheetId="112">
        <row r="1">
          <cell r="B1">
            <v>0</v>
          </cell>
        </row>
      </sheetData>
      <sheetData sheetId="113">
        <row r="1">
          <cell r="B1">
            <v>0</v>
          </cell>
        </row>
      </sheetData>
      <sheetData sheetId="114">
        <row r="1">
          <cell r="B1">
            <v>0</v>
          </cell>
        </row>
      </sheetData>
      <sheetData sheetId="115">
        <row r="1">
          <cell r="B1">
            <v>0</v>
          </cell>
        </row>
      </sheetData>
      <sheetData sheetId="116">
        <row r="1">
          <cell r="B1">
            <v>0</v>
          </cell>
        </row>
      </sheetData>
      <sheetData sheetId="117">
        <row r="1">
          <cell r="B1">
            <v>0</v>
          </cell>
        </row>
      </sheetData>
      <sheetData sheetId="118">
        <row r="1">
          <cell r="B1">
            <v>0</v>
          </cell>
        </row>
      </sheetData>
      <sheetData sheetId="119">
        <row r="1">
          <cell r="B1">
            <v>0</v>
          </cell>
        </row>
      </sheetData>
      <sheetData sheetId="120">
        <row r="1">
          <cell r="B1">
            <v>0</v>
          </cell>
        </row>
      </sheetData>
      <sheetData sheetId="121">
        <row r="1">
          <cell r="B1">
            <v>0</v>
          </cell>
        </row>
      </sheetData>
      <sheetData sheetId="122">
        <row r="1">
          <cell r="B1">
            <v>0</v>
          </cell>
        </row>
      </sheetData>
      <sheetData sheetId="123">
        <row r="1">
          <cell r="B1">
            <v>0</v>
          </cell>
        </row>
      </sheetData>
      <sheetData sheetId="124">
        <row r="1">
          <cell r="B1">
            <v>0</v>
          </cell>
        </row>
      </sheetData>
      <sheetData sheetId="125">
        <row r="1">
          <cell r="B1">
            <v>0</v>
          </cell>
        </row>
      </sheetData>
      <sheetData sheetId="126">
        <row r="1">
          <cell r="B1">
            <v>0</v>
          </cell>
        </row>
      </sheetData>
      <sheetData sheetId="127">
        <row r="1">
          <cell r="B1">
            <v>0</v>
          </cell>
        </row>
      </sheetData>
      <sheetData sheetId="128">
        <row r="1">
          <cell r="B1">
            <v>0</v>
          </cell>
        </row>
      </sheetData>
      <sheetData sheetId="129">
        <row r="1">
          <cell r="B1">
            <v>0</v>
          </cell>
        </row>
      </sheetData>
      <sheetData sheetId="130">
        <row r="1">
          <cell r="B1">
            <v>0</v>
          </cell>
        </row>
      </sheetData>
      <sheetData sheetId="131">
        <row r="1">
          <cell r="B1">
            <v>0</v>
          </cell>
        </row>
      </sheetData>
      <sheetData sheetId="132">
        <row r="1">
          <cell r="B1">
            <v>0</v>
          </cell>
        </row>
      </sheetData>
      <sheetData sheetId="133">
        <row r="1">
          <cell r="B1">
            <v>0</v>
          </cell>
        </row>
      </sheetData>
      <sheetData sheetId="134">
        <row r="1">
          <cell r="B1">
            <v>0</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ow r="1">
          <cell r="B1">
            <v>0</v>
          </cell>
        </row>
      </sheetData>
      <sheetData sheetId="145">
        <row r="1">
          <cell r="B1">
            <v>0</v>
          </cell>
        </row>
      </sheetData>
      <sheetData sheetId="146">
        <row r="1">
          <cell r="B1">
            <v>0</v>
          </cell>
        </row>
      </sheetData>
      <sheetData sheetId="147">
        <row r="1">
          <cell r="B1">
            <v>0</v>
          </cell>
        </row>
      </sheetData>
      <sheetData sheetId="148">
        <row r="1">
          <cell r="B1">
            <v>0</v>
          </cell>
        </row>
      </sheetData>
      <sheetData sheetId="149">
        <row r="1">
          <cell r="B1">
            <v>0</v>
          </cell>
        </row>
      </sheetData>
      <sheetData sheetId="150">
        <row r="1">
          <cell r="B1">
            <v>0</v>
          </cell>
        </row>
      </sheetData>
      <sheetData sheetId="151">
        <row r="1">
          <cell r="B1">
            <v>0</v>
          </cell>
        </row>
      </sheetData>
      <sheetData sheetId="152">
        <row r="1">
          <cell r="B1">
            <v>0</v>
          </cell>
        </row>
      </sheetData>
      <sheetData sheetId="153">
        <row r="1">
          <cell r="B1">
            <v>0</v>
          </cell>
        </row>
      </sheetData>
      <sheetData sheetId="154">
        <row r="1">
          <cell r="B1">
            <v>0</v>
          </cell>
        </row>
      </sheetData>
      <sheetData sheetId="155">
        <row r="1">
          <cell r="B1">
            <v>0</v>
          </cell>
        </row>
      </sheetData>
      <sheetData sheetId="156">
        <row r="1">
          <cell r="B1">
            <v>0</v>
          </cell>
        </row>
      </sheetData>
      <sheetData sheetId="157">
        <row r="1">
          <cell r="B1">
            <v>0</v>
          </cell>
        </row>
      </sheetData>
      <sheetData sheetId="158">
        <row r="1">
          <cell r="B1">
            <v>0</v>
          </cell>
        </row>
      </sheetData>
      <sheetData sheetId="159">
        <row r="1">
          <cell r="B1">
            <v>0</v>
          </cell>
        </row>
      </sheetData>
      <sheetData sheetId="160">
        <row r="1">
          <cell r="B1">
            <v>0</v>
          </cell>
        </row>
      </sheetData>
      <sheetData sheetId="161">
        <row r="1">
          <cell r="B1">
            <v>0</v>
          </cell>
        </row>
      </sheetData>
      <sheetData sheetId="162">
        <row r="1">
          <cell r="B1">
            <v>0</v>
          </cell>
        </row>
      </sheetData>
      <sheetData sheetId="163">
        <row r="1">
          <cell r="B1">
            <v>0</v>
          </cell>
        </row>
      </sheetData>
      <sheetData sheetId="164">
        <row r="1">
          <cell r="B1">
            <v>0</v>
          </cell>
        </row>
      </sheetData>
      <sheetData sheetId="165">
        <row r="1">
          <cell r="B1">
            <v>0</v>
          </cell>
        </row>
      </sheetData>
      <sheetData sheetId="166">
        <row r="1">
          <cell r="B1">
            <v>0</v>
          </cell>
        </row>
      </sheetData>
      <sheetData sheetId="167">
        <row r="1">
          <cell r="B1">
            <v>0</v>
          </cell>
        </row>
      </sheetData>
      <sheetData sheetId="168">
        <row r="1">
          <cell r="B1">
            <v>0</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ow r="1">
          <cell r="B1">
            <v>0</v>
          </cell>
        </row>
      </sheetData>
      <sheetData sheetId="187">
        <row r="1">
          <cell r="B1">
            <v>0</v>
          </cell>
        </row>
      </sheetData>
      <sheetData sheetId="188"/>
      <sheetData sheetId="189">
        <row r="1">
          <cell r="B1">
            <v>0</v>
          </cell>
        </row>
      </sheetData>
      <sheetData sheetId="190">
        <row r="1">
          <cell r="B1">
            <v>0</v>
          </cell>
        </row>
      </sheetData>
      <sheetData sheetId="191">
        <row r="1">
          <cell r="B1">
            <v>0</v>
          </cell>
        </row>
      </sheetData>
      <sheetData sheetId="192" refreshError="1"/>
      <sheetData sheetId="193" refreshError="1"/>
      <sheetData sheetId="194" refreshError="1"/>
      <sheetData sheetId="195">
        <row r="1">
          <cell r="B1">
            <v>0</v>
          </cell>
        </row>
      </sheetData>
      <sheetData sheetId="196">
        <row r="1">
          <cell r="B1">
            <v>0</v>
          </cell>
        </row>
      </sheetData>
      <sheetData sheetId="197">
        <row r="1">
          <cell r="B1">
            <v>0</v>
          </cell>
        </row>
      </sheetData>
      <sheetData sheetId="198">
        <row r="1">
          <cell r="B1">
            <v>0</v>
          </cell>
        </row>
      </sheetData>
      <sheetData sheetId="199">
        <row r="1">
          <cell r="B1">
            <v>0</v>
          </cell>
        </row>
      </sheetData>
      <sheetData sheetId="200">
        <row r="1">
          <cell r="B1">
            <v>0</v>
          </cell>
        </row>
      </sheetData>
      <sheetData sheetId="201">
        <row r="1">
          <cell r="B1">
            <v>0</v>
          </cell>
        </row>
      </sheetData>
      <sheetData sheetId="202">
        <row r="1">
          <cell r="B1">
            <v>0</v>
          </cell>
        </row>
      </sheetData>
      <sheetData sheetId="203">
        <row r="1">
          <cell r="B1">
            <v>0</v>
          </cell>
        </row>
      </sheetData>
      <sheetData sheetId="204">
        <row r="1">
          <cell r="B1">
            <v>0</v>
          </cell>
        </row>
      </sheetData>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ow r="1">
          <cell r="B1">
            <v>0</v>
          </cell>
        </row>
      </sheetData>
      <sheetData sheetId="259">
        <row r="1">
          <cell r="B1">
            <v>0</v>
          </cell>
        </row>
      </sheetData>
      <sheetData sheetId="260">
        <row r="1">
          <cell r="B1">
            <v>0</v>
          </cell>
        </row>
      </sheetData>
      <sheetData sheetId="261">
        <row r="1">
          <cell r="B1">
            <v>0</v>
          </cell>
        </row>
      </sheetData>
      <sheetData sheetId="262">
        <row r="1">
          <cell r="B1">
            <v>0</v>
          </cell>
        </row>
      </sheetData>
      <sheetData sheetId="263">
        <row r="1">
          <cell r="B1">
            <v>0</v>
          </cell>
        </row>
      </sheetData>
      <sheetData sheetId="264">
        <row r="1">
          <cell r="B1">
            <v>0</v>
          </cell>
        </row>
      </sheetData>
      <sheetData sheetId="265">
        <row r="1">
          <cell r="B1">
            <v>0</v>
          </cell>
        </row>
      </sheetData>
      <sheetData sheetId="266">
        <row r="1">
          <cell r="B1">
            <v>0</v>
          </cell>
        </row>
      </sheetData>
      <sheetData sheetId="267">
        <row r="1">
          <cell r="B1">
            <v>0</v>
          </cell>
        </row>
      </sheetData>
      <sheetData sheetId="268">
        <row r="1">
          <cell r="B1">
            <v>0</v>
          </cell>
        </row>
      </sheetData>
      <sheetData sheetId="269">
        <row r="1">
          <cell r="B1">
            <v>0</v>
          </cell>
        </row>
      </sheetData>
      <sheetData sheetId="270">
        <row r="1">
          <cell r="B1">
            <v>0</v>
          </cell>
        </row>
      </sheetData>
      <sheetData sheetId="271">
        <row r="1">
          <cell r="B1">
            <v>0</v>
          </cell>
        </row>
      </sheetData>
      <sheetData sheetId="272">
        <row r="1">
          <cell r="B1">
            <v>0</v>
          </cell>
        </row>
      </sheetData>
      <sheetData sheetId="273">
        <row r="1">
          <cell r="B1">
            <v>0</v>
          </cell>
        </row>
      </sheetData>
      <sheetData sheetId="274">
        <row r="1">
          <cell r="B1">
            <v>0</v>
          </cell>
        </row>
      </sheetData>
      <sheetData sheetId="275">
        <row r="1">
          <cell r="B1">
            <v>0</v>
          </cell>
        </row>
      </sheetData>
      <sheetData sheetId="276">
        <row r="1">
          <cell r="B1">
            <v>0</v>
          </cell>
        </row>
      </sheetData>
      <sheetData sheetId="277">
        <row r="1">
          <cell r="B1">
            <v>0</v>
          </cell>
        </row>
      </sheetData>
      <sheetData sheetId="278">
        <row r="1">
          <cell r="B1">
            <v>0</v>
          </cell>
        </row>
      </sheetData>
      <sheetData sheetId="279">
        <row r="1">
          <cell r="B1">
            <v>0</v>
          </cell>
        </row>
      </sheetData>
      <sheetData sheetId="280">
        <row r="1">
          <cell r="B1">
            <v>0</v>
          </cell>
        </row>
      </sheetData>
      <sheetData sheetId="281">
        <row r="1">
          <cell r="B1">
            <v>0</v>
          </cell>
        </row>
      </sheetData>
      <sheetData sheetId="282">
        <row r="1">
          <cell r="B1">
            <v>0</v>
          </cell>
        </row>
      </sheetData>
      <sheetData sheetId="283">
        <row r="1">
          <cell r="B1">
            <v>0</v>
          </cell>
        </row>
      </sheetData>
      <sheetData sheetId="284">
        <row r="1">
          <cell r="B1">
            <v>0</v>
          </cell>
        </row>
      </sheetData>
      <sheetData sheetId="285">
        <row r="1">
          <cell r="B1">
            <v>0</v>
          </cell>
        </row>
      </sheetData>
      <sheetData sheetId="286">
        <row r="1">
          <cell r="B1">
            <v>0</v>
          </cell>
        </row>
      </sheetData>
      <sheetData sheetId="287">
        <row r="1">
          <cell r="B1">
            <v>0</v>
          </cell>
        </row>
      </sheetData>
      <sheetData sheetId="288">
        <row r="1">
          <cell r="B1">
            <v>0</v>
          </cell>
        </row>
      </sheetData>
      <sheetData sheetId="289">
        <row r="1">
          <cell r="B1">
            <v>0</v>
          </cell>
        </row>
      </sheetData>
      <sheetData sheetId="290">
        <row r="1">
          <cell r="B1">
            <v>0</v>
          </cell>
        </row>
      </sheetData>
      <sheetData sheetId="291">
        <row r="1">
          <cell r="B1">
            <v>0</v>
          </cell>
        </row>
      </sheetData>
      <sheetData sheetId="292">
        <row r="1">
          <cell r="B1">
            <v>0</v>
          </cell>
        </row>
      </sheetData>
      <sheetData sheetId="293">
        <row r="1">
          <cell r="B1">
            <v>0</v>
          </cell>
        </row>
      </sheetData>
      <sheetData sheetId="294">
        <row r="1">
          <cell r="B1">
            <v>0</v>
          </cell>
        </row>
      </sheetData>
      <sheetData sheetId="295">
        <row r="1">
          <cell r="B1">
            <v>0</v>
          </cell>
        </row>
      </sheetData>
      <sheetData sheetId="296">
        <row r="1">
          <cell r="B1">
            <v>0</v>
          </cell>
        </row>
      </sheetData>
      <sheetData sheetId="297">
        <row r="1">
          <cell r="B1">
            <v>0</v>
          </cell>
        </row>
      </sheetData>
      <sheetData sheetId="298">
        <row r="1">
          <cell r="B1">
            <v>0</v>
          </cell>
        </row>
      </sheetData>
      <sheetData sheetId="299">
        <row r="1">
          <cell r="B1">
            <v>0</v>
          </cell>
        </row>
      </sheetData>
      <sheetData sheetId="300">
        <row r="1">
          <cell r="B1">
            <v>0</v>
          </cell>
        </row>
      </sheetData>
      <sheetData sheetId="301">
        <row r="1">
          <cell r="B1">
            <v>0</v>
          </cell>
        </row>
      </sheetData>
      <sheetData sheetId="302">
        <row r="1">
          <cell r="B1">
            <v>0</v>
          </cell>
        </row>
      </sheetData>
      <sheetData sheetId="303">
        <row r="1">
          <cell r="B1">
            <v>0</v>
          </cell>
        </row>
      </sheetData>
      <sheetData sheetId="304">
        <row r="1">
          <cell r="B1">
            <v>0</v>
          </cell>
        </row>
      </sheetData>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row r="1">
          <cell r="B1">
            <v>0</v>
          </cell>
        </row>
      </sheetData>
      <sheetData sheetId="339">
        <row r="1">
          <cell r="B1">
            <v>0</v>
          </cell>
        </row>
      </sheetData>
      <sheetData sheetId="340"/>
      <sheetData sheetId="341"/>
      <sheetData sheetId="342">
        <row r="1">
          <cell r="B1">
            <v>0</v>
          </cell>
        </row>
      </sheetData>
      <sheetData sheetId="343">
        <row r="1">
          <cell r="B1">
            <v>0</v>
          </cell>
        </row>
      </sheetData>
      <sheetData sheetId="344">
        <row r="1">
          <cell r="B1">
            <v>0</v>
          </cell>
        </row>
      </sheetData>
      <sheetData sheetId="345">
        <row r="1">
          <cell r="B1">
            <v>0</v>
          </cell>
        </row>
      </sheetData>
      <sheetData sheetId="346">
        <row r="1">
          <cell r="B1">
            <v>0</v>
          </cell>
        </row>
      </sheetData>
      <sheetData sheetId="347">
        <row r="1">
          <cell r="B1">
            <v>0</v>
          </cell>
        </row>
      </sheetData>
      <sheetData sheetId="348">
        <row r="1">
          <cell r="B1">
            <v>0</v>
          </cell>
        </row>
      </sheetData>
      <sheetData sheetId="349">
        <row r="1">
          <cell r="B1">
            <v>0</v>
          </cell>
        </row>
      </sheetData>
      <sheetData sheetId="350">
        <row r="1">
          <cell r="B1">
            <v>0</v>
          </cell>
        </row>
      </sheetData>
      <sheetData sheetId="351">
        <row r="1">
          <cell r="B1">
            <v>0</v>
          </cell>
        </row>
      </sheetData>
      <sheetData sheetId="352">
        <row r="1">
          <cell r="B1">
            <v>0</v>
          </cell>
        </row>
      </sheetData>
      <sheetData sheetId="353">
        <row r="1">
          <cell r="B1">
            <v>0</v>
          </cell>
        </row>
      </sheetData>
      <sheetData sheetId="354">
        <row r="1">
          <cell r="B1">
            <v>0</v>
          </cell>
        </row>
      </sheetData>
      <sheetData sheetId="355">
        <row r="1">
          <cell r="B1">
            <v>0</v>
          </cell>
        </row>
      </sheetData>
      <sheetData sheetId="356">
        <row r="1">
          <cell r="B1">
            <v>0</v>
          </cell>
        </row>
      </sheetData>
      <sheetData sheetId="357">
        <row r="1">
          <cell r="B1">
            <v>0</v>
          </cell>
        </row>
      </sheetData>
      <sheetData sheetId="358">
        <row r="1">
          <cell r="B1">
            <v>0</v>
          </cell>
        </row>
      </sheetData>
      <sheetData sheetId="359">
        <row r="1">
          <cell r="B1">
            <v>0</v>
          </cell>
        </row>
      </sheetData>
      <sheetData sheetId="360">
        <row r="1">
          <cell r="B1">
            <v>0</v>
          </cell>
        </row>
      </sheetData>
      <sheetData sheetId="361">
        <row r="1">
          <cell r="B1">
            <v>0</v>
          </cell>
        </row>
      </sheetData>
      <sheetData sheetId="362">
        <row r="1">
          <cell r="B1">
            <v>0</v>
          </cell>
        </row>
      </sheetData>
      <sheetData sheetId="363">
        <row r="1">
          <cell r="B1">
            <v>0</v>
          </cell>
        </row>
      </sheetData>
      <sheetData sheetId="364">
        <row r="1">
          <cell r="B1">
            <v>0</v>
          </cell>
        </row>
      </sheetData>
      <sheetData sheetId="365">
        <row r="1">
          <cell r="B1">
            <v>0</v>
          </cell>
        </row>
      </sheetData>
      <sheetData sheetId="366">
        <row r="1">
          <cell r="B1">
            <v>0</v>
          </cell>
        </row>
      </sheetData>
      <sheetData sheetId="367">
        <row r="1">
          <cell r="B1">
            <v>0</v>
          </cell>
        </row>
      </sheetData>
      <sheetData sheetId="368">
        <row r="1">
          <cell r="B1">
            <v>0</v>
          </cell>
        </row>
      </sheetData>
      <sheetData sheetId="369">
        <row r="1">
          <cell r="B1">
            <v>0</v>
          </cell>
        </row>
      </sheetData>
      <sheetData sheetId="370">
        <row r="1">
          <cell r="B1">
            <v>0</v>
          </cell>
        </row>
      </sheetData>
      <sheetData sheetId="371">
        <row r="1">
          <cell r="B1">
            <v>0</v>
          </cell>
        </row>
      </sheetData>
      <sheetData sheetId="372">
        <row r="1">
          <cell r="B1">
            <v>0</v>
          </cell>
        </row>
      </sheetData>
      <sheetData sheetId="373">
        <row r="1">
          <cell r="B1">
            <v>0</v>
          </cell>
        </row>
      </sheetData>
      <sheetData sheetId="374">
        <row r="1">
          <cell r="B1">
            <v>0</v>
          </cell>
        </row>
      </sheetData>
      <sheetData sheetId="375">
        <row r="1">
          <cell r="B1">
            <v>0</v>
          </cell>
        </row>
      </sheetData>
      <sheetData sheetId="376">
        <row r="1">
          <cell r="B1">
            <v>0</v>
          </cell>
        </row>
      </sheetData>
      <sheetData sheetId="377">
        <row r="1">
          <cell r="B1">
            <v>0</v>
          </cell>
        </row>
      </sheetData>
      <sheetData sheetId="378">
        <row r="1">
          <cell r="B1">
            <v>0</v>
          </cell>
        </row>
      </sheetData>
      <sheetData sheetId="379">
        <row r="1">
          <cell r="B1">
            <v>0</v>
          </cell>
        </row>
      </sheetData>
      <sheetData sheetId="380"/>
      <sheetData sheetId="381">
        <row r="1">
          <cell r="B1">
            <v>0</v>
          </cell>
        </row>
      </sheetData>
      <sheetData sheetId="382"/>
      <sheetData sheetId="383">
        <row r="1">
          <cell r="B1">
            <v>0</v>
          </cell>
        </row>
      </sheetData>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sheetData sheetId="410"/>
      <sheetData sheetId="411"/>
      <sheetData sheetId="412"/>
      <sheetData sheetId="413"/>
      <sheetData sheetId="414"/>
      <sheetData sheetId="415"/>
      <sheetData sheetId="416">
        <row r="1">
          <cell r="B1">
            <v>0</v>
          </cell>
        </row>
      </sheetData>
      <sheetData sheetId="417">
        <row r="1">
          <cell r="B1">
            <v>0</v>
          </cell>
        </row>
      </sheetData>
      <sheetData sheetId="418"/>
      <sheetData sheetId="419"/>
      <sheetData sheetId="420"/>
      <sheetData sheetId="421"/>
      <sheetData sheetId="422"/>
      <sheetData sheetId="423"/>
      <sheetData sheetId="424">
        <row r="1">
          <cell r="B1">
            <v>0</v>
          </cell>
        </row>
      </sheetData>
      <sheetData sheetId="425">
        <row r="1">
          <cell r="B1">
            <v>0</v>
          </cell>
        </row>
      </sheetData>
      <sheetData sheetId="426"/>
      <sheetData sheetId="427"/>
      <sheetData sheetId="428"/>
      <sheetData sheetId="429"/>
      <sheetData sheetId="430"/>
      <sheetData sheetId="431"/>
      <sheetData sheetId="432"/>
      <sheetData sheetId="433"/>
      <sheetData sheetId="434"/>
      <sheetData sheetId="435">
        <row r="1">
          <cell r="B1">
            <v>0</v>
          </cell>
        </row>
      </sheetData>
      <sheetData sheetId="436">
        <row r="1">
          <cell r="B1">
            <v>0</v>
          </cell>
        </row>
      </sheetData>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sheetData sheetId="497" refreshError="1"/>
      <sheetData sheetId="498" refreshError="1"/>
      <sheetData sheetId="499" refreshError="1"/>
      <sheetData sheetId="500" refreshError="1"/>
      <sheetData sheetId="501" refreshError="1"/>
      <sheetData sheetId="502" refreshError="1"/>
      <sheetData sheetId="503" refreshError="1"/>
      <sheetData sheetId="504"/>
      <sheetData sheetId="505"/>
      <sheetData sheetId="506"/>
      <sheetData sheetId="507"/>
      <sheetData sheetId="508"/>
      <sheetData sheetId="509"/>
      <sheetData sheetId="510"/>
      <sheetData sheetId="511" refreshError="1"/>
      <sheetData sheetId="512" refreshError="1"/>
      <sheetData sheetId="513" refreshError="1"/>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refreshError="1"/>
      <sheetData sheetId="64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VER"/>
      <sheetName val="INDEX"/>
      <sheetName val="BAL"/>
      <sheetName val="P&amp;L"/>
      <sheetName val="NOTES "/>
      <sheetName val="NOTES_"/>
      <sheetName val="NOTES_1"/>
      <sheetName val="NOTES_2"/>
      <sheetName val="Indirect expenses"/>
      <sheetName val="Consolidated Groupings"/>
      <sheetName val="Indirect_expenses"/>
      <sheetName val="Consolidated_Groupings"/>
      <sheetName val="Scenarios"/>
      <sheetName val="Input Sheet"/>
      <sheetName val="CONTROL"/>
      <sheetName val="IRR Gaming"/>
      <sheetName val="P&amp;L breakup"/>
      <sheetName val="SPS DETAIL"/>
      <sheetName val="MODEL"/>
      <sheetName val="MSU"/>
      <sheetName val="FX"/>
      <sheetName val="Capital_by_Years_Valuation"/>
      <sheetName val="ReportsParameters"/>
      <sheetName val="Nopat_by_Years_Valuation"/>
      <sheetName val="Data"/>
      <sheetName val="Feedprice2"/>
      <sheetName val="Selprices1"/>
      <sheetName val="Selprices2"/>
      <sheetName val="ALL-IBANK-BRS"/>
      <sheetName val="Controls"/>
      <sheetName val="BS"/>
      <sheetName val="CFS"/>
      <sheetName val="NOTES_3"/>
      <sheetName val="NOTES_4"/>
      <sheetName val="NOTES_5"/>
      <sheetName val="NOTES_6"/>
      <sheetName val="NOTES_7"/>
      <sheetName val="Rates"/>
      <sheetName val="Groupings 2004"/>
      <sheetName val="CRITERIA5"/>
      <sheetName val="Additions"/>
      <sheetName val="NOTES_8"/>
      <sheetName val="NOTES_9"/>
      <sheetName val="NOTES_10"/>
      <sheetName val="Tools Rev"/>
      <sheetName val="Sheet1"/>
      <sheetName val="NOTES_11"/>
      <sheetName val="TODO"/>
      <sheetName val="hr table"/>
      <sheetName val="Lkps"/>
      <sheetName val="Cons Payout Perfomance"/>
      <sheetName val="Sales Perfomance FY 19-20"/>
      <sheetName val="Consol MRR"/>
      <sheetName val="Sheet2"/>
      <sheetName val="888_COMMSBOOKINGS"/>
      <sheetName val="888_COMMSTARGETS"/>
      <sheetName val="CRB CORRECTIONS FY1819"/>
      <sheetName val="IRU FY (ALL YEARS)"/>
      <sheetName val="IRU diff.Perf. FY 18-19 "/>
      <sheetName val="IRU diff. Perf. FY 17-18"/>
      <sheetName val="IRU.Diff.Per FY 16-17 "/>
      <sheetName val="AMJ'19 180+Debit"/>
      <sheetName val="AMJ'19 Winback"/>
      <sheetName val="Renewal Incentive"/>
      <sheetName val="O&amp;M"/>
      <sheetName val="SVS_ADMIN_DB_UPDATES"/>
      <sheetName val="hr_table"/>
      <sheetName val="Cons_Payout_Perfomance"/>
      <sheetName val="Sales_Perfomance_FY_19-20"/>
      <sheetName val="Consol_MRR"/>
      <sheetName val="CRB_CORRECTIONS_FY1819"/>
      <sheetName val="IRU_FY_(ALL_YEARS)"/>
      <sheetName val="IRU_diff_Perf__FY_18-19_"/>
      <sheetName val="IRU_diff__Perf__FY_17-18"/>
      <sheetName val="IRU_Diff_Per_FY_16-17_"/>
      <sheetName val="AMJ'19_180+Debit"/>
      <sheetName val="AMJ'19_Winback"/>
      <sheetName val="Renewal_Incentive"/>
      <sheetName val="NOTES_12"/>
      <sheetName val="hr_table1"/>
      <sheetName val="Cons_Payout_Perfomance1"/>
      <sheetName val="Sales_Perfomance_FY_19-201"/>
      <sheetName val="Consol_MRR1"/>
      <sheetName val="CRB_CORRECTIONS_FY18191"/>
      <sheetName val="IRU_FY_(ALL_YEARS)1"/>
      <sheetName val="IRU_diff_Perf__FY_18-19_1"/>
      <sheetName val="IRU_diff__Perf__FY_17-181"/>
      <sheetName val="IRU_Diff_Per_FY_16-17_1"/>
      <sheetName val="AMJ'19_180+Debit1"/>
      <sheetName val="AMJ'19_Winback1"/>
      <sheetName val="Renewal_Incentive1"/>
      <sheetName val="LEDGER"/>
      <sheetName val="Const QMS Dash Board"/>
      <sheetName val="procurement"/>
      <sheetName val="BPC"/>
      <sheetName val="RMMB_Convcst"/>
    </sheetNames>
    <sheetDataSet>
      <sheetData sheetId="0" refreshError="1">
        <row r="4">
          <cell r="B4" t="str">
            <v>September 30, 2003</v>
          </cell>
        </row>
        <row r="5">
          <cell r="B5" t="str">
            <v>March 31, 2003</v>
          </cell>
        </row>
      </sheetData>
      <sheetData sheetId="1" refreshError="1"/>
      <sheetData sheetId="2" refreshError="1"/>
      <sheetData sheetId="3" refreshError="1"/>
      <sheetData sheetId="4" refreshError="1"/>
      <sheetData sheetId="5" refreshError="1">
        <row r="61">
          <cell r="D61">
            <v>1112000</v>
          </cell>
        </row>
      </sheetData>
      <sheetData sheetId="6">
        <row r="61">
          <cell r="D61">
            <v>1112000</v>
          </cell>
        </row>
      </sheetData>
      <sheetData sheetId="7">
        <row r="61">
          <cell r="D61">
            <v>1112000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D61">
            <v>1112000</v>
          </cell>
        </row>
      </sheetData>
      <sheetData sheetId="34">
        <row r="61">
          <cell r="D61">
            <v>1112000</v>
          </cell>
        </row>
      </sheetData>
      <sheetData sheetId="35">
        <row r="61">
          <cell r="D61">
            <v>1112000</v>
          </cell>
        </row>
      </sheetData>
      <sheetData sheetId="36">
        <row r="61">
          <cell r="D61">
            <v>1112000</v>
          </cell>
        </row>
      </sheetData>
      <sheetData sheetId="37">
        <row r="61">
          <cell r="D61">
            <v>1112000</v>
          </cell>
        </row>
      </sheetData>
      <sheetData sheetId="38" refreshError="1"/>
      <sheetData sheetId="39" refreshError="1"/>
      <sheetData sheetId="40" refreshError="1"/>
      <sheetData sheetId="41" refreshError="1"/>
      <sheetData sheetId="42">
        <row r="61">
          <cell r="D61">
            <v>1112000</v>
          </cell>
        </row>
      </sheetData>
      <sheetData sheetId="43">
        <row r="4">
          <cell r="B4" t="str">
            <v>RptName</v>
          </cell>
        </row>
      </sheetData>
      <sheetData sheetId="44" refreshError="1"/>
      <sheetData sheetId="45" refreshError="1"/>
      <sheetData sheetId="46" refreshError="1"/>
      <sheetData sheetId="47"/>
      <sheetData sheetId="48">
        <row r="4">
          <cell r="B4" t="str">
            <v>RptName</v>
          </cell>
        </row>
      </sheetData>
      <sheetData sheetId="49"/>
      <sheetData sheetId="50"/>
      <sheetData sheetId="51"/>
      <sheetData sheetId="52"/>
      <sheetData sheetId="53"/>
      <sheetData sheetId="54"/>
      <sheetData sheetId="55"/>
      <sheetData sheetId="56"/>
      <sheetData sheetId="57"/>
      <sheetData sheetId="58"/>
      <sheetData sheetId="59"/>
      <sheetData sheetId="60">
        <row r="4">
          <cell r="B4" t="str">
            <v>RptName</v>
          </cell>
        </row>
      </sheetData>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
      <sheetName val="CFLOW"/>
      <sheetName val="construction"/>
      <sheetName val="C"/>
      <sheetName val="returns"/>
      <sheetName val="Loan Amort"/>
    </sheetNames>
    <sheetDataSet>
      <sheetData sheetId="0"/>
      <sheetData sheetId="1"/>
      <sheetData sheetId="2"/>
      <sheetData sheetId="3"/>
      <sheetData sheetId="4"/>
      <sheetData sheetId="5"/>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Sheet1"/>
      <sheetName val="1997-1998"/>
      <sheetName val="1998-1999"/>
      <sheetName val="1999-2000"/>
      <sheetName val="2000-01"/>
      <sheetName val="2001-02"/>
      <sheetName val="2002-03"/>
      <sheetName val="2003-04"/>
      <sheetName val="2004-05"/>
      <sheetName val="2005-06"/>
      <sheetName val="2006-07"/>
      <sheetName val="2007-08"/>
      <sheetName val="2008-09"/>
      <sheetName val="2009-10"/>
      <sheetName val="2010-11"/>
      <sheetName val="2011-12"/>
      <sheetName val="2012-13"/>
      <sheetName val="2013-14"/>
      <sheetName val="2014-15"/>
      <sheetName val="2014-15-U-2ESD"/>
      <sheetName val="Yly-Gen"/>
      <sheetName val="Data"/>
      <sheetName val="Since Comm,"/>
      <sheetName val="History Data"/>
      <sheetName val="Gen.Data 87-97"/>
      <sheetName val="C.F., C.V. &amp; H.R."/>
      <sheetName val="Gen., Coal Factor, Heat Rate"/>
      <sheetName val="SAP-Data"/>
      <sheetName val="Assumptions"/>
      <sheetName val="Assumption_Pw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Region"/>
      <sheetName val="Assumptions"/>
      <sheetName val="Data"/>
      <sheetName val="Bloomberg"/>
      <sheetName val="Setting"/>
      <sheetName val="Descriptions"/>
      <sheetName val="Estimates Sheet"/>
      <sheetName val="Old Estimates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ummary"/>
      <sheetName val="Master Sheet"/>
      <sheetName val="Biz Projections"/>
    </sheetNames>
    <sheetDataSet>
      <sheetData sheetId="0">
        <row r="2">
          <cell r="A2">
            <v>1</v>
          </cell>
          <cell r="B2">
            <v>0.1</v>
          </cell>
          <cell r="C2">
            <v>5.0000000000000001E-3</v>
          </cell>
        </row>
        <row r="3">
          <cell r="A3">
            <v>2</v>
          </cell>
          <cell r="B3">
            <v>0.2</v>
          </cell>
          <cell r="C3">
            <v>0.01</v>
          </cell>
        </row>
        <row r="4">
          <cell r="A4">
            <v>3</v>
          </cell>
          <cell r="B4">
            <v>0.3</v>
          </cell>
          <cell r="C4">
            <v>1.4999999999999999E-2</v>
          </cell>
        </row>
        <row r="5">
          <cell r="A5">
            <v>4</v>
          </cell>
          <cell r="B5">
            <v>0.4</v>
          </cell>
          <cell r="C5">
            <v>0.02</v>
          </cell>
        </row>
        <row r="6">
          <cell r="A6">
            <v>5</v>
          </cell>
          <cell r="B6">
            <v>0.5</v>
          </cell>
          <cell r="C6">
            <v>2.5000000000000001E-2</v>
          </cell>
        </row>
        <row r="7">
          <cell r="A7">
            <v>6</v>
          </cell>
          <cell r="B7">
            <v>0.6</v>
          </cell>
          <cell r="C7">
            <v>0.03</v>
          </cell>
        </row>
        <row r="8">
          <cell r="A8">
            <v>7</v>
          </cell>
          <cell r="B8">
            <v>0.7</v>
          </cell>
          <cell r="C8">
            <v>3.5000000000000003E-2</v>
          </cell>
        </row>
        <row r="9">
          <cell r="A9">
            <v>8</v>
          </cell>
          <cell r="B9">
            <v>0.8</v>
          </cell>
          <cell r="C9">
            <v>0.04</v>
          </cell>
        </row>
        <row r="10">
          <cell r="A10">
            <v>9</v>
          </cell>
          <cell r="B10">
            <v>0.9</v>
          </cell>
          <cell r="C10">
            <v>4.4999999999999998E-2</v>
          </cell>
        </row>
        <row r="11">
          <cell r="A11">
            <v>10</v>
          </cell>
          <cell r="B11">
            <v>1</v>
          </cell>
          <cell r="C11">
            <v>0.05</v>
          </cell>
        </row>
        <row r="12">
          <cell r="A12">
            <v>11</v>
          </cell>
          <cell r="B12">
            <v>1.1000000000000001</v>
          </cell>
          <cell r="C12">
            <v>5.5E-2</v>
          </cell>
        </row>
        <row r="13">
          <cell r="A13">
            <v>12</v>
          </cell>
          <cell r="B13">
            <v>1.2</v>
          </cell>
          <cell r="C13">
            <v>0.06</v>
          </cell>
        </row>
        <row r="14">
          <cell r="A14">
            <v>13</v>
          </cell>
          <cell r="B14">
            <v>1.3</v>
          </cell>
          <cell r="C14">
            <v>6.5000000000000002E-2</v>
          </cell>
        </row>
        <row r="15">
          <cell r="A15">
            <v>14</v>
          </cell>
          <cell r="B15">
            <v>1.4</v>
          </cell>
          <cell r="C15">
            <v>7.0000000000000007E-2</v>
          </cell>
        </row>
        <row r="16">
          <cell r="A16">
            <v>15</v>
          </cell>
          <cell r="B16">
            <v>1.5</v>
          </cell>
          <cell r="C16">
            <v>7.4999999999999997E-2</v>
          </cell>
        </row>
        <row r="17">
          <cell r="A17">
            <v>16</v>
          </cell>
          <cell r="B17">
            <v>1.6</v>
          </cell>
          <cell r="C17">
            <v>0.08</v>
          </cell>
        </row>
        <row r="18">
          <cell r="A18">
            <v>17</v>
          </cell>
          <cell r="B18">
            <v>1.7</v>
          </cell>
          <cell r="C18">
            <v>8.5000000000000006E-2</v>
          </cell>
        </row>
        <row r="19">
          <cell r="A19">
            <v>18</v>
          </cell>
          <cell r="B19">
            <v>1.8</v>
          </cell>
          <cell r="C19">
            <v>0.09</v>
          </cell>
        </row>
        <row r="20">
          <cell r="A20">
            <v>19</v>
          </cell>
          <cell r="B20">
            <v>1.9</v>
          </cell>
          <cell r="C20">
            <v>9.5000000000000001E-2</v>
          </cell>
        </row>
        <row r="21">
          <cell r="A21">
            <v>20</v>
          </cell>
          <cell r="B21">
            <v>2</v>
          </cell>
          <cell r="C21">
            <v>0.1</v>
          </cell>
        </row>
        <row r="22">
          <cell r="A22">
            <v>21</v>
          </cell>
          <cell r="B22">
            <v>2.1</v>
          </cell>
          <cell r="C22">
            <v>0.105</v>
          </cell>
        </row>
        <row r="23">
          <cell r="A23">
            <v>22</v>
          </cell>
          <cell r="B23">
            <v>2.2000000000000002</v>
          </cell>
          <cell r="C23">
            <v>0.11</v>
          </cell>
        </row>
        <row r="24">
          <cell r="A24">
            <v>23</v>
          </cell>
          <cell r="B24">
            <v>2.2999999999999998</v>
          </cell>
          <cell r="C24">
            <v>0.115</v>
          </cell>
        </row>
        <row r="25">
          <cell r="A25">
            <v>24</v>
          </cell>
          <cell r="B25">
            <v>2.4</v>
          </cell>
          <cell r="C25">
            <v>0.12</v>
          </cell>
        </row>
        <row r="26">
          <cell r="A26">
            <v>25</v>
          </cell>
          <cell r="B26">
            <v>2.5</v>
          </cell>
          <cell r="C26">
            <v>0.125</v>
          </cell>
        </row>
        <row r="27">
          <cell r="A27">
            <v>26</v>
          </cell>
          <cell r="B27">
            <v>2.6</v>
          </cell>
          <cell r="C27">
            <v>0.13</v>
          </cell>
        </row>
        <row r="28">
          <cell r="A28">
            <v>27</v>
          </cell>
          <cell r="B28">
            <v>2.7</v>
          </cell>
          <cell r="C28">
            <v>0.13500000000000001</v>
          </cell>
        </row>
        <row r="29">
          <cell r="A29">
            <v>28</v>
          </cell>
          <cell r="B29">
            <v>2.8</v>
          </cell>
          <cell r="C29">
            <v>0.14000000000000001</v>
          </cell>
        </row>
        <row r="30">
          <cell r="A30">
            <v>29</v>
          </cell>
          <cell r="B30">
            <v>2.9</v>
          </cell>
          <cell r="C30">
            <v>0.14499999999999999</v>
          </cell>
        </row>
        <row r="31">
          <cell r="A31">
            <v>30</v>
          </cell>
          <cell r="B31">
            <v>3</v>
          </cell>
          <cell r="C31">
            <v>0.15</v>
          </cell>
        </row>
        <row r="32">
          <cell r="A32">
            <v>31</v>
          </cell>
          <cell r="B32">
            <v>3.1</v>
          </cell>
          <cell r="C32">
            <v>0.155</v>
          </cell>
        </row>
        <row r="33">
          <cell r="A33">
            <v>32</v>
          </cell>
          <cell r="B33">
            <v>3.2</v>
          </cell>
          <cell r="C33">
            <v>0.16</v>
          </cell>
        </row>
        <row r="34">
          <cell r="A34">
            <v>33</v>
          </cell>
          <cell r="B34">
            <v>3.3</v>
          </cell>
          <cell r="C34">
            <v>0.16500000000000001</v>
          </cell>
        </row>
        <row r="35">
          <cell r="A35">
            <v>34</v>
          </cell>
          <cell r="B35">
            <v>3.4</v>
          </cell>
          <cell r="C35">
            <v>0.17</v>
          </cell>
        </row>
        <row r="36">
          <cell r="A36">
            <v>35</v>
          </cell>
          <cell r="B36">
            <v>3.5</v>
          </cell>
          <cell r="C36">
            <v>0.17499999999999999</v>
          </cell>
        </row>
        <row r="37">
          <cell r="A37">
            <v>36</v>
          </cell>
          <cell r="B37">
            <v>3.6</v>
          </cell>
          <cell r="C37">
            <v>0.18</v>
          </cell>
        </row>
        <row r="38">
          <cell r="A38">
            <v>37</v>
          </cell>
          <cell r="B38">
            <v>3.7</v>
          </cell>
          <cell r="C38">
            <v>0.185</v>
          </cell>
        </row>
        <row r="39">
          <cell r="A39">
            <v>38</v>
          </cell>
          <cell r="B39">
            <v>3.8</v>
          </cell>
          <cell r="C39">
            <v>0.19</v>
          </cell>
        </row>
        <row r="40">
          <cell r="A40">
            <v>39</v>
          </cell>
          <cell r="B40">
            <v>3.9</v>
          </cell>
          <cell r="C40">
            <v>0.19500000000000001</v>
          </cell>
        </row>
        <row r="41">
          <cell r="A41">
            <v>40</v>
          </cell>
          <cell r="B41">
            <v>4</v>
          </cell>
          <cell r="C41">
            <v>0.2</v>
          </cell>
        </row>
        <row r="42">
          <cell r="A42">
            <v>41</v>
          </cell>
          <cell r="B42">
            <v>4.0999999999999996</v>
          </cell>
          <cell r="C42">
            <v>0.20499999999999999</v>
          </cell>
        </row>
        <row r="43">
          <cell r="A43">
            <v>42</v>
          </cell>
          <cell r="B43">
            <v>4.2</v>
          </cell>
          <cell r="C43">
            <v>0.21</v>
          </cell>
        </row>
        <row r="44">
          <cell r="A44">
            <v>43</v>
          </cell>
          <cell r="B44">
            <v>4.3</v>
          </cell>
          <cell r="C44">
            <v>0.215</v>
          </cell>
        </row>
        <row r="45">
          <cell r="A45">
            <v>44</v>
          </cell>
          <cell r="B45">
            <v>4.4000000000000004</v>
          </cell>
          <cell r="C45">
            <v>0.22</v>
          </cell>
        </row>
        <row r="46">
          <cell r="A46">
            <v>45</v>
          </cell>
          <cell r="B46">
            <v>4.5</v>
          </cell>
          <cell r="C46">
            <v>0.22500000000000001</v>
          </cell>
        </row>
        <row r="47">
          <cell r="A47">
            <v>46</v>
          </cell>
          <cell r="B47">
            <v>4.5999999999999996</v>
          </cell>
          <cell r="C47">
            <v>0.23</v>
          </cell>
        </row>
        <row r="48">
          <cell r="A48">
            <v>47</v>
          </cell>
          <cell r="B48">
            <v>4.7</v>
          </cell>
          <cell r="C48">
            <v>0.23499999999999999</v>
          </cell>
        </row>
        <row r="49">
          <cell r="A49">
            <v>48</v>
          </cell>
          <cell r="B49">
            <v>4.8</v>
          </cell>
          <cell r="C49">
            <v>0.24</v>
          </cell>
        </row>
        <row r="50">
          <cell r="A50">
            <v>49</v>
          </cell>
          <cell r="B50">
            <v>4.9000000000000004</v>
          </cell>
          <cell r="C50">
            <v>0.245</v>
          </cell>
        </row>
        <row r="51">
          <cell r="A51">
            <v>50</v>
          </cell>
          <cell r="B51">
            <v>5</v>
          </cell>
          <cell r="C51">
            <v>0.25</v>
          </cell>
        </row>
        <row r="52">
          <cell r="A52">
            <v>51</v>
          </cell>
          <cell r="C52">
            <v>0.255</v>
          </cell>
        </row>
        <row r="53">
          <cell r="A53">
            <v>52</v>
          </cell>
          <cell r="C53">
            <v>0.26</v>
          </cell>
        </row>
        <row r="54">
          <cell r="A54">
            <v>53</v>
          </cell>
          <cell r="C54">
            <v>0.26500000000000001</v>
          </cell>
        </row>
        <row r="55">
          <cell r="A55">
            <v>54</v>
          </cell>
          <cell r="C55">
            <v>0.27</v>
          </cell>
        </row>
        <row r="56">
          <cell r="A56">
            <v>55</v>
          </cell>
          <cell r="C56">
            <v>0.27500000000000002</v>
          </cell>
        </row>
        <row r="57">
          <cell r="A57">
            <v>56</v>
          </cell>
          <cell r="C57">
            <v>0.28000000000000003</v>
          </cell>
        </row>
        <row r="58">
          <cell r="A58">
            <v>57</v>
          </cell>
          <cell r="C58">
            <v>0.28499999999999998</v>
          </cell>
        </row>
        <row r="59">
          <cell r="A59">
            <v>58</v>
          </cell>
          <cell r="C59">
            <v>0.28999999999999998</v>
          </cell>
        </row>
        <row r="60">
          <cell r="A60">
            <v>59</v>
          </cell>
          <cell r="C60">
            <v>0.29499999999999998</v>
          </cell>
        </row>
        <row r="61">
          <cell r="A61">
            <v>60</v>
          </cell>
          <cell r="C61">
            <v>0.3</v>
          </cell>
        </row>
        <row r="62">
          <cell r="A62">
            <v>61</v>
          </cell>
          <cell r="C62">
            <v>0.30499999999999999</v>
          </cell>
        </row>
        <row r="63">
          <cell r="A63">
            <v>62</v>
          </cell>
          <cell r="C63">
            <v>0.31</v>
          </cell>
        </row>
        <row r="64">
          <cell r="A64">
            <v>63</v>
          </cell>
          <cell r="C64">
            <v>0.315</v>
          </cell>
        </row>
        <row r="65">
          <cell r="A65">
            <v>64</v>
          </cell>
          <cell r="C65">
            <v>0.32</v>
          </cell>
        </row>
        <row r="66">
          <cell r="A66">
            <v>65</v>
          </cell>
          <cell r="C66">
            <v>0.32500000000000001</v>
          </cell>
        </row>
        <row r="67">
          <cell r="A67">
            <v>66</v>
          </cell>
          <cell r="C67">
            <v>0.33</v>
          </cell>
        </row>
        <row r="68">
          <cell r="A68">
            <v>67</v>
          </cell>
          <cell r="C68">
            <v>0.33500000000000002</v>
          </cell>
        </row>
        <row r="69">
          <cell r="A69">
            <v>68</v>
          </cell>
          <cell r="C69">
            <v>0.34</v>
          </cell>
        </row>
        <row r="70">
          <cell r="A70">
            <v>69</v>
          </cell>
          <cell r="C70">
            <v>0.34499999999999997</v>
          </cell>
        </row>
        <row r="71">
          <cell r="A71">
            <v>70</v>
          </cell>
          <cell r="C71">
            <v>0.35</v>
          </cell>
        </row>
        <row r="72">
          <cell r="A72">
            <v>71</v>
          </cell>
          <cell r="C72">
            <v>0.35499999999999998</v>
          </cell>
        </row>
        <row r="73">
          <cell r="A73">
            <v>72</v>
          </cell>
          <cell r="C73">
            <v>0.36</v>
          </cell>
        </row>
        <row r="74">
          <cell r="A74">
            <v>73</v>
          </cell>
          <cell r="C74">
            <v>0.36499999999999999</v>
          </cell>
        </row>
        <row r="75">
          <cell r="A75">
            <v>74</v>
          </cell>
          <cell r="C75">
            <v>0.37</v>
          </cell>
        </row>
        <row r="76">
          <cell r="A76">
            <v>75</v>
          </cell>
          <cell r="C76">
            <v>0.375</v>
          </cell>
        </row>
        <row r="77">
          <cell r="A77">
            <v>76</v>
          </cell>
          <cell r="C77">
            <v>0.38</v>
          </cell>
        </row>
        <row r="78">
          <cell r="A78">
            <v>77</v>
          </cell>
          <cell r="C78">
            <v>0.38500000000000001</v>
          </cell>
        </row>
        <row r="79">
          <cell r="A79">
            <v>78</v>
          </cell>
          <cell r="C79">
            <v>0.39</v>
          </cell>
        </row>
        <row r="80">
          <cell r="A80">
            <v>79</v>
          </cell>
          <cell r="C80">
            <v>0.39500000000000002</v>
          </cell>
        </row>
        <row r="81">
          <cell r="A81">
            <v>80</v>
          </cell>
          <cell r="C81">
            <v>0.4</v>
          </cell>
        </row>
        <row r="82">
          <cell r="A82">
            <v>81</v>
          </cell>
          <cell r="C82">
            <v>0.40500000000000003</v>
          </cell>
        </row>
        <row r="83">
          <cell r="A83">
            <v>82</v>
          </cell>
          <cell r="C83">
            <v>0.41</v>
          </cell>
        </row>
        <row r="84">
          <cell r="A84">
            <v>83</v>
          </cell>
          <cell r="C84">
            <v>0.41499999999999998</v>
          </cell>
        </row>
        <row r="85">
          <cell r="A85">
            <v>84</v>
          </cell>
          <cell r="C85">
            <v>0.42</v>
          </cell>
        </row>
        <row r="86">
          <cell r="A86">
            <v>85</v>
          </cell>
          <cell r="C86">
            <v>0.42499999999999999</v>
          </cell>
        </row>
        <row r="87">
          <cell r="A87">
            <v>86</v>
          </cell>
          <cell r="C87">
            <v>0.43</v>
          </cell>
        </row>
        <row r="88">
          <cell r="A88">
            <v>87</v>
          </cell>
          <cell r="C88">
            <v>0.435</v>
          </cell>
        </row>
        <row r="89">
          <cell r="A89">
            <v>88</v>
          </cell>
          <cell r="C89">
            <v>0.44</v>
          </cell>
        </row>
        <row r="90">
          <cell r="A90">
            <v>89</v>
          </cell>
          <cell r="C90">
            <v>0.44500000000000001</v>
          </cell>
        </row>
        <row r="91">
          <cell r="A91">
            <v>90</v>
          </cell>
          <cell r="C91">
            <v>0.45</v>
          </cell>
        </row>
        <row r="92">
          <cell r="A92">
            <v>91</v>
          </cell>
          <cell r="C92">
            <v>0.45500000000000002</v>
          </cell>
        </row>
        <row r="93">
          <cell r="A93">
            <v>92</v>
          </cell>
          <cell r="C93">
            <v>0.46</v>
          </cell>
        </row>
        <row r="94">
          <cell r="A94">
            <v>93</v>
          </cell>
          <cell r="C94">
            <v>0.46500000000000002</v>
          </cell>
        </row>
        <row r="95">
          <cell r="A95">
            <v>94</v>
          </cell>
          <cell r="C95">
            <v>0.47</v>
          </cell>
        </row>
        <row r="96">
          <cell r="A96">
            <v>95</v>
          </cell>
          <cell r="C96">
            <v>0.47499999999999998</v>
          </cell>
        </row>
        <row r="97">
          <cell r="A97">
            <v>96</v>
          </cell>
          <cell r="C97">
            <v>0.48</v>
          </cell>
        </row>
        <row r="98">
          <cell r="A98">
            <v>97</v>
          </cell>
          <cell r="C98">
            <v>0.48499999999999999</v>
          </cell>
        </row>
        <row r="99">
          <cell r="A99">
            <v>98</v>
          </cell>
          <cell r="C99">
            <v>0.49</v>
          </cell>
        </row>
        <row r="100">
          <cell r="A100">
            <v>99</v>
          </cell>
          <cell r="C100">
            <v>0.495</v>
          </cell>
        </row>
        <row r="101">
          <cell r="A101">
            <v>100</v>
          </cell>
          <cell r="C101">
            <v>0.5</v>
          </cell>
        </row>
        <row r="102">
          <cell r="C102">
            <v>0.505</v>
          </cell>
        </row>
        <row r="103">
          <cell r="C103">
            <v>0.51</v>
          </cell>
        </row>
        <row r="104">
          <cell r="C104">
            <v>0.51500000000000001</v>
          </cell>
        </row>
        <row r="105">
          <cell r="C105">
            <v>0.52</v>
          </cell>
        </row>
        <row r="106">
          <cell r="C106">
            <v>0.52500000000000002</v>
          </cell>
        </row>
        <row r="107">
          <cell r="C107">
            <v>0.53</v>
          </cell>
        </row>
        <row r="108">
          <cell r="C108">
            <v>0.53500000000000003</v>
          </cell>
        </row>
        <row r="109">
          <cell r="C109">
            <v>0.54</v>
          </cell>
        </row>
        <row r="110">
          <cell r="C110">
            <v>0.54500000000000004</v>
          </cell>
        </row>
        <row r="111">
          <cell r="C111">
            <v>0.55000000000000004</v>
          </cell>
        </row>
        <row r="112">
          <cell r="C112">
            <v>0.55500000000000005</v>
          </cell>
        </row>
        <row r="113">
          <cell r="C113">
            <v>0.56000000000000005</v>
          </cell>
        </row>
        <row r="114">
          <cell r="C114">
            <v>0.56499999999999995</v>
          </cell>
        </row>
        <row r="115">
          <cell r="C115">
            <v>0.56999999999999995</v>
          </cell>
        </row>
        <row r="116">
          <cell r="C116">
            <v>0.57499999999999996</v>
          </cell>
        </row>
        <row r="117">
          <cell r="C117">
            <v>0.57999999999999996</v>
          </cell>
        </row>
        <row r="118">
          <cell r="C118">
            <v>0.58499999999999996</v>
          </cell>
        </row>
        <row r="119">
          <cell r="C119">
            <v>0.59</v>
          </cell>
        </row>
        <row r="120">
          <cell r="C120">
            <v>0.59499999999999997</v>
          </cell>
        </row>
        <row r="121">
          <cell r="C121">
            <v>0.6</v>
          </cell>
        </row>
        <row r="122">
          <cell r="C122">
            <v>0.60499999999999998</v>
          </cell>
        </row>
        <row r="123">
          <cell r="C123">
            <v>0.61</v>
          </cell>
        </row>
        <row r="124">
          <cell r="C124">
            <v>0.61499999999999999</v>
          </cell>
        </row>
        <row r="125">
          <cell r="C125">
            <v>0.62</v>
          </cell>
        </row>
        <row r="126">
          <cell r="C126">
            <v>0.625</v>
          </cell>
        </row>
        <row r="127">
          <cell r="C127">
            <v>0.63</v>
          </cell>
        </row>
        <row r="128">
          <cell r="C128">
            <v>0.63500000000000001</v>
          </cell>
        </row>
        <row r="129">
          <cell r="C129">
            <v>0.64</v>
          </cell>
        </row>
        <row r="130">
          <cell r="C130">
            <v>0.64500000000000002</v>
          </cell>
        </row>
        <row r="131">
          <cell r="C131">
            <v>0.65</v>
          </cell>
        </row>
        <row r="132">
          <cell r="C132">
            <v>0.65500000000000003</v>
          </cell>
        </row>
        <row r="133">
          <cell r="C133">
            <v>0.66</v>
          </cell>
        </row>
        <row r="134">
          <cell r="C134">
            <v>0.66500000000000004</v>
          </cell>
        </row>
        <row r="135">
          <cell r="C135">
            <v>0.67</v>
          </cell>
        </row>
        <row r="136">
          <cell r="C136">
            <v>0.67500000000000004</v>
          </cell>
        </row>
        <row r="137">
          <cell r="C137">
            <v>0.68</v>
          </cell>
        </row>
        <row r="138">
          <cell r="C138">
            <v>0.68500000000000005</v>
          </cell>
        </row>
        <row r="139">
          <cell r="C139">
            <v>0.69</v>
          </cell>
        </row>
        <row r="140">
          <cell r="C140">
            <v>0.69499999999999995</v>
          </cell>
        </row>
        <row r="141">
          <cell r="C141">
            <v>0.7</v>
          </cell>
        </row>
        <row r="142">
          <cell r="C142">
            <v>0.70499999999999996</v>
          </cell>
        </row>
        <row r="143">
          <cell r="C143">
            <v>0.71</v>
          </cell>
        </row>
        <row r="144">
          <cell r="C144">
            <v>0.71499999999999997</v>
          </cell>
        </row>
        <row r="145">
          <cell r="C145">
            <v>0.72</v>
          </cell>
        </row>
        <row r="146">
          <cell r="C146">
            <v>0.72499999999999998</v>
          </cell>
        </row>
        <row r="147">
          <cell r="C147">
            <v>0.73</v>
          </cell>
        </row>
        <row r="148">
          <cell r="C148">
            <v>0.73499999999999999</v>
          </cell>
        </row>
        <row r="149">
          <cell r="C149">
            <v>0.74</v>
          </cell>
        </row>
        <row r="150">
          <cell r="C150">
            <v>0.745</v>
          </cell>
        </row>
        <row r="151">
          <cell r="C151">
            <v>0.75</v>
          </cell>
        </row>
        <row r="152">
          <cell r="C152">
            <v>0.755</v>
          </cell>
        </row>
        <row r="153">
          <cell r="C153">
            <v>0.76</v>
          </cell>
        </row>
        <row r="154">
          <cell r="C154">
            <v>0.76500000000000001</v>
          </cell>
        </row>
        <row r="155">
          <cell r="C155">
            <v>0.77</v>
          </cell>
        </row>
        <row r="156">
          <cell r="C156">
            <v>0.77500000000000002</v>
          </cell>
        </row>
        <row r="157">
          <cell r="C157">
            <v>0.78</v>
          </cell>
        </row>
        <row r="158">
          <cell r="C158">
            <v>0.78500000000000003</v>
          </cell>
        </row>
        <row r="159">
          <cell r="C159">
            <v>0.79</v>
          </cell>
        </row>
        <row r="160">
          <cell r="C160">
            <v>0.79500000000000004</v>
          </cell>
        </row>
        <row r="161">
          <cell r="C161">
            <v>0.8</v>
          </cell>
        </row>
        <row r="162">
          <cell r="C162">
            <v>0.80500000000000005</v>
          </cell>
        </row>
        <row r="163">
          <cell r="C163">
            <v>0.81</v>
          </cell>
        </row>
        <row r="164">
          <cell r="C164">
            <v>0.81499999999999995</v>
          </cell>
        </row>
        <row r="165">
          <cell r="C165">
            <v>0.82</v>
          </cell>
        </row>
        <row r="166">
          <cell r="C166">
            <v>0.82499999999999996</v>
          </cell>
        </row>
        <row r="167">
          <cell r="C167">
            <v>0.83</v>
          </cell>
        </row>
        <row r="168">
          <cell r="C168">
            <v>0.83499999999999996</v>
          </cell>
        </row>
        <row r="169">
          <cell r="C169">
            <v>0.84</v>
          </cell>
        </row>
        <row r="170">
          <cell r="C170">
            <v>0.84499999999999997</v>
          </cell>
        </row>
        <row r="171">
          <cell r="C171">
            <v>0.85</v>
          </cell>
        </row>
        <row r="172">
          <cell r="C172">
            <v>0.85499999999999998</v>
          </cell>
        </row>
        <row r="173">
          <cell r="C173">
            <v>0.86</v>
          </cell>
        </row>
        <row r="174">
          <cell r="C174">
            <v>0.86499999999999999</v>
          </cell>
        </row>
        <row r="175">
          <cell r="C175">
            <v>0.87</v>
          </cell>
        </row>
        <row r="176">
          <cell r="C176">
            <v>0.875</v>
          </cell>
        </row>
        <row r="177">
          <cell r="C177">
            <v>0.88</v>
          </cell>
        </row>
        <row r="178">
          <cell r="C178">
            <v>0.88500000000000001</v>
          </cell>
        </row>
        <row r="179">
          <cell r="C179">
            <v>0.89</v>
          </cell>
        </row>
        <row r="180">
          <cell r="C180">
            <v>0.89500000000000002</v>
          </cell>
        </row>
        <row r="181">
          <cell r="C181">
            <v>0.9</v>
          </cell>
        </row>
        <row r="182">
          <cell r="C182">
            <v>0.90500000000000003</v>
          </cell>
        </row>
        <row r="183">
          <cell r="C183">
            <v>0.91</v>
          </cell>
        </row>
        <row r="184">
          <cell r="C184">
            <v>0.91500000000000004</v>
          </cell>
        </row>
        <row r="185">
          <cell r="C185">
            <v>0.92</v>
          </cell>
        </row>
        <row r="186">
          <cell r="C186">
            <v>0.92500000000000004</v>
          </cell>
        </row>
        <row r="187">
          <cell r="C187">
            <v>0.93</v>
          </cell>
        </row>
        <row r="188">
          <cell r="C188">
            <v>0.93500000000000005</v>
          </cell>
        </row>
        <row r="189">
          <cell r="C189">
            <v>0.94</v>
          </cell>
        </row>
        <row r="190">
          <cell r="C190">
            <v>0.94499999999999995</v>
          </cell>
        </row>
        <row r="191">
          <cell r="C191">
            <v>0.95</v>
          </cell>
        </row>
        <row r="192">
          <cell r="C192">
            <v>0.95499999999999996</v>
          </cell>
        </row>
        <row r="193">
          <cell r="C193">
            <v>0.96</v>
          </cell>
        </row>
        <row r="194">
          <cell r="C194">
            <v>0.96499999999999997</v>
          </cell>
        </row>
        <row r="195">
          <cell r="C195">
            <v>0.97</v>
          </cell>
        </row>
        <row r="196">
          <cell r="C196">
            <v>0.97499999999999998</v>
          </cell>
        </row>
        <row r="197">
          <cell r="C197">
            <v>0.98</v>
          </cell>
        </row>
        <row r="198">
          <cell r="C198">
            <v>0.98499999999999999</v>
          </cell>
        </row>
        <row r="199">
          <cell r="C199">
            <v>0.99</v>
          </cell>
        </row>
        <row r="200">
          <cell r="C200">
            <v>0.995</v>
          </cell>
        </row>
        <row r="201">
          <cell r="C201">
            <v>1</v>
          </cell>
        </row>
      </sheetData>
      <sheetData sheetId="1" refreshError="1"/>
      <sheetData sheetId="2" refreshError="1"/>
      <sheetData sheetId="3"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 bldg"/>
      <sheetName val="BAN"/>
      <sheetName val="SDCA"/>
      <sheetName val="Access-Interconnect-BW"/>
      <sheetName val="OSP cost"/>
      <sheetName val="Capex"/>
      <sheetName val="Sheet2"/>
      <sheetName val="Interconnect"/>
      <sheetName val="S&amp;M"/>
      <sheetName val="power cost"/>
      <sheetName val="Nw Cost"/>
      <sheetName val="capex1"/>
      <sheetName val="G&amp;A"/>
      <sheetName val="assumptions"/>
      <sheetName val="Manpower"/>
      <sheetName val="Database"/>
      <sheetName val="Main workings"/>
      <sheetName val="monthwise budget"/>
      <sheetName val="Sheet4"/>
      <sheetName val="Sheet1"/>
      <sheetName val="Revenue 10 yr"/>
      <sheetName val="Revenue 10 FY"/>
      <sheetName val="Sheet3"/>
      <sheetName val="percentage_analysis"/>
      <sheetName val="Introduction"/>
      <sheetName val="IDC 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56">
          <cell r="A156" t="str">
            <v>CAPEX WORKINGS</v>
          </cell>
        </row>
        <row r="158">
          <cell r="A158" t="str">
            <v>DLC  assumed for Electronics Cost</v>
          </cell>
        </row>
        <row r="159">
          <cell r="A159" t="str">
            <v>Top 10 Cities</v>
          </cell>
          <cell r="B159">
            <v>2</v>
          </cell>
          <cell r="D159">
            <v>26563</v>
          </cell>
          <cell r="E159">
            <v>33875</v>
          </cell>
          <cell r="F159">
            <v>41188</v>
          </cell>
          <cell r="G159">
            <v>48500</v>
          </cell>
          <cell r="H159">
            <v>48500</v>
          </cell>
          <cell r="I159">
            <v>48500</v>
          </cell>
          <cell r="J159">
            <v>48500</v>
          </cell>
          <cell r="K159">
            <v>48500</v>
          </cell>
          <cell r="L159">
            <v>48500</v>
          </cell>
          <cell r="M159">
            <v>48500</v>
          </cell>
          <cell r="N159">
            <v>48500</v>
          </cell>
          <cell r="O159">
            <v>48500</v>
          </cell>
          <cell r="P159">
            <v>48500</v>
          </cell>
          <cell r="Q159">
            <v>48500</v>
          </cell>
          <cell r="R159">
            <v>48500</v>
          </cell>
          <cell r="S159">
            <v>48500</v>
          </cell>
          <cell r="T159">
            <v>48500</v>
          </cell>
          <cell r="U159">
            <v>48500</v>
          </cell>
          <cell r="V159">
            <v>48500</v>
          </cell>
          <cell r="W159">
            <v>48500</v>
          </cell>
          <cell r="X159">
            <v>48500</v>
          </cell>
          <cell r="Y159">
            <v>48500</v>
          </cell>
          <cell r="Z159">
            <v>48500</v>
          </cell>
          <cell r="AA159">
            <v>48500</v>
          </cell>
          <cell r="AB159">
            <v>48500</v>
          </cell>
          <cell r="AC159">
            <v>48500</v>
          </cell>
          <cell r="AD159">
            <v>48500</v>
          </cell>
          <cell r="AE159">
            <v>48500</v>
          </cell>
          <cell r="AF159">
            <v>48500</v>
          </cell>
          <cell r="AG159">
            <v>48500</v>
          </cell>
          <cell r="AH159">
            <v>48500</v>
          </cell>
          <cell r="AI159">
            <v>48500</v>
          </cell>
          <cell r="AJ159">
            <v>48500</v>
          </cell>
          <cell r="AK159">
            <v>48500</v>
          </cell>
          <cell r="AL159">
            <v>48500</v>
          </cell>
          <cell r="AM159">
            <v>48500</v>
          </cell>
          <cell r="AN159">
            <v>48500</v>
          </cell>
          <cell r="AO159">
            <v>48500</v>
          </cell>
          <cell r="AP159">
            <v>48500</v>
          </cell>
          <cell r="AQ159">
            <v>48500</v>
          </cell>
          <cell r="AR159">
            <v>48500</v>
          </cell>
          <cell r="AS159">
            <v>48500</v>
          </cell>
          <cell r="AT159">
            <v>48500</v>
          </cell>
          <cell r="AU159">
            <v>48500</v>
          </cell>
          <cell r="AV159">
            <v>48500</v>
          </cell>
          <cell r="AW159">
            <v>48500</v>
          </cell>
          <cell r="AX159">
            <v>48500</v>
          </cell>
          <cell r="AY159">
            <v>48500</v>
          </cell>
          <cell r="AZ159">
            <v>48500</v>
          </cell>
          <cell r="BA159">
            <v>48500</v>
          </cell>
          <cell r="BB159">
            <v>48500</v>
          </cell>
          <cell r="BC159">
            <v>48500</v>
          </cell>
          <cell r="BD159">
            <v>48500</v>
          </cell>
          <cell r="BE159">
            <v>48500</v>
          </cell>
          <cell r="BF159">
            <v>48500</v>
          </cell>
          <cell r="BG159">
            <v>48500</v>
          </cell>
          <cell r="BH159">
            <v>48500</v>
          </cell>
          <cell r="BI159">
            <v>48500</v>
          </cell>
          <cell r="BJ159">
            <v>48500</v>
          </cell>
          <cell r="BK159">
            <v>48500</v>
          </cell>
          <cell r="BL159">
            <v>48500</v>
          </cell>
          <cell r="BM159">
            <v>48500</v>
          </cell>
          <cell r="BN159">
            <v>48500</v>
          </cell>
          <cell r="BO159">
            <v>48500</v>
          </cell>
          <cell r="BP159">
            <v>48500</v>
          </cell>
          <cell r="BQ159">
            <v>48500</v>
          </cell>
          <cell r="BR159">
            <v>48500</v>
          </cell>
          <cell r="BS159">
            <v>48500</v>
          </cell>
          <cell r="BT159">
            <v>48500</v>
          </cell>
          <cell r="BU159">
            <v>48500</v>
          </cell>
          <cell r="BV159">
            <v>48500</v>
          </cell>
          <cell r="BW159">
            <v>48500</v>
          </cell>
          <cell r="BX159">
            <v>48500</v>
          </cell>
          <cell r="BY159">
            <v>48500</v>
          </cell>
          <cell r="BZ159">
            <v>48500</v>
          </cell>
          <cell r="CA159">
            <v>48500</v>
          </cell>
          <cell r="CB159">
            <v>48500</v>
          </cell>
          <cell r="CC159">
            <v>48500</v>
          </cell>
          <cell r="CD159">
            <v>48500</v>
          </cell>
          <cell r="CE159">
            <v>48500</v>
          </cell>
          <cell r="CF159">
            <v>48500</v>
          </cell>
          <cell r="CG159">
            <v>48500</v>
          </cell>
          <cell r="CH159">
            <v>48500</v>
          </cell>
          <cell r="CI159">
            <v>48500</v>
          </cell>
          <cell r="CJ159">
            <v>48500</v>
          </cell>
          <cell r="CK159">
            <v>48500</v>
          </cell>
          <cell r="CL159">
            <v>48500</v>
          </cell>
          <cell r="CM159">
            <v>48500</v>
          </cell>
          <cell r="CN159">
            <v>48500</v>
          </cell>
          <cell r="CO159">
            <v>48500</v>
          </cell>
          <cell r="CP159">
            <v>48500</v>
          </cell>
          <cell r="CQ159">
            <v>48500</v>
          </cell>
          <cell r="CR159">
            <v>48500</v>
          </cell>
          <cell r="CS159">
            <v>48500</v>
          </cell>
          <cell r="CT159">
            <v>48500</v>
          </cell>
          <cell r="CU159">
            <v>48500</v>
          </cell>
          <cell r="CV159">
            <v>48500</v>
          </cell>
          <cell r="CW159">
            <v>48500</v>
          </cell>
          <cell r="CX159">
            <v>48500</v>
          </cell>
          <cell r="CY159">
            <v>48500</v>
          </cell>
          <cell r="CZ159">
            <v>48500</v>
          </cell>
          <cell r="DA159">
            <v>48500</v>
          </cell>
          <cell r="DB159">
            <v>48500</v>
          </cell>
          <cell r="DC159">
            <v>48500</v>
          </cell>
          <cell r="DD159">
            <v>48500</v>
          </cell>
          <cell r="DE159">
            <v>48500</v>
          </cell>
          <cell r="DF159">
            <v>48500</v>
          </cell>
          <cell r="DG159">
            <v>48500</v>
          </cell>
          <cell r="DH159">
            <v>48500</v>
          </cell>
          <cell r="DI159">
            <v>48500</v>
          </cell>
          <cell r="DJ159">
            <v>48500</v>
          </cell>
          <cell r="DK159">
            <v>48500</v>
          </cell>
          <cell r="DL159">
            <v>48500</v>
          </cell>
          <cell r="DM159">
            <v>48500</v>
          </cell>
          <cell r="DN159">
            <v>48500</v>
          </cell>
          <cell r="DO159">
            <v>48500</v>
          </cell>
          <cell r="DP159">
            <v>48500</v>
          </cell>
          <cell r="DQ159">
            <v>48500</v>
          </cell>
          <cell r="DR159">
            <v>48500</v>
          </cell>
          <cell r="DS159">
            <v>48500</v>
          </cell>
        </row>
        <row r="160">
          <cell r="A160" t="str">
            <v>Balance 184 Cities</v>
          </cell>
          <cell r="B160">
            <v>3</v>
          </cell>
          <cell r="D160">
            <v>3374</v>
          </cell>
          <cell r="E160">
            <v>6748</v>
          </cell>
          <cell r="F160">
            <v>10121</v>
          </cell>
          <cell r="G160">
            <v>13495</v>
          </cell>
          <cell r="H160">
            <v>17662</v>
          </cell>
          <cell r="I160">
            <v>21829</v>
          </cell>
          <cell r="J160">
            <v>25995</v>
          </cell>
          <cell r="K160">
            <v>30162</v>
          </cell>
          <cell r="L160">
            <v>30162</v>
          </cell>
          <cell r="M160">
            <v>30162</v>
          </cell>
          <cell r="N160">
            <v>30162</v>
          </cell>
          <cell r="O160">
            <v>30162</v>
          </cell>
          <cell r="P160">
            <v>30162</v>
          </cell>
          <cell r="Q160">
            <v>30162</v>
          </cell>
          <cell r="R160">
            <v>30162</v>
          </cell>
          <cell r="S160">
            <v>30162</v>
          </cell>
          <cell r="T160">
            <v>30162</v>
          </cell>
          <cell r="U160">
            <v>30162</v>
          </cell>
          <cell r="V160">
            <v>30162</v>
          </cell>
          <cell r="W160">
            <v>30162</v>
          </cell>
          <cell r="X160">
            <v>30162</v>
          </cell>
          <cell r="Y160">
            <v>30162</v>
          </cell>
          <cell r="Z160">
            <v>30162</v>
          </cell>
          <cell r="AA160">
            <v>30162</v>
          </cell>
          <cell r="AB160">
            <v>30162</v>
          </cell>
          <cell r="AC160">
            <v>30162</v>
          </cell>
          <cell r="AD160">
            <v>30162</v>
          </cell>
          <cell r="AE160">
            <v>30162</v>
          </cell>
          <cell r="AF160">
            <v>30162</v>
          </cell>
          <cell r="AG160">
            <v>30162</v>
          </cell>
          <cell r="AH160">
            <v>30162</v>
          </cell>
          <cell r="AI160">
            <v>30162</v>
          </cell>
          <cell r="AJ160">
            <v>30162</v>
          </cell>
          <cell r="AK160">
            <v>30162</v>
          </cell>
          <cell r="AL160">
            <v>30162</v>
          </cell>
          <cell r="AM160">
            <v>30162</v>
          </cell>
          <cell r="AN160">
            <v>30162</v>
          </cell>
          <cell r="AO160">
            <v>30162</v>
          </cell>
          <cell r="AP160">
            <v>30162</v>
          </cell>
          <cell r="AQ160">
            <v>30162</v>
          </cell>
          <cell r="AR160">
            <v>30162</v>
          </cell>
          <cell r="AS160">
            <v>30162</v>
          </cell>
          <cell r="AT160">
            <v>30162</v>
          </cell>
          <cell r="AU160">
            <v>30162</v>
          </cell>
          <cell r="AV160">
            <v>30162</v>
          </cell>
          <cell r="AW160">
            <v>30162</v>
          </cell>
          <cell r="AX160">
            <v>30162</v>
          </cell>
          <cell r="AY160">
            <v>30162</v>
          </cell>
          <cell r="AZ160">
            <v>30162</v>
          </cell>
          <cell r="BA160">
            <v>30162</v>
          </cell>
          <cell r="BB160">
            <v>30162</v>
          </cell>
          <cell r="BC160">
            <v>30162</v>
          </cell>
          <cell r="BD160">
            <v>30162</v>
          </cell>
          <cell r="BE160">
            <v>30162</v>
          </cell>
          <cell r="BF160">
            <v>30162</v>
          </cell>
          <cell r="BG160">
            <v>30162</v>
          </cell>
          <cell r="BH160">
            <v>30162</v>
          </cell>
          <cell r="BI160">
            <v>30162</v>
          </cell>
          <cell r="BJ160">
            <v>30162</v>
          </cell>
          <cell r="BK160">
            <v>30162</v>
          </cell>
          <cell r="BL160">
            <v>30162</v>
          </cell>
          <cell r="BM160">
            <v>30162</v>
          </cell>
          <cell r="BN160">
            <v>30162</v>
          </cell>
          <cell r="BO160">
            <v>30162</v>
          </cell>
          <cell r="BP160">
            <v>30162</v>
          </cell>
          <cell r="BQ160">
            <v>30162</v>
          </cell>
          <cell r="BR160">
            <v>30162</v>
          </cell>
          <cell r="BS160">
            <v>30162</v>
          </cell>
          <cell r="BT160">
            <v>30162</v>
          </cell>
          <cell r="BU160">
            <v>30162</v>
          </cell>
          <cell r="BV160">
            <v>30162</v>
          </cell>
          <cell r="BW160">
            <v>30162</v>
          </cell>
          <cell r="BX160">
            <v>30162</v>
          </cell>
          <cell r="BY160">
            <v>30162</v>
          </cell>
          <cell r="BZ160">
            <v>30162</v>
          </cell>
          <cell r="CA160">
            <v>30162</v>
          </cell>
          <cell r="CB160">
            <v>30162</v>
          </cell>
          <cell r="CC160">
            <v>30162</v>
          </cell>
          <cell r="CD160">
            <v>30162</v>
          </cell>
          <cell r="CE160">
            <v>30162</v>
          </cell>
          <cell r="CF160">
            <v>30162</v>
          </cell>
          <cell r="CG160">
            <v>30162</v>
          </cell>
          <cell r="CH160">
            <v>30162</v>
          </cell>
          <cell r="CI160">
            <v>30162</v>
          </cell>
          <cell r="CJ160">
            <v>30162</v>
          </cell>
          <cell r="CK160">
            <v>30162</v>
          </cell>
          <cell r="CL160">
            <v>30162</v>
          </cell>
          <cell r="CM160">
            <v>30162</v>
          </cell>
          <cell r="CN160">
            <v>30162</v>
          </cell>
          <cell r="CO160">
            <v>30162</v>
          </cell>
          <cell r="CP160">
            <v>30162</v>
          </cell>
          <cell r="CQ160">
            <v>30162</v>
          </cell>
          <cell r="CR160">
            <v>30162</v>
          </cell>
          <cell r="CS160">
            <v>30162</v>
          </cell>
          <cell r="CT160">
            <v>30162</v>
          </cell>
          <cell r="CU160">
            <v>30162</v>
          </cell>
          <cell r="CV160">
            <v>30162</v>
          </cell>
          <cell r="CW160">
            <v>30162</v>
          </cell>
          <cell r="CX160">
            <v>30162</v>
          </cell>
          <cell r="CY160">
            <v>30162</v>
          </cell>
          <cell r="CZ160">
            <v>30162</v>
          </cell>
          <cell r="DA160">
            <v>30162</v>
          </cell>
          <cell r="DB160">
            <v>30162</v>
          </cell>
          <cell r="DC160">
            <v>30162</v>
          </cell>
          <cell r="DD160">
            <v>30162</v>
          </cell>
          <cell r="DE160">
            <v>30162</v>
          </cell>
          <cell r="DF160">
            <v>30162</v>
          </cell>
          <cell r="DG160">
            <v>30162</v>
          </cell>
          <cell r="DH160">
            <v>30162</v>
          </cell>
          <cell r="DI160">
            <v>30162</v>
          </cell>
          <cell r="DJ160">
            <v>30162</v>
          </cell>
          <cell r="DK160">
            <v>30162</v>
          </cell>
          <cell r="DL160">
            <v>30162</v>
          </cell>
          <cell r="DM160">
            <v>30162</v>
          </cell>
          <cell r="DN160">
            <v>30162</v>
          </cell>
          <cell r="DO160">
            <v>30162</v>
          </cell>
          <cell r="DP160">
            <v>30162</v>
          </cell>
          <cell r="DQ160">
            <v>30162</v>
          </cell>
          <cell r="DR160">
            <v>30162</v>
          </cell>
          <cell r="DS160">
            <v>30162</v>
          </cell>
        </row>
        <row r="161">
          <cell r="A161" t="str">
            <v>Total DLCs</v>
          </cell>
          <cell r="D161">
            <v>29937</v>
          </cell>
          <cell r="E161">
            <v>40623</v>
          </cell>
          <cell r="F161">
            <v>51309</v>
          </cell>
          <cell r="G161">
            <v>61995</v>
          </cell>
          <cell r="H161">
            <v>66162</v>
          </cell>
          <cell r="I161">
            <v>70329</v>
          </cell>
          <cell r="J161">
            <v>74495</v>
          </cell>
          <cell r="K161">
            <v>78662</v>
          </cell>
          <cell r="L161">
            <v>78662</v>
          </cell>
          <cell r="M161">
            <v>78662</v>
          </cell>
          <cell r="N161">
            <v>78662</v>
          </cell>
          <cell r="O161">
            <v>78662</v>
          </cell>
          <cell r="P161">
            <v>78662</v>
          </cell>
          <cell r="Q161">
            <v>78662</v>
          </cell>
          <cell r="R161">
            <v>78662</v>
          </cell>
          <cell r="S161">
            <v>78662</v>
          </cell>
          <cell r="T161">
            <v>78662</v>
          </cell>
          <cell r="U161">
            <v>78662</v>
          </cell>
          <cell r="V161">
            <v>78662</v>
          </cell>
          <cell r="W161">
            <v>78662</v>
          </cell>
          <cell r="X161">
            <v>78662</v>
          </cell>
          <cell r="Y161">
            <v>78662</v>
          </cell>
          <cell r="Z161">
            <v>78662</v>
          </cell>
          <cell r="AA161">
            <v>78662</v>
          </cell>
          <cell r="AB161">
            <v>78662</v>
          </cell>
          <cell r="AC161">
            <v>78662</v>
          </cell>
          <cell r="AD161">
            <v>78662</v>
          </cell>
          <cell r="AE161">
            <v>78662</v>
          </cell>
          <cell r="AF161">
            <v>78662</v>
          </cell>
          <cell r="AG161">
            <v>78662</v>
          </cell>
          <cell r="AH161">
            <v>78662</v>
          </cell>
          <cell r="AI161">
            <v>78662</v>
          </cell>
          <cell r="AJ161">
            <v>78662</v>
          </cell>
          <cell r="AK161">
            <v>78662</v>
          </cell>
          <cell r="AL161">
            <v>78662</v>
          </cell>
          <cell r="AM161">
            <v>78662</v>
          </cell>
          <cell r="AN161">
            <v>78662</v>
          </cell>
          <cell r="AO161">
            <v>78662</v>
          </cell>
          <cell r="AP161">
            <v>78662</v>
          </cell>
          <cell r="AQ161">
            <v>78662</v>
          </cell>
          <cell r="AR161">
            <v>78662</v>
          </cell>
          <cell r="AS161">
            <v>78662</v>
          </cell>
          <cell r="AT161">
            <v>78662</v>
          </cell>
          <cell r="AU161">
            <v>78662</v>
          </cell>
          <cell r="AV161">
            <v>78662</v>
          </cell>
          <cell r="AW161">
            <v>78662</v>
          </cell>
          <cell r="AX161">
            <v>78662</v>
          </cell>
          <cell r="AY161">
            <v>78662</v>
          </cell>
          <cell r="AZ161">
            <v>78662</v>
          </cell>
          <cell r="BA161">
            <v>78662</v>
          </cell>
          <cell r="BB161">
            <v>78662</v>
          </cell>
          <cell r="BC161">
            <v>78662</v>
          </cell>
          <cell r="BD161">
            <v>78662</v>
          </cell>
          <cell r="BE161">
            <v>78662</v>
          </cell>
          <cell r="BF161">
            <v>78662</v>
          </cell>
          <cell r="BG161">
            <v>78662</v>
          </cell>
          <cell r="BH161">
            <v>78662</v>
          </cell>
          <cell r="BI161">
            <v>78662</v>
          </cell>
          <cell r="BJ161">
            <v>78662</v>
          </cell>
          <cell r="BK161">
            <v>78662</v>
          </cell>
          <cell r="BL161">
            <v>78662</v>
          </cell>
          <cell r="BM161">
            <v>78662</v>
          </cell>
          <cell r="BN161">
            <v>78662</v>
          </cell>
          <cell r="BO161">
            <v>78662</v>
          </cell>
          <cell r="BP161">
            <v>78662</v>
          </cell>
          <cell r="BQ161">
            <v>78662</v>
          </cell>
          <cell r="BR161">
            <v>78662</v>
          </cell>
          <cell r="BS161">
            <v>78662</v>
          </cell>
          <cell r="BT161">
            <v>78662</v>
          </cell>
          <cell r="BU161">
            <v>78662</v>
          </cell>
          <cell r="BV161">
            <v>78662</v>
          </cell>
          <cell r="BW161">
            <v>78662</v>
          </cell>
          <cell r="BX161">
            <v>78662</v>
          </cell>
          <cell r="BY161">
            <v>78662</v>
          </cell>
          <cell r="BZ161">
            <v>78662</v>
          </cell>
          <cell r="CA161">
            <v>78662</v>
          </cell>
          <cell r="CB161">
            <v>78662</v>
          </cell>
          <cell r="CC161">
            <v>78662</v>
          </cell>
          <cell r="CD161">
            <v>78662</v>
          </cell>
          <cell r="CE161">
            <v>78662</v>
          </cell>
          <cell r="CF161">
            <v>78662</v>
          </cell>
          <cell r="CG161">
            <v>78662</v>
          </cell>
          <cell r="CH161">
            <v>78662</v>
          </cell>
          <cell r="CI161">
            <v>78662</v>
          </cell>
          <cell r="CJ161">
            <v>78662</v>
          </cell>
          <cell r="CK161">
            <v>78662</v>
          </cell>
          <cell r="CL161">
            <v>78662</v>
          </cell>
          <cell r="CM161">
            <v>78662</v>
          </cell>
          <cell r="CN161">
            <v>78662</v>
          </cell>
          <cell r="CO161">
            <v>78662</v>
          </cell>
          <cell r="CP161">
            <v>78662</v>
          </cell>
          <cell r="CQ161">
            <v>78662</v>
          </cell>
          <cell r="CR161">
            <v>78662</v>
          </cell>
          <cell r="CS161">
            <v>78662</v>
          </cell>
          <cell r="CT161">
            <v>78662</v>
          </cell>
          <cell r="CU161">
            <v>78662</v>
          </cell>
          <cell r="CV161">
            <v>78662</v>
          </cell>
          <cell r="CW161">
            <v>78662</v>
          </cell>
          <cell r="CX161">
            <v>78662</v>
          </cell>
          <cell r="CY161">
            <v>78662</v>
          </cell>
          <cell r="CZ161">
            <v>78662</v>
          </cell>
          <cell r="DA161">
            <v>78662</v>
          </cell>
          <cell r="DB161">
            <v>78662</v>
          </cell>
          <cell r="DC161">
            <v>78662</v>
          </cell>
          <cell r="DD161">
            <v>78662</v>
          </cell>
          <cell r="DE161">
            <v>78662</v>
          </cell>
          <cell r="DF161">
            <v>78662</v>
          </cell>
          <cell r="DG161">
            <v>78662</v>
          </cell>
          <cell r="DH161">
            <v>78662</v>
          </cell>
          <cell r="DI161">
            <v>78662</v>
          </cell>
          <cell r="DJ161">
            <v>78662</v>
          </cell>
          <cell r="DK161">
            <v>78662</v>
          </cell>
          <cell r="DL161">
            <v>78662</v>
          </cell>
          <cell r="DM161">
            <v>78662</v>
          </cell>
          <cell r="DN161">
            <v>78662</v>
          </cell>
          <cell r="DO161">
            <v>78662</v>
          </cell>
          <cell r="DP161">
            <v>78662</v>
          </cell>
          <cell r="DQ161">
            <v>78662</v>
          </cell>
          <cell r="DR161">
            <v>78662</v>
          </cell>
          <cell r="DS161">
            <v>78662</v>
          </cell>
        </row>
        <row r="163">
          <cell r="A163" t="str">
            <v>Capex Workings for Fiber Buildings</v>
          </cell>
        </row>
        <row r="164">
          <cell r="A164" t="str">
            <v xml:space="preserve">Amounts in Rs Cr </v>
          </cell>
        </row>
        <row r="165">
          <cell r="A165" t="str">
            <v>Fixed Capex per Building Cummulative</v>
          </cell>
        </row>
        <row r="166">
          <cell r="A166" t="str">
            <v>Fiber Termination based on No of Buildings</v>
          </cell>
          <cell r="D166">
            <v>212.42097720000001</v>
          </cell>
          <cell r="E166">
            <v>288.24455879999999</v>
          </cell>
          <cell r="F166">
            <v>364.0681404</v>
          </cell>
          <cell r="G166">
            <v>439.89172200000002</v>
          </cell>
          <cell r="H166">
            <v>469.4590872</v>
          </cell>
          <cell r="I166">
            <v>499.02645239999998</v>
          </cell>
          <cell r="J166">
            <v>528.58672200000001</v>
          </cell>
          <cell r="K166">
            <v>558.15408720000005</v>
          </cell>
          <cell r="L166">
            <v>558.15408720000005</v>
          </cell>
          <cell r="M166">
            <v>558.15408720000005</v>
          </cell>
          <cell r="N166">
            <v>558.15408720000005</v>
          </cell>
          <cell r="O166">
            <v>558.15408720000005</v>
          </cell>
          <cell r="P166">
            <v>558.15408720000005</v>
          </cell>
          <cell r="Q166">
            <v>558.15408720000005</v>
          </cell>
          <cell r="R166">
            <v>558.15408720000005</v>
          </cell>
          <cell r="S166">
            <v>558.15408720000005</v>
          </cell>
          <cell r="T166">
            <v>558.15408720000005</v>
          </cell>
          <cell r="U166">
            <v>558.15408720000005</v>
          </cell>
          <cell r="V166">
            <v>558.15408720000005</v>
          </cell>
          <cell r="W166">
            <v>558.15408720000005</v>
          </cell>
          <cell r="X166">
            <v>558.15408720000005</v>
          </cell>
          <cell r="Y166">
            <v>558.15408720000005</v>
          </cell>
          <cell r="Z166">
            <v>558.15408720000005</v>
          </cell>
          <cell r="AA166">
            <v>558.15408720000005</v>
          </cell>
          <cell r="AB166">
            <v>558.15408720000005</v>
          </cell>
          <cell r="AC166">
            <v>558.15408720000005</v>
          </cell>
          <cell r="AD166">
            <v>558.15408720000005</v>
          </cell>
          <cell r="AE166">
            <v>558.15408720000005</v>
          </cell>
          <cell r="AF166">
            <v>558.15408720000005</v>
          </cell>
          <cell r="AG166">
            <v>558.15408720000005</v>
          </cell>
          <cell r="AH166">
            <v>558.15408720000005</v>
          </cell>
          <cell r="AI166">
            <v>558.15408720000005</v>
          </cell>
          <cell r="AJ166">
            <v>558.15408720000005</v>
          </cell>
          <cell r="AK166">
            <v>558.15408720000005</v>
          </cell>
          <cell r="AL166">
            <v>558.15408720000005</v>
          </cell>
          <cell r="AM166">
            <v>558.15408720000005</v>
          </cell>
          <cell r="AN166">
            <v>558.15408720000005</v>
          </cell>
          <cell r="AO166">
            <v>558.15408720000005</v>
          </cell>
          <cell r="AP166">
            <v>558.15408720000005</v>
          </cell>
          <cell r="AQ166">
            <v>558.15408720000005</v>
          </cell>
          <cell r="AR166">
            <v>558.15408720000005</v>
          </cell>
          <cell r="AS166">
            <v>558.15408720000005</v>
          </cell>
          <cell r="AT166">
            <v>558.15408720000005</v>
          </cell>
          <cell r="AU166">
            <v>558.15408720000005</v>
          </cell>
          <cell r="AV166">
            <v>558.15408720000005</v>
          </cell>
          <cell r="AW166">
            <v>558.15408720000005</v>
          </cell>
          <cell r="AX166">
            <v>558.15408720000005</v>
          </cell>
          <cell r="AY166">
            <v>558.15408720000005</v>
          </cell>
          <cell r="AZ166">
            <v>558.15408720000005</v>
          </cell>
          <cell r="BA166">
            <v>558.15408720000005</v>
          </cell>
          <cell r="BB166">
            <v>558.15408720000005</v>
          </cell>
          <cell r="BC166">
            <v>558.15408720000005</v>
          </cell>
          <cell r="BD166">
            <v>558.15408720000005</v>
          </cell>
          <cell r="BE166">
            <v>558.15408720000005</v>
          </cell>
          <cell r="BF166">
            <v>558.15408720000005</v>
          </cell>
          <cell r="BG166">
            <v>558.15408720000005</v>
          </cell>
          <cell r="BH166">
            <v>558.15408720000005</v>
          </cell>
          <cell r="BI166">
            <v>558.15408720000005</v>
          </cell>
          <cell r="BJ166">
            <v>558.15408720000005</v>
          </cell>
          <cell r="BK166">
            <v>558.15408720000005</v>
          </cell>
          <cell r="BL166">
            <v>558.15408720000005</v>
          </cell>
          <cell r="BM166">
            <v>558.15408720000005</v>
          </cell>
          <cell r="BN166">
            <v>558.15408720000005</v>
          </cell>
          <cell r="BO166">
            <v>558.15408720000005</v>
          </cell>
          <cell r="BP166">
            <v>558.15408720000005</v>
          </cell>
          <cell r="BQ166">
            <v>558.15408720000005</v>
          </cell>
          <cell r="BR166">
            <v>558.15408720000005</v>
          </cell>
          <cell r="BS166">
            <v>558.15408720000005</v>
          </cell>
          <cell r="BT166">
            <v>558.15408720000005</v>
          </cell>
          <cell r="BU166">
            <v>558.15408720000005</v>
          </cell>
          <cell r="BV166">
            <v>558.15408720000005</v>
          </cell>
          <cell r="BW166">
            <v>558.15408720000005</v>
          </cell>
          <cell r="BX166">
            <v>558.15408720000005</v>
          </cell>
          <cell r="BY166">
            <v>558.15408720000005</v>
          </cell>
          <cell r="BZ166">
            <v>558.15408720000005</v>
          </cell>
          <cell r="CA166">
            <v>558.15408720000005</v>
          </cell>
          <cell r="CB166">
            <v>558.15408720000005</v>
          </cell>
          <cell r="CC166">
            <v>558.15408720000005</v>
          </cell>
          <cell r="CD166">
            <v>558.15408720000005</v>
          </cell>
          <cell r="CE166">
            <v>558.15408720000005</v>
          </cell>
          <cell r="CF166">
            <v>558.15408720000005</v>
          </cell>
          <cell r="CG166">
            <v>558.15408720000005</v>
          </cell>
          <cell r="CH166">
            <v>558.15408720000005</v>
          </cell>
          <cell r="CI166">
            <v>558.15408720000005</v>
          </cell>
          <cell r="CJ166">
            <v>558.15408720000005</v>
          </cell>
          <cell r="CK166">
            <v>558.15408720000005</v>
          </cell>
          <cell r="CL166">
            <v>558.15408720000005</v>
          </cell>
          <cell r="CM166">
            <v>558.15408720000005</v>
          </cell>
          <cell r="CN166">
            <v>558.15408720000005</v>
          </cell>
          <cell r="CO166">
            <v>558.15408720000005</v>
          </cell>
          <cell r="CP166">
            <v>558.15408720000005</v>
          </cell>
          <cell r="CQ166">
            <v>558.15408720000005</v>
          </cell>
          <cell r="CR166">
            <v>558.15408720000005</v>
          </cell>
          <cell r="CS166">
            <v>558.15408720000005</v>
          </cell>
          <cell r="CT166">
            <v>558.15408720000005</v>
          </cell>
          <cell r="CU166">
            <v>558.15408720000005</v>
          </cell>
          <cell r="CV166">
            <v>558.15408720000005</v>
          </cell>
          <cell r="CW166">
            <v>558.15408720000005</v>
          </cell>
          <cell r="CX166">
            <v>558.15408720000005</v>
          </cell>
          <cell r="CY166">
            <v>558.15408720000005</v>
          </cell>
          <cell r="CZ166">
            <v>558.15408720000005</v>
          </cell>
          <cell r="DA166">
            <v>558.15408720000005</v>
          </cell>
          <cell r="DB166">
            <v>558.15408720000005</v>
          </cell>
          <cell r="DC166">
            <v>558.15408720000005</v>
          </cell>
          <cell r="DD166">
            <v>558.15408720000005</v>
          </cell>
          <cell r="DE166">
            <v>558.15408720000005</v>
          </cell>
          <cell r="DF166">
            <v>558.15408720000005</v>
          </cell>
          <cell r="DG166">
            <v>558.15408720000005</v>
          </cell>
          <cell r="DH166">
            <v>558.15408720000005</v>
          </cell>
          <cell r="DI166">
            <v>558.15408720000005</v>
          </cell>
          <cell r="DJ166">
            <v>558.15408720000005</v>
          </cell>
          <cell r="DK166">
            <v>558.15408720000005</v>
          </cell>
          <cell r="DL166">
            <v>558.15408720000005</v>
          </cell>
          <cell r="DM166">
            <v>558.15408720000005</v>
          </cell>
          <cell r="DN166">
            <v>558.15408720000005</v>
          </cell>
          <cell r="DO166">
            <v>558.15408720000005</v>
          </cell>
          <cell r="DP166">
            <v>558.15408720000005</v>
          </cell>
          <cell r="DQ166">
            <v>558.15408720000005</v>
          </cell>
          <cell r="DR166">
            <v>558.15408720000005</v>
          </cell>
          <cell r="DS166">
            <v>558.15408720000005</v>
          </cell>
        </row>
        <row r="167">
          <cell r="A167" t="str">
            <v>Electronics - DLCs</v>
          </cell>
          <cell r="D167">
            <v>280.04267279999999</v>
          </cell>
          <cell r="E167">
            <v>380.00379120000002</v>
          </cell>
          <cell r="F167">
            <v>479.9649096</v>
          </cell>
          <cell r="G167">
            <v>579.92602799999997</v>
          </cell>
          <cell r="H167">
            <v>618.90581280000004</v>
          </cell>
          <cell r="I167">
            <v>657.88559759999998</v>
          </cell>
          <cell r="J167">
            <v>696.85602800000004</v>
          </cell>
          <cell r="K167">
            <v>735.83581279999999</v>
          </cell>
          <cell r="L167">
            <v>735.83581279999999</v>
          </cell>
          <cell r="M167">
            <v>735.83581279999999</v>
          </cell>
          <cell r="N167">
            <v>735.83581279999999</v>
          </cell>
          <cell r="O167">
            <v>735.83581279999999</v>
          </cell>
          <cell r="P167">
            <v>735.83581279999999</v>
          </cell>
          <cell r="Q167">
            <v>735.83581279999999</v>
          </cell>
          <cell r="R167">
            <v>735.83581279999999</v>
          </cell>
          <cell r="S167">
            <v>735.83581279999999</v>
          </cell>
          <cell r="T167">
            <v>735.83581279999999</v>
          </cell>
          <cell r="U167">
            <v>735.83581279999999</v>
          </cell>
          <cell r="V167">
            <v>735.83581279999999</v>
          </cell>
          <cell r="W167">
            <v>735.83581279999999</v>
          </cell>
          <cell r="X167">
            <v>735.83581279999999</v>
          </cell>
          <cell r="Y167">
            <v>735.83581279999999</v>
          </cell>
          <cell r="Z167">
            <v>735.83581279999999</v>
          </cell>
          <cell r="AA167">
            <v>735.83581279999999</v>
          </cell>
          <cell r="AB167">
            <v>735.83581279999999</v>
          </cell>
          <cell r="AC167">
            <v>735.83581279999999</v>
          </cell>
          <cell r="AD167">
            <v>735.83581279999999</v>
          </cell>
          <cell r="AE167">
            <v>735.83581279999999</v>
          </cell>
          <cell r="AF167">
            <v>735.83581279999999</v>
          </cell>
          <cell r="AG167">
            <v>735.83581279999999</v>
          </cell>
          <cell r="AH167">
            <v>735.83581279999999</v>
          </cell>
          <cell r="AI167">
            <v>735.83581279999999</v>
          </cell>
          <cell r="AJ167">
            <v>735.83581279999999</v>
          </cell>
          <cell r="AK167">
            <v>735.83581279999999</v>
          </cell>
          <cell r="AL167">
            <v>735.83581279999999</v>
          </cell>
          <cell r="AM167">
            <v>735.83581279999999</v>
          </cell>
          <cell r="AN167">
            <v>735.83581279999999</v>
          </cell>
          <cell r="AO167">
            <v>735.83581279999999</v>
          </cell>
          <cell r="AP167">
            <v>735.83581279999999</v>
          </cell>
          <cell r="AQ167">
            <v>735.83581279999999</v>
          </cell>
          <cell r="AR167">
            <v>735.83581279999999</v>
          </cell>
          <cell r="AS167">
            <v>735.83581279999999</v>
          </cell>
          <cell r="AT167">
            <v>735.83581279999999</v>
          </cell>
          <cell r="AU167">
            <v>735.83581279999999</v>
          </cell>
          <cell r="AV167">
            <v>735.83581279999999</v>
          </cell>
          <cell r="AW167">
            <v>735.83581279999999</v>
          </cell>
          <cell r="AX167">
            <v>735.83581279999999</v>
          </cell>
          <cell r="AY167">
            <v>735.83581279999999</v>
          </cell>
          <cell r="AZ167">
            <v>735.83581279999999</v>
          </cell>
          <cell r="BA167">
            <v>735.83581279999999</v>
          </cell>
          <cell r="BB167">
            <v>735.83581279999999</v>
          </cell>
          <cell r="BC167">
            <v>735.83581279999999</v>
          </cell>
          <cell r="BD167">
            <v>735.83581279999999</v>
          </cell>
          <cell r="BE167">
            <v>735.83581279999999</v>
          </cell>
          <cell r="BF167">
            <v>735.83581279999999</v>
          </cell>
          <cell r="BG167">
            <v>735.83581279999999</v>
          </cell>
          <cell r="BH167">
            <v>735.83581279999999</v>
          </cell>
          <cell r="BI167">
            <v>735.83581279999999</v>
          </cell>
          <cell r="BJ167">
            <v>735.83581279999999</v>
          </cell>
          <cell r="BK167">
            <v>735.83581279999999</v>
          </cell>
          <cell r="BL167">
            <v>735.83581279999999</v>
          </cell>
          <cell r="BM167">
            <v>735.83581279999999</v>
          </cell>
          <cell r="BN167">
            <v>735.83581279999999</v>
          </cell>
          <cell r="BO167">
            <v>735.83581279999999</v>
          </cell>
          <cell r="BP167">
            <v>735.83581279999999</v>
          </cell>
          <cell r="BQ167">
            <v>735.83581279999999</v>
          </cell>
          <cell r="BR167">
            <v>735.83581279999999</v>
          </cell>
          <cell r="BS167">
            <v>735.83581279999999</v>
          </cell>
          <cell r="BT167">
            <v>735.83581279999999</v>
          </cell>
          <cell r="BU167">
            <v>735.83581279999999</v>
          </cell>
          <cell r="BV167">
            <v>735.83581279999999</v>
          </cell>
          <cell r="BW167">
            <v>735.83581279999999</v>
          </cell>
          <cell r="BX167">
            <v>735.83581279999999</v>
          </cell>
          <cell r="BY167">
            <v>735.83581279999999</v>
          </cell>
          <cell r="BZ167">
            <v>735.83581279999999</v>
          </cell>
          <cell r="CA167">
            <v>735.83581279999999</v>
          </cell>
          <cell r="CB167">
            <v>735.83581279999999</v>
          </cell>
          <cell r="CC167">
            <v>735.83581279999999</v>
          </cell>
          <cell r="CD167">
            <v>735.83581279999999</v>
          </cell>
          <cell r="CE167">
            <v>735.83581279999999</v>
          </cell>
          <cell r="CF167">
            <v>735.83581279999999</v>
          </cell>
          <cell r="CG167">
            <v>735.83581279999999</v>
          </cell>
          <cell r="CH167">
            <v>735.83581279999999</v>
          </cell>
          <cell r="CI167">
            <v>735.83581279999999</v>
          </cell>
          <cell r="CJ167">
            <v>735.83581279999999</v>
          </cell>
          <cell r="CK167">
            <v>735.83581279999999</v>
          </cell>
          <cell r="CL167">
            <v>735.83581279999999</v>
          </cell>
          <cell r="CM167">
            <v>735.83581279999999</v>
          </cell>
          <cell r="CN167">
            <v>735.83581279999999</v>
          </cell>
          <cell r="CO167">
            <v>735.83581279999999</v>
          </cell>
          <cell r="CP167">
            <v>735.83581279999999</v>
          </cell>
          <cell r="CQ167">
            <v>735.83581279999999</v>
          </cell>
          <cell r="CR167">
            <v>735.83581279999999</v>
          </cell>
          <cell r="CS167">
            <v>735.83581279999999</v>
          </cell>
          <cell r="CT167">
            <v>735.83581279999999</v>
          </cell>
          <cell r="CU167">
            <v>735.83581279999999</v>
          </cell>
          <cell r="CV167">
            <v>735.83581279999999</v>
          </cell>
          <cell r="CW167">
            <v>735.83581279999999</v>
          </cell>
          <cell r="CX167">
            <v>735.83581279999999</v>
          </cell>
          <cell r="CY167">
            <v>735.83581279999999</v>
          </cell>
          <cell r="CZ167">
            <v>735.83581279999999</v>
          </cell>
          <cell r="DA167">
            <v>735.83581279999999</v>
          </cell>
          <cell r="DB167">
            <v>735.83581279999999</v>
          </cell>
          <cell r="DC167">
            <v>735.83581279999999</v>
          </cell>
          <cell r="DD167">
            <v>735.83581279999999</v>
          </cell>
          <cell r="DE167">
            <v>735.83581279999999</v>
          </cell>
          <cell r="DF167">
            <v>735.83581279999999</v>
          </cell>
          <cell r="DG167">
            <v>735.83581279999999</v>
          </cell>
          <cell r="DH167">
            <v>735.83581279999999</v>
          </cell>
          <cell r="DI167">
            <v>735.83581279999999</v>
          </cell>
          <cell r="DJ167">
            <v>735.83581279999999</v>
          </cell>
          <cell r="DK167">
            <v>735.83581279999999</v>
          </cell>
          <cell r="DL167">
            <v>735.83581279999999</v>
          </cell>
          <cell r="DM167">
            <v>735.83581279999999</v>
          </cell>
          <cell r="DN167">
            <v>735.83581279999999</v>
          </cell>
          <cell r="DO167">
            <v>735.83581279999999</v>
          </cell>
          <cell r="DP167">
            <v>735.83581279999999</v>
          </cell>
          <cell r="DQ167">
            <v>735.83581279999999</v>
          </cell>
          <cell r="DR167">
            <v>735.83581279999999</v>
          </cell>
          <cell r="DS167">
            <v>735.83581279999999</v>
          </cell>
        </row>
        <row r="169">
          <cell r="A169" t="str">
            <v>No of Buildings (ie fiber bldgs with electronics) per BAN</v>
          </cell>
          <cell r="B169">
            <v>224</v>
          </cell>
        </row>
        <row r="170">
          <cell r="A170" t="str">
            <v>Redundancy</v>
          </cell>
        </row>
        <row r="171">
          <cell r="A171" t="str">
            <v>BAN's required for Fiber Buildings covered by co-located BAN's</v>
          </cell>
          <cell r="B171">
            <v>0.7</v>
          </cell>
          <cell r="C171">
            <v>84</v>
          </cell>
          <cell r="D171">
            <v>527.05331577258676</v>
          </cell>
          <cell r="E171">
            <v>733.27329821184014</v>
          </cell>
          <cell r="F171">
            <v>939.49328065109353</v>
          </cell>
          <cell r="G171">
            <v>1145.713263090347</v>
          </cell>
          <cell r="H171">
            <v>1249.8799297570138</v>
          </cell>
          <cell r="I171">
            <v>1354.0465964236803</v>
          </cell>
          <cell r="J171">
            <v>1458.2132630903468</v>
          </cell>
          <cell r="K171">
            <v>1562.3799297570135</v>
          </cell>
          <cell r="L171">
            <v>1562.3799297570135</v>
          </cell>
          <cell r="M171">
            <v>1562.3799297570135</v>
          </cell>
          <cell r="N171">
            <v>1562.3799297570135</v>
          </cell>
          <cell r="O171">
            <v>1562.3799297570135</v>
          </cell>
          <cell r="P171">
            <v>1562.3799297570135</v>
          </cell>
          <cell r="Q171">
            <v>1562.3799297570135</v>
          </cell>
          <cell r="R171">
            <v>1562.3799297570135</v>
          </cell>
          <cell r="S171">
            <v>1562.3799297570135</v>
          </cell>
          <cell r="T171">
            <v>1562.3799297570135</v>
          </cell>
          <cell r="U171">
            <v>1562.3799297570135</v>
          </cell>
          <cell r="V171">
            <v>1562.3799297570135</v>
          </cell>
          <cell r="W171">
            <v>1562.3799297570135</v>
          </cell>
          <cell r="X171">
            <v>1562.3799297570135</v>
          </cell>
          <cell r="Y171">
            <v>1562.3799297570135</v>
          </cell>
          <cell r="Z171">
            <v>1562.3799297570135</v>
          </cell>
          <cell r="AA171">
            <v>1562.3799297570135</v>
          </cell>
          <cell r="AB171">
            <v>1562.3799297570135</v>
          </cell>
          <cell r="AC171">
            <v>1562.3799297570135</v>
          </cell>
          <cell r="AD171">
            <v>1562.3799297570135</v>
          </cell>
          <cell r="AE171">
            <v>1562.3799297570135</v>
          </cell>
          <cell r="AF171">
            <v>1562.3799297570135</v>
          </cell>
          <cell r="AG171">
            <v>1562.3799297570135</v>
          </cell>
          <cell r="AH171">
            <v>1562.3799297570135</v>
          </cell>
          <cell r="AI171">
            <v>1562.3799297570135</v>
          </cell>
          <cell r="AJ171">
            <v>1562.3799297570135</v>
          </cell>
          <cell r="AK171">
            <v>1562.3799297570135</v>
          </cell>
          <cell r="AL171">
            <v>1562.3799297570135</v>
          </cell>
          <cell r="AM171">
            <v>1562.3799297570135</v>
          </cell>
          <cell r="AN171">
            <v>1562.3799297570135</v>
          </cell>
          <cell r="AO171">
            <v>1562.3799297570135</v>
          </cell>
          <cell r="AP171">
            <v>1562.3799297570135</v>
          </cell>
          <cell r="AQ171">
            <v>1562.3799297570135</v>
          </cell>
          <cell r="AR171">
            <v>1562.3799297570135</v>
          </cell>
          <cell r="AS171">
            <v>1562.3799297570135</v>
          </cell>
          <cell r="AT171">
            <v>1562.3799297570135</v>
          </cell>
          <cell r="AU171">
            <v>1562.3799297570135</v>
          </cell>
          <cell r="AV171">
            <v>1562.3799297570135</v>
          </cell>
          <cell r="AW171">
            <v>1562.3799297570135</v>
          </cell>
          <cell r="AX171">
            <v>1562.3799297570135</v>
          </cell>
          <cell r="AY171">
            <v>1562.3799297570135</v>
          </cell>
          <cell r="AZ171">
            <v>1562.3799297570135</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row>
        <row r="172">
          <cell r="A172" t="str">
            <v>BAN's required for Fiber Buildings covered by independent BAN's</v>
          </cell>
          <cell r="B172">
            <v>0.30000000000000004</v>
          </cell>
          <cell r="C172">
            <v>112</v>
          </cell>
          <cell r="D172">
            <v>169.40999435547434</v>
          </cell>
          <cell r="E172">
            <v>235.69498871094865</v>
          </cell>
          <cell r="F172">
            <v>301.97998306642296</v>
          </cell>
          <cell r="G172">
            <v>368.2649774218973</v>
          </cell>
          <cell r="H172">
            <v>401.74712027904019</v>
          </cell>
          <cell r="I172">
            <v>435.22926313618302</v>
          </cell>
          <cell r="J172">
            <v>468.71140599332591</v>
          </cell>
          <cell r="K172">
            <v>502.19354885046874</v>
          </cell>
          <cell r="L172">
            <v>502.19354885046874</v>
          </cell>
          <cell r="M172">
            <v>502.19354885046874</v>
          </cell>
          <cell r="N172">
            <v>502.19354885046874</v>
          </cell>
          <cell r="O172">
            <v>502.19354885046874</v>
          </cell>
          <cell r="P172">
            <v>502.19354885046874</v>
          </cell>
          <cell r="Q172">
            <v>502.19354885046874</v>
          </cell>
          <cell r="R172">
            <v>502.19354885046874</v>
          </cell>
          <cell r="S172">
            <v>502.19354885046874</v>
          </cell>
          <cell r="T172">
            <v>502.19354885046874</v>
          </cell>
          <cell r="U172">
            <v>502.19354885046874</v>
          </cell>
          <cell r="V172">
            <v>502.19354885046874</v>
          </cell>
          <cell r="W172">
            <v>502.19354885046874</v>
          </cell>
          <cell r="X172">
            <v>502.19354885046874</v>
          </cell>
          <cell r="Y172">
            <v>502.19354885046874</v>
          </cell>
          <cell r="Z172">
            <v>502.19354885046874</v>
          </cell>
          <cell r="AA172">
            <v>502.19354885046874</v>
          </cell>
          <cell r="AB172">
            <v>502.19354885046874</v>
          </cell>
          <cell r="AC172">
            <v>502.19354885046874</v>
          </cell>
          <cell r="AD172">
            <v>502.19354885046874</v>
          </cell>
          <cell r="AE172">
            <v>502.19354885046874</v>
          </cell>
          <cell r="AF172">
            <v>502.19354885046874</v>
          </cell>
          <cell r="AG172">
            <v>502.19354885046874</v>
          </cell>
          <cell r="AH172">
            <v>502.19354885046874</v>
          </cell>
          <cell r="AI172">
            <v>502.19354885046874</v>
          </cell>
          <cell r="AJ172">
            <v>502.19354885046874</v>
          </cell>
          <cell r="AK172">
            <v>502.19354885046874</v>
          </cell>
          <cell r="AL172">
            <v>502.19354885046874</v>
          </cell>
          <cell r="AM172">
            <v>502.19354885046874</v>
          </cell>
          <cell r="AN172">
            <v>502.19354885046874</v>
          </cell>
          <cell r="AO172">
            <v>502.19354885046874</v>
          </cell>
          <cell r="AP172">
            <v>502.19354885046874</v>
          </cell>
          <cell r="AQ172">
            <v>502.19354885046874</v>
          </cell>
          <cell r="AR172">
            <v>502.19354885046874</v>
          </cell>
          <cell r="AS172">
            <v>502.19354885046874</v>
          </cell>
          <cell r="AT172">
            <v>502.19354885046874</v>
          </cell>
          <cell r="AU172">
            <v>502.19354885046874</v>
          </cell>
          <cell r="AV172">
            <v>502.19354885046874</v>
          </cell>
          <cell r="AW172">
            <v>502.19354885046874</v>
          </cell>
          <cell r="AX172">
            <v>502.19354885046874</v>
          </cell>
          <cell r="AY172">
            <v>502.19354885046874</v>
          </cell>
          <cell r="AZ172">
            <v>502.19354885046874</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row>
        <row r="173">
          <cell r="A173" t="str">
            <v>No of BANs required</v>
          </cell>
          <cell r="D173">
            <v>696.46331012806104</v>
          </cell>
          <cell r="E173">
            <v>968.96828692278882</v>
          </cell>
          <cell r="F173">
            <v>1241.4732637175166</v>
          </cell>
          <cell r="G173">
            <v>1513.9782405122444</v>
          </cell>
          <cell r="H173">
            <v>1651.627050036054</v>
          </cell>
          <cell r="I173">
            <v>1789.2758595598634</v>
          </cell>
          <cell r="J173">
            <v>1926.9246690836726</v>
          </cell>
          <cell r="K173">
            <v>2064.5734786074822</v>
          </cell>
          <cell r="L173">
            <v>2064.5734786074822</v>
          </cell>
          <cell r="M173">
            <v>2064.5734786074822</v>
          </cell>
          <cell r="N173">
            <v>2064.5734786074822</v>
          </cell>
          <cell r="O173">
            <v>2064.5734786074822</v>
          </cell>
          <cell r="P173">
            <v>2064.5734786074822</v>
          </cell>
          <cell r="Q173">
            <v>2064.5734786074822</v>
          </cell>
          <cell r="R173">
            <v>2064.5734786074822</v>
          </cell>
          <cell r="S173">
            <v>2064.5734786074822</v>
          </cell>
          <cell r="T173">
            <v>2064.5734786074822</v>
          </cell>
          <cell r="U173">
            <v>2064.5734786074822</v>
          </cell>
          <cell r="V173">
            <v>2064.5734786074822</v>
          </cell>
          <cell r="W173">
            <v>2064.5734786074822</v>
          </cell>
          <cell r="X173">
            <v>2064.5734786074822</v>
          </cell>
          <cell r="Y173">
            <v>2064.5734786074822</v>
          </cell>
          <cell r="Z173">
            <v>2064.5734786074822</v>
          </cell>
          <cell r="AA173">
            <v>2064.5734786074822</v>
          </cell>
          <cell r="AB173">
            <v>2064.5734786074822</v>
          </cell>
          <cell r="AC173">
            <v>2064.5734786074822</v>
          </cell>
          <cell r="AD173">
            <v>2064.5734786074822</v>
          </cell>
          <cell r="AE173">
            <v>2064.5734786074822</v>
          </cell>
          <cell r="AF173">
            <v>2064.5734786074822</v>
          </cell>
          <cell r="AG173">
            <v>2064.5734786074822</v>
          </cell>
          <cell r="AH173">
            <v>2064.5734786074822</v>
          </cell>
          <cell r="AI173">
            <v>2064.5734786074822</v>
          </cell>
          <cell r="AJ173">
            <v>2064.5734786074822</v>
          </cell>
          <cell r="AK173">
            <v>2064.5734786074822</v>
          </cell>
          <cell r="AL173">
            <v>2064.5734786074822</v>
          </cell>
          <cell r="AM173">
            <v>2064.5734786074822</v>
          </cell>
          <cell r="AN173">
            <v>2064.5734786074822</v>
          </cell>
          <cell r="AO173">
            <v>2064.5734786074822</v>
          </cell>
          <cell r="AP173">
            <v>2064.5734786074822</v>
          </cell>
          <cell r="AQ173">
            <v>2064.5734786074822</v>
          </cell>
          <cell r="AR173">
            <v>2064.5734786074822</v>
          </cell>
          <cell r="AS173">
            <v>2064.5734786074822</v>
          </cell>
          <cell r="AT173">
            <v>2064.5734786074822</v>
          </cell>
          <cell r="AU173">
            <v>2064.5734786074822</v>
          </cell>
          <cell r="AV173">
            <v>2064.5734786074822</v>
          </cell>
          <cell r="AW173">
            <v>2064.5734786074822</v>
          </cell>
          <cell r="AX173">
            <v>2064.5734786074822</v>
          </cell>
          <cell r="AY173">
            <v>2064.5734786074822</v>
          </cell>
          <cell r="AZ173">
            <v>2064.5734786074822</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row>
        <row r="175">
          <cell r="A175" t="str">
            <v>Fixed Facilities</v>
          </cell>
          <cell r="D175">
            <v>7.5236860826536756</v>
          </cell>
          <cell r="E175">
            <v>10.467476331974018</v>
          </cell>
          <cell r="F175">
            <v>13.411266581294361</v>
          </cell>
          <cell r="G175">
            <v>16.355056830614704</v>
          </cell>
          <cell r="H175">
            <v>17.842035997281371</v>
          </cell>
          <cell r="I175">
            <v>19.329015163948036</v>
          </cell>
          <cell r="J175">
            <v>20.8159943306147</v>
          </cell>
          <cell r="K175">
            <v>22.302973497281368</v>
          </cell>
          <cell r="L175">
            <v>22.302973497281368</v>
          </cell>
          <cell r="M175">
            <v>22.302973497281368</v>
          </cell>
          <cell r="N175">
            <v>22.302973497281368</v>
          </cell>
          <cell r="O175">
            <v>22.302973497281368</v>
          </cell>
          <cell r="P175">
            <v>22.302973497281368</v>
          </cell>
          <cell r="Q175">
            <v>22.302973497281368</v>
          </cell>
          <cell r="R175">
            <v>22.302973497281368</v>
          </cell>
          <cell r="S175">
            <v>22.302973497281368</v>
          </cell>
          <cell r="T175">
            <v>22.302973497281368</v>
          </cell>
          <cell r="U175">
            <v>22.302973497281368</v>
          </cell>
          <cell r="V175">
            <v>22.302973497281368</v>
          </cell>
          <cell r="W175">
            <v>22.302973497281368</v>
          </cell>
          <cell r="X175">
            <v>22.302973497281368</v>
          </cell>
          <cell r="Y175">
            <v>22.302973497281368</v>
          </cell>
          <cell r="Z175">
            <v>22.302973497281368</v>
          </cell>
          <cell r="AA175">
            <v>22.302973497281368</v>
          </cell>
          <cell r="AB175">
            <v>22.302973497281368</v>
          </cell>
          <cell r="AC175">
            <v>22.302973497281368</v>
          </cell>
          <cell r="AD175">
            <v>22.302973497281368</v>
          </cell>
          <cell r="AE175">
            <v>22.302973497281368</v>
          </cell>
          <cell r="AF175">
            <v>22.302973497281368</v>
          </cell>
          <cell r="AG175">
            <v>22.302973497281368</v>
          </cell>
          <cell r="AH175">
            <v>22.302973497281368</v>
          </cell>
          <cell r="AI175">
            <v>22.302973497281368</v>
          </cell>
          <cell r="AJ175">
            <v>22.302973497281368</v>
          </cell>
          <cell r="AK175">
            <v>22.302973497281368</v>
          </cell>
          <cell r="AL175">
            <v>22.302973497281368</v>
          </cell>
          <cell r="AM175">
            <v>22.302973497281368</v>
          </cell>
          <cell r="AN175">
            <v>22.302973497281368</v>
          </cell>
          <cell r="AO175">
            <v>22.302973497281368</v>
          </cell>
          <cell r="AP175">
            <v>22.302973497281368</v>
          </cell>
          <cell r="AQ175">
            <v>22.302973497281368</v>
          </cell>
          <cell r="AR175">
            <v>22.302973497281368</v>
          </cell>
          <cell r="AS175">
            <v>22.302973497281368</v>
          </cell>
          <cell r="AT175">
            <v>22.302973497281368</v>
          </cell>
          <cell r="AU175">
            <v>22.302973497281368</v>
          </cell>
          <cell r="AV175">
            <v>22.302973497281368</v>
          </cell>
          <cell r="AW175">
            <v>22.302973497281368</v>
          </cell>
          <cell r="AX175">
            <v>22.302973497281368</v>
          </cell>
          <cell r="AY175">
            <v>22.302973497281368</v>
          </cell>
          <cell r="AZ175">
            <v>22.302973497281368</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row>
        <row r="176">
          <cell r="A176" t="str">
            <v>Fxed Electronics</v>
          </cell>
          <cell r="D176">
            <v>190.12751903185938</v>
          </cell>
          <cell r="E176">
            <v>264.51865264705208</v>
          </cell>
          <cell r="F176">
            <v>338.90978626224484</v>
          </cell>
          <cell r="G176">
            <v>413.30091987743759</v>
          </cell>
          <cell r="H176">
            <v>450.87766838934238</v>
          </cell>
          <cell r="I176">
            <v>488.4544169012471</v>
          </cell>
          <cell r="J176">
            <v>526.03116541315171</v>
          </cell>
          <cell r="K176">
            <v>563.60791392505655</v>
          </cell>
          <cell r="L176">
            <v>563.60791392505655</v>
          </cell>
          <cell r="M176">
            <v>563.60791392505655</v>
          </cell>
          <cell r="N176">
            <v>563.60791392505655</v>
          </cell>
          <cell r="O176">
            <v>563.60791392505655</v>
          </cell>
          <cell r="P176">
            <v>563.60791392505655</v>
          </cell>
          <cell r="Q176">
            <v>563.60791392505655</v>
          </cell>
          <cell r="R176">
            <v>563.60791392505655</v>
          </cell>
          <cell r="S176">
            <v>563.60791392505655</v>
          </cell>
          <cell r="T176">
            <v>563.60791392505655</v>
          </cell>
          <cell r="U176">
            <v>563.60791392505655</v>
          </cell>
          <cell r="V176">
            <v>563.60791392505655</v>
          </cell>
          <cell r="W176">
            <v>563.60791392505655</v>
          </cell>
          <cell r="X176">
            <v>563.60791392505655</v>
          </cell>
          <cell r="Y176">
            <v>563.60791392505655</v>
          </cell>
          <cell r="Z176">
            <v>563.60791392505655</v>
          </cell>
          <cell r="AA176">
            <v>563.60791392505655</v>
          </cell>
          <cell r="AB176">
            <v>563.60791392505655</v>
          </cell>
          <cell r="AC176">
            <v>563.60791392505655</v>
          </cell>
          <cell r="AD176">
            <v>563.60791392505655</v>
          </cell>
          <cell r="AE176">
            <v>563.60791392505655</v>
          </cell>
          <cell r="AF176">
            <v>563.60791392505655</v>
          </cell>
          <cell r="AG176">
            <v>563.60791392505655</v>
          </cell>
          <cell r="AH176">
            <v>563.60791392505655</v>
          </cell>
          <cell r="AI176">
            <v>563.60791392505655</v>
          </cell>
          <cell r="AJ176">
            <v>563.60791392505655</v>
          </cell>
          <cell r="AK176">
            <v>563.60791392505655</v>
          </cell>
          <cell r="AL176">
            <v>563.60791392505655</v>
          </cell>
          <cell r="AM176">
            <v>563.60791392505655</v>
          </cell>
          <cell r="AN176">
            <v>563.60791392505655</v>
          </cell>
          <cell r="AO176">
            <v>563.60791392505655</v>
          </cell>
          <cell r="AP176">
            <v>563.60791392505655</v>
          </cell>
          <cell r="AQ176">
            <v>563.60791392505655</v>
          </cell>
          <cell r="AR176">
            <v>563.60791392505655</v>
          </cell>
          <cell r="AS176">
            <v>563.60791392505655</v>
          </cell>
          <cell r="AT176">
            <v>563.60791392505655</v>
          </cell>
          <cell r="AU176">
            <v>563.60791392505655</v>
          </cell>
          <cell r="AV176">
            <v>563.60791392505655</v>
          </cell>
          <cell r="AW176">
            <v>563.60791392505655</v>
          </cell>
          <cell r="AX176">
            <v>563.60791392505655</v>
          </cell>
          <cell r="AY176">
            <v>563.60791392505655</v>
          </cell>
          <cell r="AZ176">
            <v>563.60791392505655</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row>
        <row r="177">
          <cell r="A177" t="str">
            <v xml:space="preserve">Independent BAN facilities cost </v>
          </cell>
          <cell r="D177">
            <v>21.176249294434292</v>
          </cell>
          <cell r="E177">
            <v>29.461873588868581</v>
          </cell>
          <cell r="F177">
            <v>37.74749788330287</v>
          </cell>
          <cell r="G177">
            <v>46.033122177737162</v>
          </cell>
          <cell r="H177">
            <v>50.218390034880024</v>
          </cell>
          <cell r="I177">
            <v>54.403657892022871</v>
          </cell>
          <cell r="J177">
            <v>58.588925749165739</v>
          </cell>
          <cell r="K177">
            <v>62.774193606308593</v>
          </cell>
          <cell r="L177">
            <v>62.774193606308593</v>
          </cell>
          <cell r="M177">
            <v>62.774193606308593</v>
          </cell>
          <cell r="N177">
            <v>62.774193606308593</v>
          </cell>
          <cell r="O177">
            <v>62.774193606308593</v>
          </cell>
          <cell r="P177">
            <v>62.774193606308593</v>
          </cell>
          <cell r="Q177">
            <v>62.774193606308593</v>
          </cell>
          <cell r="R177">
            <v>62.774193606308593</v>
          </cell>
          <cell r="S177">
            <v>62.774193606308593</v>
          </cell>
          <cell r="T177">
            <v>62.774193606308593</v>
          </cell>
          <cell r="U177">
            <v>62.774193606308593</v>
          </cell>
          <cell r="V177">
            <v>62.774193606308593</v>
          </cell>
          <cell r="W177">
            <v>62.774193606308593</v>
          </cell>
          <cell r="X177">
            <v>62.774193606308593</v>
          </cell>
          <cell r="Y177">
            <v>62.774193606308593</v>
          </cell>
          <cell r="Z177">
            <v>62.774193606308593</v>
          </cell>
          <cell r="AA177">
            <v>62.774193606308593</v>
          </cell>
          <cell r="AB177">
            <v>62.774193606308593</v>
          </cell>
          <cell r="AC177">
            <v>62.774193606308593</v>
          </cell>
          <cell r="AD177">
            <v>62.774193606308593</v>
          </cell>
          <cell r="AE177">
            <v>62.774193606308593</v>
          </cell>
          <cell r="AF177">
            <v>62.774193606308593</v>
          </cell>
          <cell r="AG177">
            <v>62.774193606308593</v>
          </cell>
          <cell r="AH177">
            <v>62.774193606308593</v>
          </cell>
          <cell r="AI177">
            <v>62.774193606308593</v>
          </cell>
          <cell r="AJ177">
            <v>62.774193606308593</v>
          </cell>
          <cell r="AK177">
            <v>62.774193606308593</v>
          </cell>
          <cell r="AL177">
            <v>62.774193606308593</v>
          </cell>
          <cell r="AM177">
            <v>62.774193606308593</v>
          </cell>
          <cell r="AN177">
            <v>62.774193606308593</v>
          </cell>
          <cell r="AO177">
            <v>62.774193606308593</v>
          </cell>
          <cell r="AP177">
            <v>62.774193606308593</v>
          </cell>
          <cell r="AQ177">
            <v>62.774193606308593</v>
          </cell>
          <cell r="AR177">
            <v>62.774193606308593</v>
          </cell>
          <cell r="AS177">
            <v>62.774193606308593</v>
          </cell>
          <cell r="AT177">
            <v>62.774193606308593</v>
          </cell>
          <cell r="AU177">
            <v>62.774193606308593</v>
          </cell>
          <cell r="AV177">
            <v>62.774193606308593</v>
          </cell>
          <cell r="AW177">
            <v>62.774193606308593</v>
          </cell>
          <cell r="AX177">
            <v>62.774193606308593</v>
          </cell>
          <cell r="AY177">
            <v>62.774193606308593</v>
          </cell>
          <cell r="AZ177">
            <v>62.774193606308593</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row>
        <row r="178">
          <cell r="A178" t="str">
            <v>Capex Workings for Copper Buildings</v>
          </cell>
        </row>
        <row r="179">
          <cell r="A179" t="str">
            <v>Fixed Cost per Copper Building</v>
          </cell>
          <cell r="D179">
            <v>0</v>
          </cell>
          <cell r="E179">
            <v>0</v>
          </cell>
          <cell r="F179">
            <v>0</v>
          </cell>
          <cell r="G179">
            <v>0</v>
          </cell>
          <cell r="H179">
            <v>58.97444450431253</v>
          </cell>
          <cell r="I179">
            <v>117.94888900862506</v>
          </cell>
          <cell r="J179">
            <v>176.92333351293757</v>
          </cell>
          <cell r="K179">
            <v>235.89777801725012</v>
          </cell>
          <cell r="L179">
            <v>479.41868927803142</v>
          </cell>
          <cell r="M179">
            <v>722.93960053881278</v>
          </cell>
          <cell r="N179">
            <v>966.46051179959409</v>
          </cell>
          <cell r="O179">
            <v>1209.9814230603756</v>
          </cell>
          <cell r="P179">
            <v>1235.5185323603755</v>
          </cell>
          <cell r="Q179">
            <v>1261.0556416603756</v>
          </cell>
          <cell r="R179">
            <v>1286.5927509603755</v>
          </cell>
          <cell r="S179">
            <v>1312.1298602603756</v>
          </cell>
          <cell r="T179">
            <v>1312.1298602603756</v>
          </cell>
          <cell r="U179">
            <v>1312.1298602603756</v>
          </cell>
          <cell r="V179">
            <v>1312.1298602603756</v>
          </cell>
          <cell r="W179">
            <v>1312.1298602603756</v>
          </cell>
          <cell r="X179">
            <v>1312.1298602603756</v>
          </cell>
          <cell r="Y179">
            <v>1312.1298602603756</v>
          </cell>
          <cell r="Z179">
            <v>1312.1298602603756</v>
          </cell>
          <cell r="AA179">
            <v>1312.1298602603756</v>
          </cell>
          <cell r="AB179">
            <v>1312.1298602603756</v>
          </cell>
          <cell r="AC179">
            <v>1312.1298602603756</v>
          </cell>
          <cell r="AD179">
            <v>1312.1298602603756</v>
          </cell>
          <cell r="AE179">
            <v>1312.1298602603756</v>
          </cell>
          <cell r="AF179">
            <v>1312.1298602603756</v>
          </cell>
          <cell r="AG179">
            <v>1312.1298602603756</v>
          </cell>
          <cell r="AH179">
            <v>1312.1298602603756</v>
          </cell>
          <cell r="AI179">
            <v>1312.1298602603756</v>
          </cell>
          <cell r="AJ179">
            <v>1312.1298602603756</v>
          </cell>
          <cell r="AK179">
            <v>1312.1298602603756</v>
          </cell>
          <cell r="AL179">
            <v>1312.1298602603756</v>
          </cell>
          <cell r="AM179">
            <v>1312.1298602603756</v>
          </cell>
          <cell r="AN179">
            <v>1312.1298602603756</v>
          </cell>
          <cell r="AO179">
            <v>1312.1298602603756</v>
          </cell>
          <cell r="AP179">
            <v>1312.1298602603756</v>
          </cell>
          <cell r="AQ179">
            <v>1312.1298602603756</v>
          </cell>
          <cell r="AR179">
            <v>1312.1298602603756</v>
          </cell>
          <cell r="AS179">
            <v>1312.1298602603756</v>
          </cell>
          <cell r="AT179">
            <v>1312.1298602603756</v>
          </cell>
          <cell r="AU179">
            <v>1312.1298602603756</v>
          </cell>
          <cell r="AV179">
            <v>1312.1298602603756</v>
          </cell>
          <cell r="AW179">
            <v>1312.1298602603756</v>
          </cell>
          <cell r="AX179">
            <v>1312.1298602603756</v>
          </cell>
          <cell r="AY179">
            <v>1312.1298602603756</v>
          </cell>
          <cell r="AZ179">
            <v>1312.1298602603756</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row>
        <row r="181">
          <cell r="A181" t="str">
            <v>Total Fixed Cost</v>
          </cell>
          <cell r="D181">
            <v>711.29110440894738</v>
          </cell>
          <cell r="E181">
            <v>972.69635256789468</v>
          </cell>
          <cell r="F181">
            <v>1234.101600726842</v>
          </cell>
          <cell r="G181">
            <v>1495.5068488857896</v>
          </cell>
          <cell r="H181">
            <v>1666.2774389258166</v>
          </cell>
          <cell r="I181">
            <v>1837.0480289658431</v>
          </cell>
          <cell r="J181">
            <v>2007.8021690058699</v>
          </cell>
          <cell r="K181">
            <v>2178.5727590458969</v>
          </cell>
          <cell r="L181">
            <v>2422.0936703066782</v>
          </cell>
          <cell r="M181">
            <v>2665.614581567459</v>
          </cell>
          <cell r="N181">
            <v>2909.1354928282408</v>
          </cell>
          <cell r="O181">
            <v>3152.6564040890225</v>
          </cell>
          <cell r="P181">
            <v>3178.193513389022</v>
          </cell>
          <cell r="Q181">
            <v>3203.7306226890223</v>
          </cell>
          <cell r="R181">
            <v>3229.2677319890217</v>
          </cell>
          <cell r="S181">
            <v>3254.8048412890221</v>
          </cell>
          <cell r="T181">
            <v>3254.8048412890221</v>
          </cell>
          <cell r="U181">
            <v>3254.8048412890221</v>
          </cell>
          <cell r="V181">
            <v>3254.8048412890221</v>
          </cell>
          <cell r="W181">
            <v>3254.8048412890221</v>
          </cell>
          <cell r="X181">
            <v>3254.8048412890221</v>
          </cell>
          <cell r="Y181">
            <v>3254.8048412890221</v>
          </cell>
          <cell r="Z181">
            <v>3254.8048412890221</v>
          </cell>
          <cell r="AA181">
            <v>3254.8048412890221</v>
          </cell>
          <cell r="AB181">
            <v>3254.8048412890221</v>
          </cell>
          <cell r="AC181">
            <v>3254.8048412890221</v>
          </cell>
          <cell r="AD181">
            <v>3254.8048412890221</v>
          </cell>
          <cell r="AE181">
            <v>3254.8048412890221</v>
          </cell>
          <cell r="AF181">
            <v>3254.8048412890221</v>
          </cell>
          <cell r="AG181">
            <v>3254.8048412890221</v>
          </cell>
          <cell r="AH181">
            <v>3254.8048412890221</v>
          </cell>
          <cell r="AI181">
            <v>3254.8048412890221</v>
          </cell>
          <cell r="AJ181">
            <v>3254.8048412890221</v>
          </cell>
          <cell r="AK181">
            <v>3254.8048412890221</v>
          </cell>
          <cell r="AL181">
            <v>3254.8048412890221</v>
          </cell>
          <cell r="AM181">
            <v>3254.8048412890221</v>
          </cell>
          <cell r="AN181">
            <v>3254.8048412890221</v>
          </cell>
          <cell r="AO181">
            <v>3254.8048412890221</v>
          </cell>
          <cell r="AP181">
            <v>3254.8048412890221</v>
          </cell>
          <cell r="AQ181">
            <v>3254.8048412890221</v>
          </cell>
          <cell r="AR181">
            <v>3254.8048412890221</v>
          </cell>
          <cell r="AS181">
            <v>3254.8048412890221</v>
          </cell>
          <cell r="AT181">
            <v>3254.8048412890221</v>
          </cell>
          <cell r="AU181">
            <v>3254.8048412890221</v>
          </cell>
          <cell r="AV181">
            <v>3254.8048412890221</v>
          </cell>
          <cell r="AW181">
            <v>3254.8048412890221</v>
          </cell>
          <cell r="AX181">
            <v>3254.8048412890221</v>
          </cell>
          <cell r="AY181">
            <v>3254.8048412890221</v>
          </cell>
          <cell r="AZ181">
            <v>3254.8048412890221</v>
          </cell>
          <cell r="BA181">
            <v>1293.9899</v>
          </cell>
          <cell r="BB181">
            <v>1293.9899</v>
          </cell>
          <cell r="BC181">
            <v>1293.9899</v>
          </cell>
          <cell r="BD181">
            <v>1293.9899</v>
          </cell>
          <cell r="BE181">
            <v>1293.9899</v>
          </cell>
          <cell r="BF181">
            <v>1293.9899</v>
          </cell>
          <cell r="BG181">
            <v>1293.9899</v>
          </cell>
          <cell r="BH181">
            <v>1293.9899</v>
          </cell>
          <cell r="BI181">
            <v>1293.9899</v>
          </cell>
          <cell r="BJ181">
            <v>1293.9899</v>
          </cell>
          <cell r="BK181">
            <v>1293.9899</v>
          </cell>
          <cell r="BL181">
            <v>1293.9899</v>
          </cell>
          <cell r="BM181">
            <v>1293.9899</v>
          </cell>
          <cell r="BN181">
            <v>1293.9899</v>
          </cell>
          <cell r="BO181">
            <v>1293.9899</v>
          </cell>
          <cell r="BP181">
            <v>1293.9899</v>
          </cell>
          <cell r="BQ181">
            <v>1293.9899</v>
          </cell>
          <cell r="BR181">
            <v>1293.9899</v>
          </cell>
          <cell r="BS181">
            <v>1293.9899</v>
          </cell>
          <cell r="BT181">
            <v>1293.9899</v>
          </cell>
          <cell r="BU181">
            <v>1293.9899</v>
          </cell>
          <cell r="BV181">
            <v>1293.9899</v>
          </cell>
          <cell r="BW181">
            <v>1293.9899</v>
          </cell>
          <cell r="BX181">
            <v>1293.9899</v>
          </cell>
          <cell r="BY181">
            <v>1293.9899</v>
          </cell>
          <cell r="BZ181">
            <v>1293.9899</v>
          </cell>
          <cell r="CA181">
            <v>1293.9899</v>
          </cell>
          <cell r="CB181">
            <v>1293.9899</v>
          </cell>
          <cell r="CC181">
            <v>1293.9899</v>
          </cell>
          <cell r="CD181">
            <v>1293.9899</v>
          </cell>
          <cell r="CE181">
            <v>1293.9899</v>
          </cell>
          <cell r="CF181">
            <v>1293.9899</v>
          </cell>
          <cell r="CG181">
            <v>1293.9899</v>
          </cell>
          <cell r="CH181">
            <v>1293.9899</v>
          </cell>
          <cell r="CI181">
            <v>1293.9899</v>
          </cell>
          <cell r="CJ181">
            <v>1293.9899</v>
          </cell>
          <cell r="CK181">
            <v>1293.9899</v>
          </cell>
          <cell r="CL181">
            <v>1293.9899</v>
          </cell>
          <cell r="CM181">
            <v>1293.9899</v>
          </cell>
          <cell r="CN181">
            <v>1293.9899</v>
          </cell>
          <cell r="CO181">
            <v>1293.9899</v>
          </cell>
          <cell r="CP181">
            <v>1293.9899</v>
          </cell>
          <cell r="CQ181">
            <v>1293.9899</v>
          </cell>
          <cell r="CR181">
            <v>1293.9899</v>
          </cell>
          <cell r="CS181">
            <v>1293.9899</v>
          </cell>
          <cell r="CT181">
            <v>1293.9899</v>
          </cell>
          <cell r="CU181">
            <v>1293.9899</v>
          </cell>
          <cell r="CV181">
            <v>1293.9899</v>
          </cell>
          <cell r="CW181">
            <v>1293.9899</v>
          </cell>
          <cell r="CX181">
            <v>1293.9899</v>
          </cell>
          <cell r="CY181">
            <v>1293.9899</v>
          </cell>
          <cell r="CZ181">
            <v>1293.9899</v>
          </cell>
          <cell r="DA181">
            <v>1293.9899</v>
          </cell>
          <cell r="DB181">
            <v>1293.9899</v>
          </cell>
          <cell r="DC181">
            <v>1293.9899</v>
          </cell>
          <cell r="DD181">
            <v>1293.9899</v>
          </cell>
          <cell r="DE181">
            <v>1293.9899</v>
          </cell>
          <cell r="DF181">
            <v>1293.9899</v>
          </cell>
          <cell r="DG181">
            <v>1293.9899</v>
          </cell>
          <cell r="DH181">
            <v>1293.9899</v>
          </cell>
          <cell r="DI181">
            <v>1293.9899</v>
          </cell>
          <cell r="DJ181">
            <v>1293.9899</v>
          </cell>
          <cell r="DK181">
            <v>1293.9899</v>
          </cell>
          <cell r="DL181">
            <v>1293.9899</v>
          </cell>
          <cell r="DM181">
            <v>1293.9899</v>
          </cell>
          <cell r="DN181">
            <v>1293.9899</v>
          </cell>
          <cell r="DO181">
            <v>1293.9899</v>
          </cell>
          <cell r="DP181">
            <v>1293.9899</v>
          </cell>
          <cell r="DQ181">
            <v>1293.9899</v>
          </cell>
          <cell r="DR181">
            <v>1293.9899</v>
          </cell>
          <cell r="DS181">
            <v>1293.9899</v>
          </cell>
        </row>
        <row r="183">
          <cell r="A183" t="str">
            <v>Variable Cost</v>
          </cell>
        </row>
        <row r="184">
          <cell r="A184" t="str">
            <v>Fiber DELs</v>
          </cell>
          <cell r="D184">
            <v>65.407859802842609</v>
          </cell>
          <cell r="E184">
            <v>89.402420498542355</v>
          </cell>
          <cell r="F184">
            <v>113.3969811942421</v>
          </cell>
          <cell r="G184">
            <v>137.39154188994186</v>
          </cell>
          <cell r="H184">
            <v>176.20527557671303</v>
          </cell>
          <cell r="I184">
            <v>180.67112379099876</v>
          </cell>
          <cell r="J184">
            <v>185.13697200528446</v>
          </cell>
          <cell r="K184">
            <v>189.60282021957019</v>
          </cell>
          <cell r="L184">
            <v>211.24261117009863</v>
          </cell>
          <cell r="M184">
            <v>211.24261117009863</v>
          </cell>
          <cell r="N184">
            <v>211.24261117009863</v>
          </cell>
          <cell r="O184">
            <v>211.24261117009863</v>
          </cell>
          <cell r="P184">
            <v>230.64947801348418</v>
          </cell>
          <cell r="Q184">
            <v>230.64947801348418</v>
          </cell>
          <cell r="R184">
            <v>230.64947801348418</v>
          </cell>
          <cell r="S184">
            <v>230.64947801348418</v>
          </cell>
          <cell r="T184">
            <v>232.88240212062706</v>
          </cell>
          <cell r="U184">
            <v>232.88240212062706</v>
          </cell>
          <cell r="V184">
            <v>232.88240212062706</v>
          </cell>
          <cell r="W184">
            <v>232.88240212062706</v>
          </cell>
          <cell r="X184">
            <v>232.88240212062706</v>
          </cell>
          <cell r="Y184">
            <v>232.88240212062706</v>
          </cell>
          <cell r="Z184">
            <v>232.88240212062706</v>
          </cell>
          <cell r="AA184">
            <v>232.88240212062706</v>
          </cell>
          <cell r="AB184">
            <v>232.88240212062706</v>
          </cell>
          <cell r="AC184">
            <v>232.88240212062706</v>
          </cell>
          <cell r="AD184">
            <v>232.88240212062706</v>
          </cell>
          <cell r="AE184">
            <v>232.88240212062706</v>
          </cell>
          <cell r="AF184">
            <v>232.88240212062706</v>
          </cell>
          <cell r="AG184">
            <v>232.88240212062706</v>
          </cell>
          <cell r="AH184">
            <v>232.88240212062706</v>
          </cell>
          <cell r="AI184">
            <v>232.88240212062706</v>
          </cell>
          <cell r="AJ184">
            <v>232.88240212062706</v>
          </cell>
          <cell r="AK184">
            <v>232.88240212062706</v>
          </cell>
          <cell r="AL184">
            <v>232.88240212062706</v>
          </cell>
          <cell r="AM184">
            <v>232.88240212062706</v>
          </cell>
          <cell r="AN184">
            <v>232.88240212062706</v>
          </cell>
          <cell r="AO184">
            <v>232.88240212062706</v>
          </cell>
          <cell r="AP184">
            <v>232.88240212062706</v>
          </cell>
          <cell r="AQ184">
            <v>232.88240212062706</v>
          </cell>
          <cell r="AR184">
            <v>232.88240212062706</v>
          </cell>
          <cell r="AS184">
            <v>232.88240212062706</v>
          </cell>
          <cell r="AT184">
            <v>232.88240212062706</v>
          </cell>
          <cell r="AU184">
            <v>232.88240212062706</v>
          </cell>
          <cell r="AV184">
            <v>232.88240212062706</v>
          </cell>
          <cell r="AW184">
            <v>232.88240212062706</v>
          </cell>
          <cell r="AX184">
            <v>232.88240212062706</v>
          </cell>
          <cell r="AY184">
            <v>232.88240212062706</v>
          </cell>
          <cell r="AZ184">
            <v>232.88240212062706</v>
          </cell>
          <cell r="BA184" t="e">
            <v>#N/A</v>
          </cell>
          <cell r="BB184" t="e">
            <v>#N/A</v>
          </cell>
          <cell r="BC184" t="e">
            <v>#N/A</v>
          </cell>
          <cell r="BD184" t="e">
            <v>#N/A</v>
          </cell>
          <cell r="BE184" t="e">
            <v>#N/A</v>
          </cell>
          <cell r="BF184" t="e">
            <v>#N/A</v>
          </cell>
          <cell r="BG184" t="e">
            <v>#N/A</v>
          </cell>
          <cell r="BH184" t="e">
            <v>#N/A</v>
          </cell>
          <cell r="BI184" t="e">
            <v>#N/A</v>
          </cell>
          <cell r="BJ184" t="e">
            <v>#N/A</v>
          </cell>
          <cell r="BK184" t="e">
            <v>#N/A</v>
          </cell>
          <cell r="BL184" t="e">
            <v>#N/A</v>
          </cell>
          <cell r="BM184" t="e">
            <v>#N/A</v>
          </cell>
          <cell r="BN184" t="e">
            <v>#N/A</v>
          </cell>
          <cell r="BO184" t="e">
            <v>#N/A</v>
          </cell>
          <cell r="BP184" t="e">
            <v>#N/A</v>
          </cell>
          <cell r="BQ184" t="e">
            <v>#N/A</v>
          </cell>
          <cell r="BR184" t="e">
            <v>#N/A</v>
          </cell>
          <cell r="BS184" t="e">
            <v>#N/A</v>
          </cell>
          <cell r="BT184" t="e">
            <v>#N/A</v>
          </cell>
          <cell r="BU184" t="e">
            <v>#N/A</v>
          </cell>
          <cell r="BV184" t="e">
            <v>#N/A</v>
          </cell>
          <cell r="BW184" t="e">
            <v>#N/A</v>
          </cell>
          <cell r="BX184" t="e">
            <v>#N/A</v>
          </cell>
          <cell r="BY184" t="e">
            <v>#N/A</v>
          </cell>
          <cell r="BZ184" t="e">
            <v>#N/A</v>
          </cell>
          <cell r="CA184" t="e">
            <v>#N/A</v>
          </cell>
          <cell r="CB184" t="e">
            <v>#N/A</v>
          </cell>
          <cell r="CC184" t="e">
            <v>#N/A</v>
          </cell>
          <cell r="CD184" t="e">
            <v>#N/A</v>
          </cell>
          <cell r="CE184" t="e">
            <v>#N/A</v>
          </cell>
          <cell r="CF184" t="e">
            <v>#N/A</v>
          </cell>
          <cell r="CG184" t="e">
            <v>#N/A</v>
          </cell>
          <cell r="CH184" t="e">
            <v>#N/A</v>
          </cell>
          <cell r="CI184" t="e">
            <v>#N/A</v>
          </cell>
          <cell r="CJ184" t="e">
            <v>#N/A</v>
          </cell>
          <cell r="CK184" t="e">
            <v>#N/A</v>
          </cell>
          <cell r="CL184" t="e">
            <v>#N/A</v>
          </cell>
          <cell r="CM184" t="e">
            <v>#N/A</v>
          </cell>
          <cell r="CN184" t="e">
            <v>#N/A</v>
          </cell>
          <cell r="CO184" t="e">
            <v>#N/A</v>
          </cell>
          <cell r="CP184" t="e">
            <v>#N/A</v>
          </cell>
          <cell r="CQ184" t="e">
            <v>#N/A</v>
          </cell>
          <cell r="CR184" t="e">
            <v>#N/A</v>
          </cell>
          <cell r="CS184" t="e">
            <v>#N/A</v>
          </cell>
          <cell r="CT184" t="e">
            <v>#N/A</v>
          </cell>
          <cell r="CU184" t="e">
            <v>#N/A</v>
          </cell>
          <cell r="CV184" t="e">
            <v>#N/A</v>
          </cell>
          <cell r="CW184" t="e">
            <v>#N/A</v>
          </cell>
          <cell r="CX184" t="e">
            <v>#N/A</v>
          </cell>
          <cell r="CY184" t="e">
            <v>#N/A</v>
          </cell>
          <cell r="CZ184" t="e">
            <v>#N/A</v>
          </cell>
          <cell r="DA184" t="e">
            <v>#N/A</v>
          </cell>
          <cell r="DB184" t="e">
            <v>#N/A</v>
          </cell>
          <cell r="DC184" t="e">
            <v>#N/A</v>
          </cell>
          <cell r="DD184" t="e">
            <v>#N/A</v>
          </cell>
          <cell r="DE184" t="e">
            <v>#N/A</v>
          </cell>
          <cell r="DF184" t="e">
            <v>#N/A</v>
          </cell>
          <cell r="DG184" t="e">
            <v>#N/A</v>
          </cell>
          <cell r="DH184" t="e">
            <v>#N/A</v>
          </cell>
          <cell r="DI184" t="e">
            <v>#N/A</v>
          </cell>
          <cell r="DJ184" t="e">
            <v>#N/A</v>
          </cell>
          <cell r="DK184" t="e">
            <v>#N/A</v>
          </cell>
          <cell r="DL184" t="e">
            <v>#N/A</v>
          </cell>
          <cell r="DM184" t="e">
            <v>#N/A</v>
          </cell>
          <cell r="DN184" t="e">
            <v>#N/A</v>
          </cell>
          <cell r="DO184" t="e">
            <v>#N/A</v>
          </cell>
          <cell r="DP184" t="e">
            <v>#N/A</v>
          </cell>
          <cell r="DQ184" t="e">
            <v>#N/A</v>
          </cell>
          <cell r="DR184" t="e">
            <v>#N/A</v>
          </cell>
          <cell r="DS184" t="e">
            <v>#N/A</v>
          </cell>
        </row>
        <row r="185">
          <cell r="A185" t="str">
            <v>Copper DELs</v>
          </cell>
          <cell r="D185">
            <v>0</v>
          </cell>
          <cell r="E185">
            <v>0</v>
          </cell>
          <cell r="F185">
            <v>0</v>
          </cell>
          <cell r="G185">
            <v>0</v>
          </cell>
          <cell r="H185">
            <v>28.501387115680075</v>
          </cell>
          <cell r="I185">
            <v>57.002774231360149</v>
          </cell>
          <cell r="J185">
            <v>85.504161347040224</v>
          </cell>
          <cell r="K185">
            <v>114.0055484627203</v>
          </cell>
          <cell r="L185">
            <v>180.6847885254206</v>
          </cell>
          <cell r="M185">
            <v>218.86264147244083</v>
          </cell>
          <cell r="N185">
            <v>257.04049441946103</v>
          </cell>
          <cell r="O185">
            <v>295.21834736648128</v>
          </cell>
          <cell r="P185">
            <v>362.38072350418622</v>
          </cell>
          <cell r="Q185">
            <v>364.38860215469089</v>
          </cell>
          <cell r="R185">
            <v>366.39648080519549</v>
          </cell>
          <cell r="S185">
            <v>368.40435945570016</v>
          </cell>
          <cell r="T185">
            <v>436.23602847690677</v>
          </cell>
          <cell r="U185">
            <v>436.23602847690677</v>
          </cell>
          <cell r="V185">
            <v>436.23602847690677</v>
          </cell>
          <cell r="W185">
            <v>436.23602847690677</v>
          </cell>
          <cell r="X185">
            <v>464.36510197559306</v>
          </cell>
          <cell r="Y185">
            <v>464.36510197559306</v>
          </cell>
          <cell r="Z185">
            <v>464.36510197559306</v>
          </cell>
          <cell r="AA185">
            <v>464.36510197559306</v>
          </cell>
          <cell r="AB185">
            <v>491.15558970727636</v>
          </cell>
          <cell r="AC185">
            <v>491.15558970727636</v>
          </cell>
          <cell r="AD185">
            <v>491.15558970727636</v>
          </cell>
          <cell r="AE185">
            <v>491.15558970727636</v>
          </cell>
          <cell r="AF185">
            <v>492.49417547427947</v>
          </cell>
          <cell r="AG185">
            <v>492.49417547427947</v>
          </cell>
          <cell r="AH185">
            <v>492.49417547427947</v>
          </cell>
          <cell r="AI185">
            <v>492.49417547427947</v>
          </cell>
          <cell r="AJ185">
            <v>492.49417547427947</v>
          </cell>
          <cell r="AK185">
            <v>492.49417547427947</v>
          </cell>
          <cell r="AL185">
            <v>492.49417547427947</v>
          </cell>
          <cell r="AM185">
            <v>492.49417547427947</v>
          </cell>
          <cell r="AN185">
            <v>492.49417547427947</v>
          </cell>
          <cell r="AO185">
            <v>492.49417547427947</v>
          </cell>
          <cell r="AP185">
            <v>492.49417547427947</v>
          </cell>
          <cell r="AQ185">
            <v>492.49417547427947</v>
          </cell>
          <cell r="AR185">
            <v>492.49417547427947</v>
          </cell>
          <cell r="AS185">
            <v>492.49417547427947</v>
          </cell>
          <cell r="AT185">
            <v>492.49417547427947</v>
          </cell>
          <cell r="AU185">
            <v>492.49417547427947</v>
          </cell>
          <cell r="AV185">
            <v>492.49417547427947</v>
          </cell>
          <cell r="AW185">
            <v>492.49417547427947</v>
          </cell>
          <cell r="AX185">
            <v>492.49417547427947</v>
          </cell>
          <cell r="AY185">
            <v>492.49417547427947</v>
          </cell>
          <cell r="AZ185">
            <v>492.49417547427947</v>
          </cell>
          <cell r="BA185" t="e">
            <v>#N/A</v>
          </cell>
          <cell r="BB185" t="e">
            <v>#N/A</v>
          </cell>
          <cell r="BC185" t="e">
            <v>#N/A</v>
          </cell>
          <cell r="BD185" t="e">
            <v>#N/A</v>
          </cell>
          <cell r="BE185" t="e">
            <v>#N/A</v>
          </cell>
          <cell r="BF185" t="e">
            <v>#N/A</v>
          </cell>
          <cell r="BG185" t="e">
            <v>#N/A</v>
          </cell>
          <cell r="BH185" t="e">
            <v>#N/A</v>
          </cell>
          <cell r="BI185" t="e">
            <v>#N/A</v>
          </cell>
          <cell r="BJ185" t="e">
            <v>#N/A</v>
          </cell>
          <cell r="BK185" t="e">
            <v>#N/A</v>
          </cell>
          <cell r="BL185" t="e">
            <v>#N/A</v>
          </cell>
          <cell r="BM185" t="e">
            <v>#N/A</v>
          </cell>
          <cell r="BN185" t="e">
            <v>#N/A</v>
          </cell>
          <cell r="BO185" t="e">
            <v>#N/A</v>
          </cell>
          <cell r="BP185" t="e">
            <v>#N/A</v>
          </cell>
          <cell r="BQ185" t="e">
            <v>#N/A</v>
          </cell>
          <cell r="BR185" t="e">
            <v>#N/A</v>
          </cell>
          <cell r="BS185" t="e">
            <v>#N/A</v>
          </cell>
          <cell r="BT185" t="e">
            <v>#N/A</v>
          </cell>
          <cell r="BU185" t="e">
            <v>#N/A</v>
          </cell>
          <cell r="BV185" t="e">
            <v>#N/A</v>
          </cell>
          <cell r="BW185" t="e">
            <v>#N/A</v>
          </cell>
          <cell r="BX185" t="e">
            <v>#N/A</v>
          </cell>
          <cell r="BY185" t="e">
            <v>#N/A</v>
          </cell>
          <cell r="BZ185" t="e">
            <v>#N/A</v>
          </cell>
          <cell r="CA185" t="e">
            <v>#N/A</v>
          </cell>
          <cell r="CB185" t="e">
            <v>#N/A</v>
          </cell>
          <cell r="CC185" t="e">
            <v>#N/A</v>
          </cell>
          <cell r="CD185" t="e">
            <v>#N/A</v>
          </cell>
          <cell r="CE185" t="e">
            <v>#N/A</v>
          </cell>
          <cell r="CF185" t="e">
            <v>#N/A</v>
          </cell>
          <cell r="CG185" t="e">
            <v>#N/A</v>
          </cell>
          <cell r="CH185" t="e">
            <v>#N/A</v>
          </cell>
          <cell r="CI185" t="e">
            <v>#N/A</v>
          </cell>
          <cell r="CJ185" t="e">
            <v>#N/A</v>
          </cell>
          <cell r="CK185" t="e">
            <v>#N/A</v>
          </cell>
          <cell r="CL185" t="e">
            <v>#N/A</v>
          </cell>
          <cell r="CM185" t="e">
            <v>#N/A</v>
          </cell>
          <cell r="CN185" t="e">
            <v>#N/A</v>
          </cell>
          <cell r="CO185" t="e">
            <v>#N/A</v>
          </cell>
          <cell r="CP185" t="e">
            <v>#N/A</v>
          </cell>
          <cell r="CQ185" t="e">
            <v>#N/A</v>
          </cell>
          <cell r="CR185" t="e">
            <v>#N/A</v>
          </cell>
          <cell r="CS185" t="e">
            <v>#N/A</v>
          </cell>
          <cell r="CT185" t="e">
            <v>#N/A</v>
          </cell>
          <cell r="CU185" t="e">
            <v>#N/A</v>
          </cell>
          <cell r="CV185" t="e">
            <v>#N/A</v>
          </cell>
          <cell r="CW185" t="e">
            <v>#N/A</v>
          </cell>
          <cell r="CX185" t="e">
            <v>#N/A</v>
          </cell>
          <cell r="CY185" t="e">
            <v>#N/A</v>
          </cell>
          <cell r="CZ185" t="e">
            <v>#N/A</v>
          </cell>
          <cell r="DA185" t="e">
            <v>#N/A</v>
          </cell>
          <cell r="DB185" t="e">
            <v>#N/A</v>
          </cell>
          <cell r="DC185" t="e">
            <v>#N/A</v>
          </cell>
          <cell r="DD185" t="e">
            <v>#N/A</v>
          </cell>
          <cell r="DE185" t="e">
            <v>#N/A</v>
          </cell>
          <cell r="DF185" t="e">
            <v>#N/A</v>
          </cell>
          <cell r="DG185" t="e">
            <v>#N/A</v>
          </cell>
          <cell r="DH185" t="e">
            <v>#N/A</v>
          </cell>
          <cell r="DI185" t="e">
            <v>#N/A</v>
          </cell>
          <cell r="DJ185" t="e">
            <v>#N/A</v>
          </cell>
          <cell r="DK185" t="e">
            <v>#N/A</v>
          </cell>
          <cell r="DL185" t="e">
            <v>#N/A</v>
          </cell>
          <cell r="DM185" t="e">
            <v>#N/A</v>
          </cell>
          <cell r="DN185" t="e">
            <v>#N/A</v>
          </cell>
          <cell r="DO185" t="e">
            <v>#N/A</v>
          </cell>
          <cell r="DP185" t="e">
            <v>#N/A</v>
          </cell>
          <cell r="DQ185" t="e">
            <v>#N/A</v>
          </cell>
          <cell r="DR185" t="e">
            <v>#N/A</v>
          </cell>
          <cell r="DS185" t="e">
            <v>#N/A</v>
          </cell>
        </row>
        <row r="186">
          <cell r="A186" t="str">
            <v>Total Variable Cost</v>
          </cell>
          <cell r="D186">
            <v>65.407859802842609</v>
          </cell>
          <cell r="E186">
            <v>89.402420498542355</v>
          </cell>
          <cell r="F186">
            <v>113.3969811942421</v>
          </cell>
          <cell r="G186">
            <v>137.39154188994186</v>
          </cell>
          <cell r="H186">
            <v>204.70666269239311</v>
          </cell>
          <cell r="I186">
            <v>237.67389802235891</v>
          </cell>
          <cell r="J186">
            <v>270.64113335232469</v>
          </cell>
          <cell r="K186">
            <v>303.60836868229046</v>
          </cell>
          <cell r="L186">
            <v>391.92739969551923</v>
          </cell>
          <cell r="M186">
            <v>430.10525264253943</v>
          </cell>
          <cell r="N186">
            <v>468.28310558955968</v>
          </cell>
          <cell r="O186">
            <v>506.46095853657994</v>
          </cell>
          <cell r="P186">
            <v>593.03020151767043</v>
          </cell>
          <cell r="Q186">
            <v>595.03808016817504</v>
          </cell>
          <cell r="R186">
            <v>597.04595881867965</v>
          </cell>
          <cell r="S186">
            <v>599.05383746918437</v>
          </cell>
          <cell r="T186">
            <v>669.1184305975338</v>
          </cell>
          <cell r="U186">
            <v>669.1184305975338</v>
          </cell>
          <cell r="V186">
            <v>669.1184305975338</v>
          </cell>
          <cell r="W186">
            <v>669.1184305975338</v>
          </cell>
          <cell r="X186">
            <v>697.24750409622015</v>
          </cell>
          <cell r="Y186">
            <v>697.24750409622015</v>
          </cell>
          <cell r="Z186">
            <v>697.24750409622015</v>
          </cell>
          <cell r="AA186">
            <v>697.24750409622015</v>
          </cell>
          <cell r="AB186">
            <v>724.0379918279034</v>
          </cell>
          <cell r="AC186">
            <v>724.0379918279034</v>
          </cell>
          <cell r="AD186">
            <v>724.0379918279034</v>
          </cell>
          <cell r="AE186">
            <v>724.0379918279034</v>
          </cell>
          <cell r="AF186">
            <v>725.37657759490651</v>
          </cell>
          <cell r="AG186">
            <v>725.37657759490651</v>
          </cell>
          <cell r="AH186">
            <v>725.37657759490651</v>
          </cell>
          <cell r="AI186">
            <v>725.37657759490651</v>
          </cell>
          <cell r="AJ186">
            <v>725.37657759490651</v>
          </cell>
          <cell r="AK186">
            <v>725.37657759490651</v>
          </cell>
          <cell r="AL186">
            <v>725.37657759490651</v>
          </cell>
          <cell r="AM186">
            <v>725.37657759490651</v>
          </cell>
          <cell r="AN186">
            <v>725.37657759490651</v>
          </cell>
          <cell r="AO186">
            <v>725.37657759490651</v>
          </cell>
          <cell r="AP186">
            <v>725.37657759490651</v>
          </cell>
          <cell r="AQ186">
            <v>725.37657759490651</v>
          </cell>
          <cell r="AR186">
            <v>725.37657759490651</v>
          </cell>
          <cell r="AS186">
            <v>725.37657759490651</v>
          </cell>
          <cell r="AT186">
            <v>725.37657759490651</v>
          </cell>
          <cell r="AU186">
            <v>725.37657759490651</v>
          </cell>
          <cell r="AV186">
            <v>725.37657759490651</v>
          </cell>
          <cell r="AW186">
            <v>725.37657759490651</v>
          </cell>
          <cell r="AX186">
            <v>725.37657759490651</v>
          </cell>
          <cell r="AY186">
            <v>725.37657759490651</v>
          </cell>
          <cell r="AZ186">
            <v>725.37657759490651</v>
          </cell>
          <cell r="BA186" t="e">
            <v>#N/A</v>
          </cell>
          <cell r="BB186" t="e">
            <v>#N/A</v>
          </cell>
          <cell r="BC186" t="e">
            <v>#N/A</v>
          </cell>
          <cell r="BD186" t="e">
            <v>#N/A</v>
          </cell>
          <cell r="BE186" t="e">
            <v>#N/A</v>
          </cell>
          <cell r="BF186" t="e">
            <v>#N/A</v>
          </cell>
          <cell r="BG186" t="e">
            <v>#N/A</v>
          </cell>
          <cell r="BH186" t="e">
            <v>#N/A</v>
          </cell>
          <cell r="BI186" t="e">
            <v>#N/A</v>
          </cell>
          <cell r="BJ186" t="e">
            <v>#N/A</v>
          </cell>
          <cell r="BK186" t="e">
            <v>#N/A</v>
          </cell>
          <cell r="BL186" t="e">
            <v>#N/A</v>
          </cell>
          <cell r="BM186" t="e">
            <v>#N/A</v>
          </cell>
          <cell r="BN186" t="e">
            <v>#N/A</v>
          </cell>
          <cell r="BO186" t="e">
            <v>#N/A</v>
          </cell>
          <cell r="BP186" t="e">
            <v>#N/A</v>
          </cell>
          <cell r="BQ186" t="e">
            <v>#N/A</v>
          </cell>
          <cell r="BR186" t="e">
            <v>#N/A</v>
          </cell>
          <cell r="BS186" t="e">
            <v>#N/A</v>
          </cell>
          <cell r="BT186" t="e">
            <v>#N/A</v>
          </cell>
          <cell r="BU186" t="e">
            <v>#N/A</v>
          </cell>
          <cell r="BV186" t="e">
            <v>#N/A</v>
          </cell>
          <cell r="BW186" t="e">
            <v>#N/A</v>
          </cell>
          <cell r="BX186" t="e">
            <v>#N/A</v>
          </cell>
          <cell r="BY186" t="e">
            <v>#N/A</v>
          </cell>
          <cell r="BZ186" t="e">
            <v>#N/A</v>
          </cell>
          <cell r="CA186" t="e">
            <v>#N/A</v>
          </cell>
          <cell r="CB186" t="e">
            <v>#N/A</v>
          </cell>
          <cell r="CC186" t="e">
            <v>#N/A</v>
          </cell>
          <cell r="CD186" t="e">
            <v>#N/A</v>
          </cell>
          <cell r="CE186" t="e">
            <v>#N/A</v>
          </cell>
          <cell r="CF186" t="e">
            <v>#N/A</v>
          </cell>
          <cell r="CG186" t="e">
            <v>#N/A</v>
          </cell>
          <cell r="CH186" t="e">
            <v>#N/A</v>
          </cell>
          <cell r="CI186" t="e">
            <v>#N/A</v>
          </cell>
          <cell r="CJ186" t="e">
            <v>#N/A</v>
          </cell>
          <cell r="CK186" t="e">
            <v>#N/A</v>
          </cell>
          <cell r="CL186" t="e">
            <v>#N/A</v>
          </cell>
          <cell r="CM186" t="e">
            <v>#N/A</v>
          </cell>
          <cell r="CN186" t="e">
            <v>#N/A</v>
          </cell>
          <cell r="CO186" t="e">
            <v>#N/A</v>
          </cell>
          <cell r="CP186" t="e">
            <v>#N/A</v>
          </cell>
          <cell r="CQ186" t="e">
            <v>#N/A</v>
          </cell>
          <cell r="CR186" t="e">
            <v>#N/A</v>
          </cell>
          <cell r="CS186" t="e">
            <v>#N/A</v>
          </cell>
          <cell r="CT186" t="e">
            <v>#N/A</v>
          </cell>
          <cell r="CU186" t="e">
            <v>#N/A</v>
          </cell>
          <cell r="CV186" t="e">
            <v>#N/A</v>
          </cell>
          <cell r="CW186" t="e">
            <v>#N/A</v>
          </cell>
          <cell r="CX186" t="e">
            <v>#N/A</v>
          </cell>
          <cell r="CY186" t="e">
            <v>#N/A</v>
          </cell>
          <cell r="CZ186" t="e">
            <v>#N/A</v>
          </cell>
          <cell r="DA186" t="e">
            <v>#N/A</v>
          </cell>
          <cell r="DB186" t="e">
            <v>#N/A</v>
          </cell>
          <cell r="DC186" t="e">
            <v>#N/A</v>
          </cell>
          <cell r="DD186" t="e">
            <v>#N/A</v>
          </cell>
          <cell r="DE186" t="e">
            <v>#N/A</v>
          </cell>
          <cell r="DF186" t="e">
            <v>#N/A</v>
          </cell>
          <cell r="DG186" t="e">
            <v>#N/A</v>
          </cell>
          <cell r="DH186" t="e">
            <v>#N/A</v>
          </cell>
          <cell r="DI186" t="e">
            <v>#N/A</v>
          </cell>
          <cell r="DJ186" t="e">
            <v>#N/A</v>
          </cell>
          <cell r="DK186" t="e">
            <v>#N/A</v>
          </cell>
          <cell r="DL186" t="e">
            <v>#N/A</v>
          </cell>
          <cell r="DM186" t="e">
            <v>#N/A</v>
          </cell>
          <cell r="DN186" t="e">
            <v>#N/A</v>
          </cell>
          <cell r="DO186" t="e">
            <v>#N/A</v>
          </cell>
          <cell r="DP186" t="e">
            <v>#N/A</v>
          </cell>
          <cell r="DQ186" t="e">
            <v>#N/A</v>
          </cell>
          <cell r="DR186" t="e">
            <v>#N/A</v>
          </cell>
          <cell r="DS186" t="e">
            <v>#N/A</v>
          </cell>
        </row>
        <row r="188">
          <cell r="A188" t="str">
            <v>Total Cummulative Capex</v>
          </cell>
          <cell r="D188">
            <v>776.69896421178998</v>
          </cell>
          <cell r="E188">
            <v>1062.0987730664369</v>
          </cell>
          <cell r="F188">
            <v>1347.498581921084</v>
          </cell>
          <cell r="G188">
            <v>1632.8983907757315</v>
          </cell>
          <cell r="H188">
            <v>1870.9841016182097</v>
          </cell>
          <cell r="I188">
            <v>2074.7219269882021</v>
          </cell>
          <cell r="J188">
            <v>2278.4433023581946</v>
          </cell>
          <cell r="K188">
            <v>2482.1811277281872</v>
          </cell>
          <cell r="L188">
            <v>2814.0210700021976</v>
          </cell>
          <cell r="M188">
            <v>3095.7198342099982</v>
          </cell>
          <cell r="N188">
            <v>3377.4185984178002</v>
          </cell>
          <cell r="O188">
            <v>3659.1173626256023</v>
          </cell>
          <cell r="P188">
            <v>3771.2237149066923</v>
          </cell>
          <cell r="Q188">
            <v>3798.7687028571972</v>
          </cell>
          <cell r="R188">
            <v>3826.3136908077013</v>
          </cell>
          <cell r="S188">
            <v>3853.8586787582062</v>
          </cell>
          <cell r="T188">
            <v>3923.923271886556</v>
          </cell>
          <cell r="U188">
            <v>3923.923271886556</v>
          </cell>
          <cell r="V188">
            <v>3923.923271886556</v>
          </cell>
          <cell r="W188">
            <v>3923.923271886556</v>
          </cell>
          <cell r="X188">
            <v>3952.052345385242</v>
          </cell>
          <cell r="Y188">
            <v>3952.052345385242</v>
          </cell>
          <cell r="Z188">
            <v>3952.052345385242</v>
          </cell>
          <cell r="AA188">
            <v>3952.052345385242</v>
          </cell>
          <cell r="AB188">
            <v>3978.8428331169252</v>
          </cell>
          <cell r="AC188">
            <v>3978.8428331169252</v>
          </cell>
          <cell r="AD188">
            <v>3978.8428331169252</v>
          </cell>
          <cell r="AE188">
            <v>3978.8428331169252</v>
          </cell>
          <cell r="AF188">
            <v>3980.1814188839285</v>
          </cell>
          <cell r="AG188">
            <v>3980.1814188839285</v>
          </cell>
          <cell r="AH188">
            <v>3980.1814188839285</v>
          </cell>
          <cell r="AI188">
            <v>3980.1814188839285</v>
          </cell>
          <cell r="AJ188">
            <v>3980.1814188839285</v>
          </cell>
          <cell r="AK188">
            <v>3980.1814188839285</v>
          </cell>
          <cell r="AL188">
            <v>3980.1814188839285</v>
          </cell>
          <cell r="AM188">
            <v>3980.1814188839285</v>
          </cell>
          <cell r="AN188">
            <v>3980.1814188839285</v>
          </cell>
          <cell r="AO188">
            <v>3980.1814188839285</v>
          </cell>
          <cell r="AP188">
            <v>3980.1814188839285</v>
          </cell>
          <cell r="AQ188">
            <v>3980.1814188839285</v>
          </cell>
          <cell r="AR188">
            <v>3980.1814188839285</v>
          </cell>
          <cell r="AS188">
            <v>3980.1814188839285</v>
          </cell>
          <cell r="AT188">
            <v>3980.1814188839285</v>
          </cell>
          <cell r="AU188">
            <v>3980.1814188839285</v>
          </cell>
          <cell r="AV188">
            <v>3980.1814188839285</v>
          </cell>
          <cell r="AW188">
            <v>3980.1814188839285</v>
          </cell>
          <cell r="AX188">
            <v>3980.1814188839285</v>
          </cell>
          <cell r="AY188">
            <v>3980.1814188839285</v>
          </cell>
          <cell r="AZ188">
            <v>3980.1814188839285</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t="e">
            <v>#N/A</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row>
        <row r="190">
          <cell r="A190" t="str">
            <v>Capex per DEL</v>
          </cell>
          <cell r="D190">
            <v>17676.874985249819</v>
          </cell>
          <cell r="E190">
            <v>17684.725919216511</v>
          </cell>
          <cell r="F190">
            <v>17689.254371233546</v>
          </cell>
          <cell r="G190">
            <v>17692.201092449901</v>
          </cell>
          <cell r="H190">
            <v>14257.82565278859</v>
          </cell>
          <cell r="I190">
            <v>14105.923007057962</v>
          </cell>
          <cell r="J190">
            <v>13983.484628049353</v>
          </cell>
          <cell r="K190">
            <v>13882.855340994391</v>
          </cell>
          <cell r="L190">
            <v>12595.794611082007</v>
          </cell>
          <cell r="M190">
            <v>12865.006847260694</v>
          </cell>
          <cell r="N190">
            <v>13098.258777190373</v>
          </cell>
          <cell r="O190">
            <v>13302.304463689312</v>
          </cell>
          <cell r="P190">
            <v>11844.044914835687</v>
          </cell>
          <cell r="Q190">
            <v>11896.712925565296</v>
          </cell>
          <cell r="R190">
            <v>11949.082997681015</v>
          </cell>
          <cell r="S190">
            <v>12001.157652173761</v>
          </cell>
          <cell r="T190">
            <v>11108.951099207889</v>
          </cell>
          <cell r="U190">
            <v>11108.951099207889</v>
          </cell>
          <cell r="V190">
            <v>11108.951099207889</v>
          </cell>
          <cell r="W190">
            <v>11108.951099207889</v>
          </cell>
          <cell r="X190">
            <v>10800.602339506266</v>
          </cell>
          <cell r="Y190">
            <v>10800.602339506266</v>
          </cell>
          <cell r="Z190">
            <v>10800.602339506266</v>
          </cell>
          <cell r="AA190">
            <v>10800.602339506266</v>
          </cell>
          <cell r="AB190">
            <v>10526.174214221803</v>
          </cell>
          <cell r="AC190">
            <v>10526.174214221803</v>
          </cell>
          <cell r="AD190">
            <v>10526.174214221803</v>
          </cell>
          <cell r="AE190">
            <v>10526.174214221803</v>
          </cell>
          <cell r="AF190">
            <v>10512.921968303266</v>
          </cell>
          <cell r="AG190">
            <v>10512.921968303266</v>
          </cell>
          <cell r="AH190">
            <v>10512.921968303266</v>
          </cell>
          <cell r="AI190">
            <v>10512.921968303266</v>
          </cell>
          <cell r="AJ190">
            <v>10512.921968303266</v>
          </cell>
          <cell r="AK190">
            <v>10512.921968303266</v>
          </cell>
          <cell r="AL190">
            <v>10512.921968303266</v>
          </cell>
          <cell r="AM190">
            <v>10512.921968303266</v>
          </cell>
          <cell r="AN190">
            <v>10512.921968303266</v>
          </cell>
          <cell r="AO190">
            <v>10512.921968303266</v>
          </cell>
          <cell r="AP190">
            <v>10512.921968303266</v>
          </cell>
          <cell r="AQ190">
            <v>10512.921968303266</v>
          </cell>
          <cell r="AR190">
            <v>10512.921968303266</v>
          </cell>
          <cell r="AS190">
            <v>10512.921968303266</v>
          </cell>
          <cell r="AT190">
            <v>10512.921968303266</v>
          </cell>
          <cell r="AU190">
            <v>10512.921968303266</v>
          </cell>
          <cell r="AV190">
            <v>10512.921968303266</v>
          </cell>
          <cell r="AW190">
            <v>10512.921968303266</v>
          </cell>
          <cell r="AX190">
            <v>10512.921968303266</v>
          </cell>
          <cell r="AY190">
            <v>10512.921968303266</v>
          </cell>
          <cell r="AZ190">
            <v>10512.921968303266</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t="e">
            <v>#N/A</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row>
        <row r="192">
          <cell r="A192" t="str">
            <v>DEL per building</v>
          </cell>
          <cell r="D192">
            <v>6.9472261987018218</v>
          </cell>
          <cell r="E192">
            <v>6.8252640397070063</v>
          </cell>
          <cell r="F192">
            <v>6.7568435819763737</v>
          </cell>
          <cell r="G192">
            <v>6.7130534851680528</v>
          </cell>
          <cell r="H192">
            <v>5.9994528756258925</v>
          </cell>
          <cell r="I192">
            <v>4.903191458386182</v>
          </cell>
          <cell r="J192">
            <v>4.2741917228870161</v>
          </cell>
          <cell r="K192">
            <v>3.8661929537679356</v>
          </cell>
          <cell r="L192">
            <v>2.9935073113628623</v>
          </cell>
          <cell r="M192">
            <v>2.3358363458704581</v>
          </cell>
          <cell r="N192">
            <v>1.9623062614242806</v>
          </cell>
          <cell r="O192">
            <v>1.7214880342027985</v>
          </cell>
          <cell r="P192">
            <v>1.9562338329278866</v>
          </cell>
          <cell r="Q192">
            <v>1.9265648231969466</v>
          </cell>
          <cell r="R192">
            <v>1.8979427135145479</v>
          </cell>
          <cell r="S192">
            <v>1.8703130532138419</v>
          </cell>
          <cell r="T192">
            <v>2.0572596697552559</v>
          </cell>
          <cell r="U192">
            <v>2.0572596697552559</v>
          </cell>
          <cell r="V192">
            <v>2.0572596697552559</v>
          </cell>
          <cell r="W192">
            <v>2.0572596697552559</v>
          </cell>
          <cell r="X192">
            <v>2.1311615524579723</v>
          </cell>
          <cell r="Y192">
            <v>2.1311615524579723</v>
          </cell>
          <cell r="Z192">
            <v>2.1311615524579723</v>
          </cell>
          <cell r="AA192">
            <v>2.1311615524579723</v>
          </cell>
          <cell r="AB192">
            <v>2.2015466464422397</v>
          </cell>
          <cell r="AC192">
            <v>2.2015466464422397</v>
          </cell>
          <cell r="AD192">
            <v>2.2015466464422397</v>
          </cell>
          <cell r="AE192">
            <v>2.2015466464422397</v>
          </cell>
          <cell r="AF192">
            <v>2.2050634351606884</v>
          </cell>
          <cell r="AG192">
            <v>2.2050634351606884</v>
          </cell>
          <cell r="AH192">
            <v>2.2050634351606884</v>
          </cell>
          <cell r="AI192">
            <v>2.2050634351606884</v>
          </cell>
          <cell r="AJ192">
            <v>2.2050634351606884</v>
          </cell>
          <cell r="AK192">
            <v>2.2050634351606884</v>
          </cell>
          <cell r="AL192">
            <v>2.2050634351606884</v>
          </cell>
          <cell r="AM192">
            <v>2.2050634351606884</v>
          </cell>
          <cell r="AN192">
            <v>2.2050634351606884</v>
          </cell>
          <cell r="AO192">
            <v>2.2050634351606884</v>
          </cell>
          <cell r="AP192">
            <v>2.2050634351606884</v>
          </cell>
          <cell r="AQ192">
            <v>2.2050634351606884</v>
          </cell>
          <cell r="AR192">
            <v>2.2050634351606884</v>
          </cell>
          <cell r="AS192">
            <v>2.2050634351606884</v>
          </cell>
          <cell r="AT192">
            <v>2.2050634351606884</v>
          </cell>
          <cell r="AU192">
            <v>2.2050634351606884</v>
          </cell>
          <cell r="AV192">
            <v>2.2050634351606884</v>
          </cell>
          <cell r="AW192">
            <v>2.2050634351606884</v>
          </cell>
          <cell r="AX192">
            <v>2.2050634351606884</v>
          </cell>
          <cell r="AY192">
            <v>2.2050634351606884</v>
          </cell>
          <cell r="AZ192">
            <v>2.2050634351606884</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t="e">
            <v>#N/A</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row>
      </sheetData>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graphs"/>
      <sheetName val="opstats2"/>
      <sheetName val="STRUCTURE"/>
      <sheetName val="ROOM REVENUE"/>
      <sheetName val="AVROOMS-OCC"/>
      <sheetName val="OCROOMS-ARR"/>
      <sheetName val="RACK RATES"/>
      <sheetName val="Depreciation"/>
      <sheetName val="Capex &amp; Depreciation "/>
      <sheetName val="FUTURE CAPEX PLANS"/>
      <sheetName val="CAPEX PLANS"/>
      <sheetName val="NAV"/>
      <sheetName val="Debt (2)"/>
      <sheetName val="REPAY"/>
      <sheetName val="Rights Factor"/>
      <sheetName val="Capital History"/>
      <sheetName val="OTHER INCOME"/>
      <sheetName val="F&amp;B"/>
      <sheetName val="Operating Statistics"/>
      <sheetName val="ARRs &amp; OCS"/>
      <sheetName val="results"/>
      <sheetName val="TAX CALC"/>
      <sheetName val="IRR"/>
      <sheetName val="Financials"/>
      <sheetName val="Background information"/>
      <sheetName val="Directors"/>
      <sheetName val="Ownership"/>
      <sheetName val="Report"/>
      <sheetName val="Export"/>
      <sheetName val="FS1"/>
      <sheetName val="FS2"/>
      <sheetName val="One Pager"/>
      <sheetName val="FV-EBITDA"/>
      <sheetName val="First Page"/>
      <sheetName val="Market Info"/>
      <sheetName val="Technical"/>
      <sheetName val="Range Names"/>
      <sheetName val="Annual"/>
      <sheetName val="Earnings Monitor"/>
      <sheetName val="Unit Analysis"/>
      <sheetName val="Debt"/>
      <sheetName val="Cash flow"/>
      <sheetName val="Summary"/>
      <sheetName val="ENJAY1"/>
      <sheetName val="ROOM_REVENUE"/>
      <sheetName val="RACK_RATES"/>
      <sheetName val="Capex_&amp;_Depreciation_"/>
      <sheetName val="FUTURE_CAPEX_PLANS"/>
      <sheetName val="CAPEX_PLANS"/>
      <sheetName val="Debt_(2)"/>
      <sheetName val="Rights_Factor"/>
      <sheetName val="Capital_History"/>
      <sheetName val="OTHER_INCOME"/>
      <sheetName val="Operating_Statistics"/>
      <sheetName val="ARRs_&amp;_OCS"/>
      <sheetName val="TAX_CALC"/>
      <sheetName val="Background_information"/>
      <sheetName val="One_Pager"/>
      <sheetName val="First_Page"/>
      <sheetName val="Market_Info"/>
      <sheetName val="Range_Names"/>
      <sheetName val="Earnings_Monitor"/>
      <sheetName val="Unit_Analysis"/>
      <sheetName val="Cash_flow"/>
      <sheetName val="ROOM_REVENUE1"/>
      <sheetName val="RACK_RATES1"/>
      <sheetName val="Capex_&amp;_Depreciation_1"/>
      <sheetName val="FUTURE_CAPEX_PLANS1"/>
      <sheetName val="CAPEX_PLANS1"/>
      <sheetName val="Debt_(2)1"/>
      <sheetName val="Rights_Factor1"/>
      <sheetName val="Capital_History1"/>
      <sheetName val="OTHER_INCOME1"/>
      <sheetName val="Operating_Statistics1"/>
      <sheetName val="ARRs_&amp;_OCS1"/>
      <sheetName val="TAX_CALC1"/>
      <sheetName val="Background_information1"/>
      <sheetName val="One_Pager1"/>
      <sheetName val="First_Page1"/>
      <sheetName val="Market_Info1"/>
      <sheetName val="Range_Names1"/>
      <sheetName val="Earnings_Monitor1"/>
      <sheetName val="Unit_Analysis1"/>
      <sheetName val="Cash_flow1"/>
      <sheetName val="Setup_Variables"/>
      <sheetName val="Expenses"/>
      <sheetName val="sch"/>
      <sheetName val="land"/>
      <sheetName val="Exp"/>
      <sheetName val="P&amp;M"/>
      <sheetName val="PP"/>
      <sheetName val="BS"/>
      <sheetName val="DSCR"/>
      <sheetName val="Main workings"/>
      <sheetName val="assumptions"/>
      <sheetName val="DLC lookups"/>
      <sheetName val="Factors"/>
      <sheetName val="CFLOW"/>
      <sheetName val="Indirect expenses"/>
      <sheetName val="BS Schedules"/>
      <sheetName val="P_L Ac"/>
      <sheetName val="Calcns FDB"/>
      <sheetName val="Assns F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5">
          <cell r="J15">
            <v>0</v>
          </cell>
          <cell r="K15">
            <v>0</v>
          </cell>
          <cell r="L15">
            <v>-204.36</v>
          </cell>
          <cell r="M15">
            <v>-201.48000000000002</v>
          </cell>
          <cell r="N15">
            <v>-196.60624999999999</v>
          </cell>
          <cell r="O15">
            <v>-167.8075</v>
          </cell>
          <cell r="P15">
            <v>-133.0275</v>
          </cell>
          <cell r="Q15">
            <v>-99.6875</v>
          </cell>
          <cell r="R15">
            <v>-67.787500000000009</v>
          </cell>
        </row>
        <row r="16">
          <cell r="J16">
            <v>0</v>
          </cell>
          <cell r="K16">
            <v>0</v>
          </cell>
          <cell r="L16">
            <v>5.4843913688025392</v>
          </cell>
          <cell r="M16">
            <v>10.031529523769025</v>
          </cell>
          <cell r="N16">
            <v>31.659369497706599</v>
          </cell>
          <cell r="O16">
            <v>76.035712429128154</v>
          </cell>
          <cell r="P16">
            <v>148.70069860477841</v>
          </cell>
          <cell r="Q16">
            <v>241.95335962111304</v>
          </cell>
          <cell r="R16">
            <v>353.1911150110779</v>
          </cell>
        </row>
        <row r="111">
          <cell r="J111">
            <v>0</v>
          </cell>
          <cell r="K111">
            <v>0</v>
          </cell>
          <cell r="L111">
            <v>73.394951408777359</v>
          </cell>
          <cell r="M111">
            <v>90.978281978005114</v>
          </cell>
          <cell r="N111">
            <v>83.78635938490298</v>
          </cell>
          <cell r="O111">
            <v>202.94221737289942</v>
          </cell>
          <cell r="P111">
            <v>291.08846171225281</v>
          </cell>
          <cell r="Q111">
            <v>353.62342508066746</v>
          </cell>
          <cell r="R111">
            <v>428.31304388613756</v>
          </cell>
        </row>
        <row r="114">
          <cell r="J114">
            <v>2320</v>
          </cell>
          <cell r="K114">
            <v>2320</v>
          </cell>
          <cell r="L114">
            <v>2399.6673976685784</v>
          </cell>
          <cell r="M114">
            <v>2572.8244324644984</v>
          </cell>
          <cell r="N114">
            <v>2911.8339034092155</v>
          </cell>
          <cell r="O114">
            <v>3377.2478170059048</v>
          </cell>
          <cell r="P114">
            <v>3908.5887989156063</v>
          </cell>
          <cell r="Q114">
            <v>4661.4345187190929</v>
          </cell>
          <cell r="R114">
            <v>5597.4727320558513</v>
          </cell>
        </row>
        <row r="145">
          <cell r="J145">
            <v>990</v>
          </cell>
          <cell r="K145">
            <v>990</v>
          </cell>
          <cell r="L145">
            <v>966</v>
          </cell>
          <cell r="M145">
            <v>942</v>
          </cell>
          <cell r="N145">
            <v>930.5</v>
          </cell>
          <cell r="O145">
            <v>931.5</v>
          </cell>
          <cell r="P145">
            <v>815.83333333333326</v>
          </cell>
          <cell r="Q145">
            <v>724.16666666666663</v>
          </cell>
          <cell r="R145">
            <v>632.5</v>
          </cell>
          <cell r="S145">
            <v>540.83333333333326</v>
          </cell>
          <cell r="T145">
            <v>495</v>
          </cell>
          <cell r="U145">
            <v>495</v>
          </cell>
        </row>
        <row r="146">
          <cell r="J146">
            <v>0</v>
          </cell>
          <cell r="K146">
            <v>0</v>
          </cell>
          <cell r="L146">
            <v>0</v>
          </cell>
          <cell r="M146">
            <v>0</v>
          </cell>
          <cell r="N146">
            <v>0</v>
          </cell>
          <cell r="O146">
            <v>0</v>
          </cell>
          <cell r="P146">
            <v>0</v>
          </cell>
          <cell r="Q146">
            <v>0</v>
          </cell>
          <cell r="R146">
            <v>0</v>
          </cell>
          <cell r="S146">
            <v>0</v>
          </cell>
          <cell r="T146">
            <v>0</v>
          </cell>
          <cell r="U146">
            <v>0</v>
          </cell>
        </row>
        <row r="147">
          <cell r="J147">
            <v>0</v>
          </cell>
          <cell r="K147">
            <v>0</v>
          </cell>
          <cell r="L147">
            <v>0</v>
          </cell>
          <cell r="M147">
            <v>0</v>
          </cell>
          <cell r="N147">
            <v>0</v>
          </cell>
          <cell r="O147">
            <v>0</v>
          </cell>
          <cell r="P147">
            <v>0</v>
          </cell>
          <cell r="Q147">
            <v>0</v>
          </cell>
          <cell r="R147">
            <v>0</v>
          </cell>
          <cell r="S147">
            <v>0</v>
          </cell>
          <cell r="T147">
            <v>0</v>
          </cell>
          <cell r="U147">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ed Parties"/>
      <sheetName val="P&amp;L"/>
      <sheetName val="BS"/>
      <sheetName val="VARIANCE ANALYSIS "/>
      <sheetName val="Sch 1-4"/>
      <sheetName val="Sch-5"/>
      <sheetName val="Sch-6-11"/>
      <sheetName val="Sch 12 &amp;13"/>
      <sheetName val="P&amp;L Sch 14-16"/>
      <sheetName val="P&amp;L Sch 17-19"/>
      <sheetName val="Data Entry"/>
      <sheetName val="TRIAL BALANCE (2)"/>
      <sheetName val="TRIAL BALANCE"/>
      <sheetName val="TB Download"/>
      <sheetName val="TBdownload-2002"/>
      <sheetName val="CC wise Download"/>
      <sheetName val="SIF P&amp;L BS"/>
      <sheetName val="SIF P&amp;L"/>
      <sheetName val="SIF Workings"/>
      <sheetName val="SIF Results Back up"/>
      <sheetName val="PROVISIONS"/>
      <sheetName val="Pl-Incl"/>
      <sheetName val="pl-Excl"/>
      <sheetName val="sch-I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lash"/>
      <sheetName val="ReportsParameters"/>
      <sheetName val="BRTABLE"/>
      <sheetName val="Cost_Of_Capital_Valuation"/>
      <sheetName val="Business_Risk_Valuation"/>
      <sheetName val="dlgCapitalizedExp"/>
      <sheetName val="dlgWACC"/>
      <sheetName val="dlgPVLeases"/>
      <sheetName val="dlgEVAAnalysis"/>
      <sheetName val="dlgBubbles"/>
      <sheetName val="dlgEVAMVAGraphs"/>
      <sheetName val="modEVAMVAGraphs"/>
      <sheetName val="Value_To_Book_Ratio_Valuation"/>
      <sheetName val="Book_Bond_Rating_Valuation"/>
      <sheetName val="Market_Bond_Rating_Valuation"/>
      <sheetName val="modReports"/>
      <sheetName val="Data"/>
      <sheetName val="Nopat_by_Years_Valuation"/>
      <sheetName val="Capital_by_Years_Valuation"/>
      <sheetName val="Bubbles_Valuation"/>
      <sheetName val="Bubbles_Graphs"/>
      <sheetName val="Graphs"/>
      <sheetName val="Free_Cash_Flow_Valuation"/>
      <sheetName val="EVA_Valuation"/>
      <sheetName val="Component_Valuation"/>
      <sheetName val="Income_Statement"/>
      <sheetName val="Balance_Sheet"/>
      <sheetName val="OriginalISBS"/>
      <sheetName val="TB9899"/>
      <sheetName val="Bubbles_§raphs"/>
      <sheetName val="Free_Cmrg_Fl__Valuation"/>
      <sheetName val="Comronent_Valuation"/>
      <sheetName val="Mncome_S~ntemeb"/>
      <sheetName val="Baëance_Sh_x0005_et"/>
      <sheetName val="AriginalISBS"/>
      <sheetName val="Grouped TB-2004-05"/>
      <sheetName val="Main workings"/>
      <sheetName val="assumptions"/>
      <sheetName val="Reports"/>
      <sheetName val="List_ratios"/>
      <sheetName val="CF"/>
      <sheetName val="Input-Function"/>
      <sheetName val="DLC lookups"/>
      <sheetName val="Baëance_Shet"/>
      <sheetName val="Main_workings"/>
      <sheetName val="Grouped_TB-2004-05"/>
      <sheetName val="DLC_lookups"/>
      <sheetName val="Forecast-Input"/>
      <sheetName val="Valuation"/>
      <sheetName val="wwww"/>
      <sheetName val="Assume"/>
      <sheetName val="Capital"/>
      <sheetName val="Print_Menu"/>
      <sheetName val="MSA"/>
      <sheetName val="Vol_SRA"/>
      <sheetName val="Business_Ris_x0000__x0000_Valuation"/>
      <sheetName val="Sept Summary"/>
      <sheetName val="Branch-wise-City-wise"/>
      <sheetName val="INFO"/>
      <sheetName val="NOTES "/>
      <sheetName val="3CD ANX-I"/>
      <sheetName val="Computation"/>
      <sheetName val="Interest Working - banks"/>
      <sheetName val="OTB"/>
      <sheetName val="Balance Sheet"/>
      <sheetName val="Profit &amp; Loss"/>
      <sheetName val="Notes Balance Sheet"/>
      <sheetName val="Notes profit &amp; Loss Account"/>
      <sheetName val="B S Grouping 1"/>
      <sheetName val="B S Grouping 2"/>
      <sheetName val="TB 2013-14"/>
      <sheetName val="Deferred tax"/>
      <sheetName val="Aging"/>
      <sheetName val="P &amp; L Grouping"/>
      <sheetName val="losses detail"/>
      <sheetName val="Dep.-COMP ACT-FY 2011-12"/>
      <sheetName val="Dep. Comp Act FY 2013-14"/>
      <sheetName val="FC"/>
      <sheetName val="Reinstatement"/>
      <sheetName val="Additions-deletions (FA)"/>
      <sheetName val="Dep IT"/>
      <sheetName val="AS 18"/>
      <sheetName val="vinod-computation"/>
      <sheetName val="FORM29B"/>
      <sheetName val="computa"/>
      <sheetName val="trial 12-13"/>
      <sheetName val="intt."/>
      <sheetName val="BR (2)"/>
      <sheetName val="investment"/>
      <sheetName val="trial 11-12"/>
      <sheetName val="balance abstract"/>
      <sheetName val="1.4.13-31.3.14"/>
      <sheetName val="1.4.12-31.3.13"/>
      <sheetName val="Setting"/>
      <sheetName val="P&amp;L"/>
      <sheetName val="Dept-P&amp;L-Summary"/>
      <sheetName val="Revenue"/>
      <sheetName val="Manpower details"/>
      <sheetName val="Financials"/>
      <sheetName val="MTO REV.0"/>
      <sheetName val="Baëance_Sh_x005f_x0005_et"/>
      <sheetName val="Trial Balance"/>
      <sheetName val="Baëance_Sh_x005f_x005f_x005f_x0005_et"/>
      <sheetName val="PMT_DETAILS"/>
      <sheetName val="Grouped_TB-2004-051"/>
      <sheetName val="Main_workings1"/>
      <sheetName val="DLC_lookups1"/>
      <sheetName val="MTO_REV_0"/>
      <sheetName val="3CD_ANX-I"/>
      <sheetName val="Interest_Working_-_banks"/>
      <sheetName val="Balance_Sheet1"/>
      <sheetName val="Profit_&amp;_Loss"/>
      <sheetName val="Notes_Balance_Sheet"/>
      <sheetName val="Notes_profit_&amp;_Loss_Account"/>
      <sheetName val="B_S_Grouping_1"/>
      <sheetName val="B_S_Grouping_2"/>
      <sheetName val="TB_2013-14"/>
      <sheetName val="Deferred_tax"/>
      <sheetName val="P_&amp;_L_Grouping"/>
      <sheetName val="losses_detail"/>
      <sheetName val="Dep_-COMP_ACT-FY_2011-12"/>
      <sheetName val="Dep__Comp_Act_FY_2013-14"/>
      <sheetName val="Additions-deletions_(FA)"/>
      <sheetName val="Dep_IT"/>
      <sheetName val="AS_18"/>
      <sheetName val="trial_12-13"/>
      <sheetName val="intt_"/>
      <sheetName val="BR_(2)"/>
      <sheetName val="trial_11-12"/>
      <sheetName val="balance_abstract"/>
      <sheetName val="1_4_13-31_3_14"/>
      <sheetName val="1_4_12-31_3_13"/>
      <sheetName val="Trial_Balance"/>
      <sheetName val="Business_RisValuation"/>
      <sheetName val="Sept_Summary"/>
      <sheetName val="NOTES_"/>
      <sheetName val="Expenses"/>
      <sheetName val="sch"/>
      <sheetName val="land"/>
      <sheetName val="Ledger"/>
      <sheetName val="Report Setup Sheet"/>
      <sheetName val="Control"/>
      <sheetName val="PERFORMANCE"/>
      <sheetName val="SUB SCHEDULE"/>
      <sheetName val="fasst"/>
      <sheetName val="additions to fixed assets"/>
      <sheetName val="EVA Calculations"/>
      <sheetName val="Heat Cons"/>
      <sheetName val="CABLE"/>
      <sheetName val="number"/>
      <sheetName val="Print Menu"/>
      <sheetName val="Validation"/>
    </sheetNames>
    <sheetDataSet>
      <sheetData sheetId="0" refreshError="1"/>
      <sheetData sheetId="1" refreshError="1">
        <row r="1">
          <cell r="A1" t="str">
            <v>M_PrintSetUpDone</v>
          </cell>
        </row>
        <row r="11">
          <cell r="B11">
            <v>1992</v>
          </cell>
        </row>
        <row r="12">
          <cell r="B12">
            <v>2000</v>
          </cell>
        </row>
        <row r="19">
          <cell r="C19">
            <v>19</v>
          </cell>
        </row>
        <row r="20">
          <cell r="C20" t="e">
            <v>#REF!</v>
          </cell>
        </row>
        <row r="21">
          <cell r="C21">
            <v>16</v>
          </cell>
        </row>
        <row r="26">
          <cell r="B26">
            <v>1</v>
          </cell>
        </row>
        <row r="29">
          <cell r="B29" t="str">
            <v>PSA Consolidated Group</v>
          </cell>
        </row>
        <row r="32">
          <cell r="B32">
            <v>-4146</v>
          </cell>
        </row>
        <row r="33">
          <cell r="B33" t="str">
            <v>Finanseer</v>
          </cell>
        </row>
        <row r="38">
          <cell r="B38" t="e">
            <v>#REF!</v>
          </cell>
        </row>
        <row r="42">
          <cell r="B42">
            <v>0</v>
          </cell>
        </row>
        <row r="50">
          <cell r="A50" t="str">
            <v>$_(#,##0_);$(#,##0);_($0_)</v>
          </cell>
          <cell r="B50" t="str">
            <v>_(#,##0_)%;(#,##0)%;_(0%_)</v>
          </cell>
          <cell r="C50" t="str">
            <v>_(#,##0_);(#,##0);_(0_)</v>
          </cell>
          <cell r="D50" t="str">
            <v>_(#,##0_) x;(#,##0) x;_(0_) x</v>
          </cell>
          <cell r="E50" t="str">
            <v>_(#,##0"%"_);(#,##0"%");_(0"%"_)</v>
          </cell>
        </row>
        <row r="51">
          <cell r="A51" t="str">
            <v>$_(#,##0.0_);$(#,##0.0);_($0.0_)</v>
          </cell>
          <cell r="B51" t="str">
            <v>_(#,##0.0_)%;(#,##0.0)%;_(0.0%_)</v>
          </cell>
          <cell r="C51" t="str">
            <v>_(#,##0.0_);(#,##0.0);_(0.0_)</v>
          </cell>
          <cell r="D51" t="str">
            <v>_(#,##0.0_) x;(#,##0.0) x;_(0.0_) x</v>
          </cell>
          <cell r="E51" t="str">
            <v>_(#,##0.0"%"_);(#,##0.0)"%";_(0.0_)"%"</v>
          </cell>
        </row>
        <row r="52">
          <cell r="A52" t="str">
            <v>$_(#,##0.00_);$(#,##0.00);_($0.00_)</v>
          </cell>
          <cell r="B52" t="str">
            <v>_(#,##0.00%_);(#,##0.00%);_(0.00%_)</v>
          </cell>
          <cell r="C52" t="str">
            <v>_(#,##0.00_);(#,##0.00);_(0.00_)</v>
          </cell>
          <cell r="D52" t="str">
            <v>_(#,##0.00_) x;(#,##0.00) x;0.00 x</v>
          </cell>
          <cell r="E52" t="str">
            <v>_(#,##0.00"%"_);(#,##0.00"%");_(0.00"%"_)</v>
          </cell>
        </row>
        <row r="53">
          <cell r="A53" t="str">
            <v>$_(#,##0.000_);$(#,##0.000);_($0.000_)</v>
          </cell>
          <cell r="B53" t="str">
            <v>_(#,##0.000%_);(#,##0.000%);_(0.000%_)</v>
          </cell>
          <cell r="C53" t="str">
            <v>_(#,##0.000_);(#,##0.000);_(0.000_)</v>
          </cell>
          <cell r="D53" t="str">
            <v>_(#,##0.000_) x;(#,##0.000) x;0.000 x</v>
          </cell>
          <cell r="E53" t="str">
            <v>_(#,##0.000"%"_);(#,##0.000"%");_(0.000"%"_)</v>
          </cell>
        </row>
        <row r="54">
          <cell r="A54" t="str">
            <v>$_(#,##0.0000_);$(#,##0.0000);_($0.0000_)</v>
          </cell>
          <cell r="B54" t="str">
            <v>_(#,##0.0000%_);(#,##0.0000%);_(0.0000%_)</v>
          </cell>
          <cell r="C54" t="str">
            <v>_(#,##0.0000_);(#,##0.0000);_(0.0000_)</v>
          </cell>
          <cell r="D54" t="str">
            <v>_(#,##0.0000_) x;(#,##0.0000) x;0.0000 x</v>
          </cell>
          <cell r="E54" t="str">
            <v>_(#,##0.0000"%"_);(#,##0.0000"%");_(0.0000"%"_)</v>
          </cell>
        </row>
        <row r="55">
          <cell r="A55" t="str">
            <v>$_(#,##0.00000_);$(#,##0.00000);_($0.00000_)</v>
          </cell>
          <cell r="B55" t="str">
            <v>_(#,##0.00000%_);(#,##0.00000%);_(0.00000%_)</v>
          </cell>
          <cell r="C55" t="str">
            <v>_(#,##0.00000_);(#,##0.00000);_(0.00000_)</v>
          </cell>
          <cell r="D55" t="str">
            <v>_(#,##0.00000_) x;(#,##0.00000) x;0.00000 x</v>
          </cell>
          <cell r="E55" t="str">
            <v>_(#,##0.00000"%"_);(#,##0.00000"%");_(0.00000"%"_)</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M_PrintSetUpDone</v>
          </cell>
          <cell r="B1" t="b">
            <v>0</v>
          </cell>
          <cell r="Q1" t="str">
            <v>Forecast</v>
          </cell>
          <cell r="R1" t="str">
            <v>Forecast</v>
          </cell>
          <cell r="X1" t="str">
            <v>Forecast</v>
          </cell>
          <cell r="Y1" t="str">
            <v>Forecast</v>
          </cell>
          <cell r="Z1" t="str">
            <v>Forecast</v>
          </cell>
        </row>
        <row r="2">
          <cell r="E2" t="str">
            <v>Acct</v>
          </cell>
          <cell r="F2" t="str">
            <v>Validation Problem</v>
          </cell>
          <cell r="H2">
            <v>1995</v>
          </cell>
          <cell r="I2">
            <v>1996</v>
          </cell>
          <cell r="J2">
            <v>1997</v>
          </cell>
          <cell r="K2">
            <v>1998</v>
          </cell>
          <cell r="L2">
            <v>1999</v>
          </cell>
          <cell r="M2">
            <v>2000</v>
          </cell>
          <cell r="N2">
            <v>2001</v>
          </cell>
          <cell r="O2">
            <v>2002</v>
          </cell>
          <cell r="P2">
            <v>2003</v>
          </cell>
          <cell r="Q2">
            <v>2004</v>
          </cell>
          <cell r="R2">
            <v>2005</v>
          </cell>
          <cell r="S2">
            <v>2003</v>
          </cell>
          <cell r="T2">
            <v>2004</v>
          </cell>
          <cell r="U2">
            <v>2005</v>
          </cell>
          <cell r="V2">
            <v>2006</v>
          </cell>
          <cell r="W2">
            <v>2007</v>
          </cell>
          <cell r="X2">
            <v>2008</v>
          </cell>
          <cell r="Y2">
            <v>2009</v>
          </cell>
          <cell r="Z2">
            <v>2010</v>
          </cell>
        </row>
      </sheetData>
      <sheetData sheetId="17" refreshError="1">
        <row r="8">
          <cell r="B8">
            <v>6</v>
          </cell>
        </row>
      </sheetData>
      <sheetData sheetId="18" refreshError="1">
        <row r="1">
          <cell r="A1" t="str">
            <v>M_PrintSetUpDone</v>
          </cell>
        </row>
        <row r="8">
          <cell r="B8">
            <v>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 val="tb21oct"/>
      <sheetName val="p&amp;lsep00"/>
      <sheetName val="Sheet3"/>
      <sheetName val="p&amp;l groupings"/>
      <sheetName val="bsheetsep00"/>
      <sheetName val="comp99-00bs"/>
      <sheetName val="bsheetgroup"/>
      <sheetName val="subschd.bsheet"/>
      <sheetName val="goupg.workg."/>
      <sheetName val="P &amp; L SCH"/>
      <sheetName val="Region"/>
      <sheetName val="SOLUT006"/>
      <sheetName val="#REF"/>
      <sheetName val="KPI Defn"/>
      <sheetName val="NOPAT MAR'01"/>
      <sheetName val="GrossMgn 98"/>
    </sheetNames>
    <sheetDataSet>
      <sheetData sheetId="0" refreshError="1">
        <row r="10">
          <cell r="G10" t="str">
            <v>START UP EXPENSES BEFORE OPERATION</v>
          </cell>
          <cell r="I10">
            <v>0</v>
          </cell>
          <cell r="J10">
            <v>0</v>
          </cell>
          <cell r="K10">
            <v>0</v>
          </cell>
          <cell r="L10">
            <v>0</v>
          </cell>
          <cell r="N10">
            <v>0</v>
          </cell>
          <cell r="O10">
            <v>0</v>
          </cell>
        </row>
        <row r="11">
          <cell r="G11" t="str">
            <v>ADVANCE PAID ON INTANGIBLE ASSETS(INSYST)</v>
          </cell>
          <cell r="I11">
            <v>0</v>
          </cell>
          <cell r="J11">
            <v>0</v>
          </cell>
          <cell r="K11">
            <v>0</v>
          </cell>
          <cell r="L11">
            <v>0</v>
          </cell>
          <cell r="N11">
            <v>0</v>
          </cell>
          <cell r="O11">
            <v>0</v>
          </cell>
        </row>
        <row r="12">
          <cell r="G12" t="str">
            <v>LAND AT COST</v>
          </cell>
          <cell r="H12" t="str">
            <v>Freehold Land</v>
          </cell>
          <cell r="I12">
            <v>27316035</v>
          </cell>
          <cell r="J12">
            <v>0</v>
          </cell>
          <cell r="K12">
            <v>0</v>
          </cell>
          <cell r="L12">
            <v>27316035</v>
          </cell>
          <cell r="N12">
            <v>27316035</v>
          </cell>
          <cell r="O12" t="str">
            <v>z</v>
          </cell>
          <cell r="P12">
            <v>72217225.950000003</v>
          </cell>
          <cell r="U12">
            <v>72217225.950000003</v>
          </cell>
          <cell r="V12" t="str">
            <v>*</v>
          </cell>
        </row>
        <row r="13">
          <cell r="G13" t="str">
            <v>PRODUCTION BUILDING-AT COST</v>
          </cell>
          <cell r="H13" t="str">
            <v>Factory Building</v>
          </cell>
          <cell r="I13">
            <v>20347649.25</v>
          </cell>
          <cell r="J13">
            <v>0</v>
          </cell>
          <cell r="K13">
            <v>0</v>
          </cell>
          <cell r="L13">
            <v>20347649.25</v>
          </cell>
          <cell r="N13">
            <v>20347649.25</v>
          </cell>
          <cell r="O13" t="str">
            <v>z</v>
          </cell>
          <cell r="V13" t="str">
            <v>*</v>
          </cell>
        </row>
        <row r="14">
          <cell r="G14" t="str">
            <v>PRODUCTION BUILDING-ACCUMULATED DEPRECIATION</v>
          </cell>
          <cell r="H14" t="str">
            <v>Factory Building-dpr</v>
          </cell>
          <cell r="I14">
            <v>-267586</v>
          </cell>
          <cell r="J14">
            <v>0</v>
          </cell>
          <cell r="K14">
            <v>406953</v>
          </cell>
          <cell r="L14">
            <v>-674539</v>
          </cell>
          <cell r="N14">
            <v>-674539</v>
          </cell>
          <cell r="O14" t="str">
            <v>z</v>
          </cell>
          <cell r="V14" t="str">
            <v>*</v>
          </cell>
        </row>
        <row r="15">
          <cell r="G15" t="str">
            <v>LEASEHOLD BUILDING - AT COST</v>
          </cell>
          <cell r="H15" t="str">
            <v>Leashold Building</v>
          </cell>
          <cell r="I15">
            <v>100368.74</v>
          </cell>
          <cell r="J15">
            <v>0</v>
          </cell>
          <cell r="K15">
            <v>0</v>
          </cell>
          <cell r="L15">
            <v>100368.74</v>
          </cell>
          <cell r="N15">
            <v>100368.74</v>
          </cell>
          <cell r="O15" t="str">
            <v>z</v>
          </cell>
          <cell r="V15" t="str">
            <v>*</v>
          </cell>
        </row>
        <row r="16">
          <cell r="G16" t="str">
            <v>LEASEHOLD BUILDING  - ACCUMULATED DEPRECIATION</v>
          </cell>
          <cell r="H16" t="str">
            <v>Leashold Building-dpr</v>
          </cell>
          <cell r="I16">
            <v>-12934.25</v>
          </cell>
          <cell r="J16">
            <v>0</v>
          </cell>
          <cell r="K16">
            <v>1348</v>
          </cell>
          <cell r="L16">
            <v>-14282.25</v>
          </cell>
          <cell r="N16">
            <v>-14282.25</v>
          </cell>
          <cell r="O16" t="str">
            <v>z</v>
          </cell>
          <cell r="V16" t="str">
            <v>*</v>
          </cell>
        </row>
        <row r="17">
          <cell r="G17" t="str">
            <v>WAREHOUSE BUILDING - AT COST</v>
          </cell>
          <cell r="H17" t="str">
            <v>Freehold Building</v>
          </cell>
          <cell r="I17">
            <v>357977</v>
          </cell>
          <cell r="J17">
            <v>0</v>
          </cell>
          <cell r="K17">
            <v>0</v>
          </cell>
          <cell r="L17">
            <v>357977</v>
          </cell>
          <cell r="N17">
            <v>357977</v>
          </cell>
          <cell r="O17" t="str">
            <v>z</v>
          </cell>
          <cell r="V17" t="str">
            <v>*</v>
          </cell>
        </row>
        <row r="18">
          <cell r="G18" t="str">
            <v>WAREHOUSE BUILDING  - ACCUMULATED DEPRECIATION</v>
          </cell>
          <cell r="H18" t="str">
            <v>Freehold Building-dpr</v>
          </cell>
          <cell r="I18">
            <v>-76278.600000000006</v>
          </cell>
          <cell r="J18">
            <v>0</v>
          </cell>
          <cell r="K18">
            <v>5157</v>
          </cell>
          <cell r="L18">
            <v>-81435.600000000006</v>
          </cell>
          <cell r="N18">
            <v>-81435.600000000006</v>
          </cell>
          <cell r="O18" t="str">
            <v>z</v>
          </cell>
          <cell r="V18" t="str">
            <v>*</v>
          </cell>
        </row>
        <row r="19">
          <cell r="G19" t="str">
            <v>EQUIP. MACH. FOR  PROCESSING &amp; CONVERSION OF MATERIAL -COST</v>
          </cell>
          <cell r="H19" t="str">
            <v>Factory Equipment</v>
          </cell>
          <cell r="I19">
            <v>4756014.3899999997</v>
          </cell>
          <cell r="J19">
            <v>0</v>
          </cell>
          <cell r="K19">
            <v>0</v>
          </cell>
          <cell r="L19">
            <v>4756014.3899999997</v>
          </cell>
          <cell r="N19">
            <v>13055875.85</v>
          </cell>
          <cell r="O19">
            <v>1</v>
          </cell>
          <cell r="P19">
            <v>13055875.85</v>
          </cell>
          <cell r="Q19">
            <v>0</v>
          </cell>
          <cell r="R19">
            <v>0</v>
          </cell>
          <cell r="S19">
            <v>13055875.85</v>
          </cell>
          <cell r="V19" t="str">
            <v>*</v>
          </cell>
        </row>
        <row r="20">
          <cell r="G20" t="str">
            <v>EQUT. MACH. FOR  PROCESSING - ACCUMULATED DEPRECIATION.</v>
          </cell>
          <cell r="H20" t="str">
            <v>Factory Equipment-dpr</v>
          </cell>
          <cell r="I20">
            <v>-672668.93</v>
          </cell>
          <cell r="J20">
            <v>30000</v>
          </cell>
          <cell r="K20">
            <v>230329</v>
          </cell>
          <cell r="L20">
            <v>-872997.93</v>
          </cell>
          <cell r="N20">
            <v>-1584642.9300000002</v>
          </cell>
          <cell r="O20">
            <v>2</v>
          </cell>
          <cell r="P20">
            <v>-942380.93</v>
          </cell>
          <cell r="Q20">
            <v>30000</v>
          </cell>
          <cell r="R20">
            <v>672262</v>
          </cell>
          <cell r="S20">
            <v>-1584642.9300000002</v>
          </cell>
          <cell r="V20" t="str">
            <v>*</v>
          </cell>
        </row>
        <row r="21">
          <cell r="G21" t="str">
            <v>EQUIPMENT FOR OCCUPATIONAL SAFETY &amp; ENVIRON. PROT - ACC DEPR</v>
          </cell>
          <cell r="I21">
            <v>1369726.82</v>
          </cell>
          <cell r="J21">
            <v>0</v>
          </cell>
          <cell r="K21">
            <v>0</v>
          </cell>
          <cell r="L21">
            <v>1369726.82</v>
          </cell>
          <cell r="O21">
            <v>1</v>
          </cell>
          <cell r="V21" t="str">
            <v>*</v>
          </cell>
        </row>
        <row r="22">
          <cell r="G22" t="str">
            <v>EQUIPMENT FOR OCCUPATIONAL SAFETY &amp; ENVIRON. PROT. - ACC DEP</v>
          </cell>
          <cell r="I22">
            <v>-45032</v>
          </cell>
          <cell r="J22">
            <v>0</v>
          </cell>
          <cell r="K22">
            <v>68486</v>
          </cell>
          <cell r="L22">
            <v>-113518</v>
          </cell>
          <cell r="O22">
            <v>2</v>
          </cell>
          <cell r="V22" t="str">
            <v>*</v>
          </cell>
        </row>
        <row r="23">
          <cell r="G23" t="str">
            <v>OTHER EQUIPMENT AND MACHINERY - AT COST</v>
          </cell>
          <cell r="I23">
            <v>6104782.2000000002</v>
          </cell>
          <cell r="J23">
            <v>0</v>
          </cell>
          <cell r="K23">
            <v>0</v>
          </cell>
          <cell r="L23">
            <v>6104782.2000000002</v>
          </cell>
          <cell r="O23">
            <v>1</v>
          </cell>
          <cell r="V23" t="str">
            <v>*</v>
          </cell>
        </row>
        <row r="24">
          <cell r="G24" t="str">
            <v>OTHER EQUIPMENT AND MACHINERY - ACCUMULATED DEPRECIATION</v>
          </cell>
          <cell r="I24">
            <v>-201253</v>
          </cell>
          <cell r="J24">
            <v>0</v>
          </cell>
          <cell r="K24">
            <v>306071</v>
          </cell>
          <cell r="L24">
            <v>-507324</v>
          </cell>
          <cell r="O24">
            <v>2</v>
          </cell>
          <cell r="V24" t="str">
            <v>*</v>
          </cell>
        </row>
        <row r="25">
          <cell r="G25" t="str">
            <v>OTHER EQUIPMENT -AT COST</v>
          </cell>
          <cell r="I25">
            <v>801925.65</v>
          </cell>
          <cell r="J25">
            <v>0</v>
          </cell>
          <cell r="K25">
            <v>0</v>
          </cell>
          <cell r="L25">
            <v>801925.65</v>
          </cell>
          <cell r="O25">
            <v>1</v>
          </cell>
          <cell r="V25" t="str">
            <v>*</v>
          </cell>
        </row>
        <row r="26">
          <cell r="G26" t="str">
            <v>OTHER EQUIPMENT -ACCUMULATED DEPRECIATION</v>
          </cell>
          <cell r="I26">
            <v>0</v>
          </cell>
          <cell r="J26">
            <v>0</v>
          </cell>
          <cell r="K26">
            <v>67376</v>
          </cell>
          <cell r="L26">
            <v>-67376</v>
          </cell>
          <cell r="O26">
            <v>2</v>
          </cell>
          <cell r="V26" t="str">
            <v>*</v>
          </cell>
        </row>
        <row r="27">
          <cell r="G27" t="str">
            <v>WORKSHOP EQUIPMENT - AT COST</v>
          </cell>
          <cell r="I27">
            <v>17686</v>
          </cell>
          <cell r="J27">
            <v>0</v>
          </cell>
          <cell r="K27">
            <v>0</v>
          </cell>
          <cell r="L27">
            <v>17686</v>
          </cell>
          <cell r="O27">
            <v>1</v>
          </cell>
          <cell r="V27" t="str">
            <v>*</v>
          </cell>
        </row>
        <row r="28">
          <cell r="G28" t="str">
            <v>WORKSHOP EQUIPMENT - ACCUMULATED DEPRECIAION</v>
          </cell>
          <cell r="I28">
            <v>-17686</v>
          </cell>
          <cell r="J28">
            <v>0</v>
          </cell>
          <cell r="K28">
            <v>0</v>
          </cell>
          <cell r="L28">
            <v>-17686</v>
          </cell>
          <cell r="O28">
            <v>2</v>
          </cell>
          <cell r="V28" t="str">
            <v>*</v>
          </cell>
        </row>
        <row r="29">
          <cell r="G29" t="str">
            <v>TOOLS,DEVICES &amp; TESTING INSTRUMENTS - AT COST</v>
          </cell>
          <cell r="I29">
            <v>5740.79</v>
          </cell>
          <cell r="J29">
            <v>0</v>
          </cell>
          <cell r="K29">
            <v>0</v>
          </cell>
          <cell r="L29">
            <v>5740.79</v>
          </cell>
          <cell r="O29">
            <v>1</v>
          </cell>
          <cell r="V29" t="str">
            <v>*</v>
          </cell>
        </row>
        <row r="30">
          <cell r="G30" t="str">
            <v>TOOLS,DEVICES &amp; TESTING INSTRUMENTS - ACCUMULATED DEPRECIATI</v>
          </cell>
          <cell r="I30">
            <v>-5741</v>
          </cell>
          <cell r="J30">
            <v>0</v>
          </cell>
          <cell r="K30">
            <v>0</v>
          </cell>
          <cell r="L30">
            <v>-5741</v>
          </cell>
          <cell r="O30">
            <v>2</v>
          </cell>
          <cell r="V30" t="str">
            <v>*</v>
          </cell>
        </row>
        <row r="31">
          <cell r="G31" t="str">
            <v>MOTOR VEHICLE -AT COST</v>
          </cell>
          <cell r="H31" t="str">
            <v>Vehicles</v>
          </cell>
          <cell r="I31">
            <v>695101.17</v>
          </cell>
          <cell r="J31">
            <v>0</v>
          </cell>
          <cell r="K31">
            <v>0</v>
          </cell>
          <cell r="L31">
            <v>695101.17</v>
          </cell>
          <cell r="N31">
            <v>695101.17</v>
          </cell>
          <cell r="O31" t="str">
            <v>z</v>
          </cell>
          <cell r="V31" t="str">
            <v>*</v>
          </cell>
        </row>
        <row r="32">
          <cell r="G32" t="str">
            <v>MOTOR VEHICLE -ACCUMULATED DEPRECIATION</v>
          </cell>
          <cell r="H32" t="str">
            <v>Vehicles-dpr</v>
          </cell>
          <cell r="I32">
            <v>-160892.81</v>
          </cell>
          <cell r="J32">
            <v>20000</v>
          </cell>
          <cell r="K32">
            <v>97678</v>
          </cell>
          <cell r="L32">
            <v>-238570.81</v>
          </cell>
          <cell r="N32">
            <v>-238570.81</v>
          </cell>
          <cell r="O32" t="str">
            <v>z</v>
          </cell>
          <cell r="V32" t="str">
            <v>*</v>
          </cell>
        </row>
        <row r="33">
          <cell r="G33" t="str">
            <v>COMPUTER HARDWARE - AT COST</v>
          </cell>
          <cell r="H33" t="str">
            <v>Computers</v>
          </cell>
          <cell r="I33">
            <v>4720995</v>
          </cell>
          <cell r="J33">
            <v>0</v>
          </cell>
          <cell r="K33">
            <v>0</v>
          </cell>
          <cell r="L33">
            <v>4720995</v>
          </cell>
          <cell r="N33">
            <v>7848095</v>
          </cell>
          <cell r="O33">
            <v>3</v>
          </cell>
          <cell r="P33">
            <v>7848095</v>
          </cell>
          <cell r="Q33">
            <v>0</v>
          </cell>
          <cell r="R33">
            <v>0</v>
          </cell>
          <cell r="S33">
            <v>7848095</v>
          </cell>
          <cell r="V33" t="str">
            <v>*</v>
          </cell>
        </row>
        <row r="34">
          <cell r="G34" t="str">
            <v>COMPUTER HARDWARE -ACCUMULATED DEPRECIATION</v>
          </cell>
          <cell r="H34" t="str">
            <v>Computers-dpr</v>
          </cell>
          <cell r="I34">
            <v>-1714301.75</v>
          </cell>
          <cell r="J34">
            <v>300000</v>
          </cell>
          <cell r="K34">
            <v>434239</v>
          </cell>
          <cell r="L34">
            <v>-1848540.75</v>
          </cell>
          <cell r="N34">
            <v>-2532929.75</v>
          </cell>
          <cell r="O34">
            <v>4</v>
          </cell>
          <cell r="P34">
            <v>-2197577.75</v>
          </cell>
          <cell r="Q34">
            <v>450000</v>
          </cell>
          <cell r="R34">
            <v>785352</v>
          </cell>
          <cell r="S34">
            <v>-2532929.75</v>
          </cell>
          <cell r="V34" t="str">
            <v>*</v>
          </cell>
        </row>
        <row r="35">
          <cell r="G35" t="str">
            <v>COMPUTER HARDWARE - NEW SYSTEM</v>
          </cell>
          <cell r="I35">
            <v>0</v>
          </cell>
          <cell r="J35">
            <v>0</v>
          </cell>
          <cell r="K35">
            <v>0</v>
          </cell>
          <cell r="L35">
            <v>0</v>
          </cell>
          <cell r="O35">
            <v>0</v>
          </cell>
          <cell r="V35" t="str">
            <v>*</v>
          </cell>
        </row>
        <row r="36">
          <cell r="G36" t="str">
            <v>COMPUTER SOFTWARE - AT COST</v>
          </cell>
          <cell r="I36">
            <v>3127100</v>
          </cell>
          <cell r="J36">
            <v>0</v>
          </cell>
          <cell r="K36">
            <v>0</v>
          </cell>
          <cell r="L36">
            <v>3127100</v>
          </cell>
          <cell r="O36">
            <v>3</v>
          </cell>
          <cell r="V36" t="str">
            <v>*</v>
          </cell>
        </row>
        <row r="37">
          <cell r="G37" t="str">
            <v>COMPUTER SOFTWARE - ACCUMULATED DEPRECIATION</v>
          </cell>
          <cell r="I37">
            <v>-483276</v>
          </cell>
          <cell r="J37">
            <v>150000</v>
          </cell>
          <cell r="K37">
            <v>351113</v>
          </cell>
          <cell r="L37">
            <v>-684389</v>
          </cell>
          <cell r="O37">
            <v>4</v>
          </cell>
          <cell r="V37" t="str">
            <v>*</v>
          </cell>
        </row>
        <row r="38">
          <cell r="G38" t="str">
            <v>COMMUNICATION EQUIPMENT -AT COST</v>
          </cell>
          <cell r="H38" t="str">
            <v>Office Equipment</v>
          </cell>
          <cell r="I38">
            <v>315583.71999999997</v>
          </cell>
          <cell r="J38">
            <v>0</v>
          </cell>
          <cell r="K38">
            <v>0</v>
          </cell>
          <cell r="L38">
            <v>315583.71999999997</v>
          </cell>
          <cell r="N38">
            <v>5393968.9799999995</v>
          </cell>
          <cell r="O38">
            <v>5</v>
          </cell>
          <cell r="P38">
            <v>5645753.9799999995</v>
          </cell>
          <cell r="Q38">
            <v>78215</v>
          </cell>
          <cell r="R38">
            <v>330000</v>
          </cell>
          <cell r="S38">
            <v>5393968.9799999995</v>
          </cell>
          <cell r="V38" t="str">
            <v>*</v>
          </cell>
        </row>
        <row r="39">
          <cell r="G39" t="str">
            <v>COMMUNICATION EQUIPMENT -ACCUMULATED DEPRECIATION</v>
          </cell>
          <cell r="H39" t="str">
            <v>Office Equipment-dpr</v>
          </cell>
          <cell r="I39">
            <v>-23124</v>
          </cell>
          <cell r="J39">
            <v>0</v>
          </cell>
          <cell r="K39">
            <v>18579</v>
          </cell>
          <cell r="L39">
            <v>-41703</v>
          </cell>
          <cell r="N39">
            <v>-859414.26</v>
          </cell>
          <cell r="O39">
            <v>6</v>
          </cell>
          <cell r="P39">
            <v>-474531.26</v>
          </cell>
          <cell r="Q39">
            <v>11000</v>
          </cell>
          <cell r="R39">
            <v>395883</v>
          </cell>
          <cell r="S39">
            <v>-859414.26</v>
          </cell>
          <cell r="V39" t="str">
            <v>*</v>
          </cell>
        </row>
        <row r="40">
          <cell r="G40" t="str">
            <v>OFFICE FURNITURE &amp; FITTINGS -AT COST</v>
          </cell>
          <cell r="H40" t="str">
            <v>Furniture and Fixtures</v>
          </cell>
          <cell r="I40">
            <v>3920251.36</v>
          </cell>
          <cell r="J40">
            <v>37000</v>
          </cell>
          <cell r="K40">
            <v>0</v>
          </cell>
          <cell r="L40">
            <v>3957251.36</v>
          </cell>
          <cell r="N40">
            <v>3957251.36</v>
          </cell>
          <cell r="O40">
            <v>7</v>
          </cell>
          <cell r="P40">
            <v>3920251.36</v>
          </cell>
          <cell r="Q40">
            <v>37000</v>
          </cell>
          <cell r="R40">
            <v>0</v>
          </cell>
          <cell r="S40">
            <v>3957251.36</v>
          </cell>
          <cell r="V40" t="str">
            <v>*</v>
          </cell>
        </row>
        <row r="41">
          <cell r="G41" t="str">
            <v>OFFICE FURNITURE &amp; FITTINGS -ACCUMULATED DEPRECIATION</v>
          </cell>
          <cell r="H41" t="str">
            <v>Furniture and Fixtures-dpr</v>
          </cell>
          <cell r="I41">
            <v>-697047.8</v>
          </cell>
          <cell r="J41">
            <v>24000</v>
          </cell>
          <cell r="K41">
            <v>196234</v>
          </cell>
          <cell r="L41">
            <v>-869281.8</v>
          </cell>
          <cell r="N41">
            <v>-869281.8</v>
          </cell>
          <cell r="O41">
            <v>8</v>
          </cell>
          <cell r="P41">
            <v>-697047.8</v>
          </cell>
          <cell r="Q41">
            <v>24000</v>
          </cell>
          <cell r="R41">
            <v>196234</v>
          </cell>
          <cell r="S41">
            <v>-869281.8</v>
          </cell>
          <cell r="V41" t="str">
            <v>*</v>
          </cell>
        </row>
        <row r="42">
          <cell r="G42" t="str">
            <v>OFFICE EQUIPMENT -AT COST</v>
          </cell>
          <cell r="I42">
            <v>793671.75</v>
          </cell>
          <cell r="J42">
            <v>78215</v>
          </cell>
          <cell r="K42">
            <v>0</v>
          </cell>
          <cell r="L42">
            <v>871886.75</v>
          </cell>
          <cell r="O42">
            <v>5</v>
          </cell>
          <cell r="V42" t="str">
            <v>*</v>
          </cell>
        </row>
        <row r="43">
          <cell r="G43" t="str">
            <v>OFFICE AIRCONDITIONERS</v>
          </cell>
          <cell r="I43">
            <v>4536498.51</v>
          </cell>
          <cell r="J43">
            <v>0</v>
          </cell>
          <cell r="K43">
            <v>330000</v>
          </cell>
          <cell r="L43">
            <v>4206498.51</v>
          </cell>
          <cell r="O43">
            <v>7</v>
          </cell>
          <cell r="V43" t="str">
            <v>*</v>
          </cell>
        </row>
        <row r="44">
          <cell r="G44" t="str">
            <v>OFFICE AIRCONDITIONERS- ACCUMULATED DEPRECIATION</v>
          </cell>
          <cell r="I44">
            <v>-192692</v>
          </cell>
          <cell r="J44">
            <v>0</v>
          </cell>
          <cell r="K44">
            <v>263054</v>
          </cell>
          <cell r="L44">
            <v>-455746</v>
          </cell>
          <cell r="O44">
            <v>8</v>
          </cell>
          <cell r="V44" t="str">
            <v>*</v>
          </cell>
        </row>
        <row r="45">
          <cell r="G45" t="str">
            <v>OFFICE EQUIPMENT -ACCUMULATED DEPRECIATION</v>
          </cell>
          <cell r="I45">
            <v>-258715.26</v>
          </cell>
          <cell r="J45">
            <v>11000</v>
          </cell>
          <cell r="K45">
            <v>114250</v>
          </cell>
          <cell r="L45">
            <v>-361965.26</v>
          </cell>
          <cell r="O45">
            <v>6</v>
          </cell>
          <cell r="V45" t="str">
            <v>*</v>
          </cell>
        </row>
        <row r="46">
          <cell r="G46" t="str">
            <v>PROJECT EXP.EXPENSES</v>
          </cell>
          <cell r="H46" t="str">
            <v xml:space="preserve">                Capital Work-In-Progress</v>
          </cell>
          <cell r="I46">
            <v>0</v>
          </cell>
          <cell r="J46">
            <v>0</v>
          </cell>
          <cell r="K46">
            <v>0</v>
          </cell>
          <cell r="L46">
            <v>0</v>
          </cell>
          <cell r="N46">
            <v>1218506</v>
          </cell>
          <cell r="O46">
            <v>9</v>
          </cell>
          <cell r="P46">
            <v>1218506</v>
          </cell>
          <cell r="U46">
            <v>1218506</v>
          </cell>
          <cell r="V46" t="str">
            <v>*</v>
          </cell>
        </row>
        <row r="47">
          <cell r="G47" t="str">
            <v>PROJECT EXP. - 1</v>
          </cell>
          <cell r="I47">
            <v>1167686</v>
          </cell>
          <cell r="J47">
            <v>0</v>
          </cell>
          <cell r="K47">
            <v>0</v>
          </cell>
          <cell r="L47">
            <v>1167686</v>
          </cell>
          <cell r="O47">
            <v>9</v>
          </cell>
          <cell r="V47" t="str">
            <v>*</v>
          </cell>
        </row>
        <row r="48">
          <cell r="G48" t="str">
            <v>PROJECT EXP. - 2</v>
          </cell>
          <cell r="I48">
            <v>48904</v>
          </cell>
          <cell r="J48">
            <v>1916</v>
          </cell>
          <cell r="K48">
            <v>0</v>
          </cell>
          <cell r="L48">
            <v>50820</v>
          </cell>
          <cell r="O48">
            <v>9</v>
          </cell>
          <cell r="V48" t="str">
            <v>*</v>
          </cell>
        </row>
        <row r="49">
          <cell r="G49" t="str">
            <v>TOOLS,DEVICES &amp; TESTING INSTRUMENTS - AT COST</v>
          </cell>
          <cell r="I49">
            <v>0</v>
          </cell>
          <cell r="J49">
            <v>0</v>
          </cell>
          <cell r="K49">
            <v>0</v>
          </cell>
          <cell r="L49">
            <v>0</v>
          </cell>
          <cell r="O49">
            <v>9</v>
          </cell>
          <cell r="V49" t="str">
            <v>*</v>
          </cell>
        </row>
        <row r="50">
          <cell r="G50" t="str">
            <v>PRODUCTION BUILDING</v>
          </cell>
          <cell r="I50">
            <v>181560</v>
          </cell>
          <cell r="J50">
            <v>0</v>
          </cell>
          <cell r="K50">
            <v>181560</v>
          </cell>
          <cell r="L50">
            <v>0</v>
          </cell>
          <cell r="O50">
            <v>9</v>
          </cell>
          <cell r="V50" t="str">
            <v>*</v>
          </cell>
        </row>
        <row r="51">
          <cell r="G51" t="str">
            <v>FIRE EQUIPMENTS -PROJECT</v>
          </cell>
          <cell r="I51">
            <v>0</v>
          </cell>
          <cell r="J51">
            <v>0</v>
          </cell>
          <cell r="K51">
            <v>0</v>
          </cell>
          <cell r="L51">
            <v>0</v>
          </cell>
          <cell r="O51">
            <v>9</v>
          </cell>
          <cell r="V51" t="str">
            <v>*</v>
          </cell>
        </row>
        <row r="52">
          <cell r="G52" t="str">
            <v>ELECTRICAL EQUIPMENTS - PROJECT</v>
          </cell>
          <cell r="I52">
            <v>45000</v>
          </cell>
          <cell r="J52">
            <v>0</v>
          </cell>
          <cell r="K52">
            <v>45000</v>
          </cell>
          <cell r="L52">
            <v>0</v>
          </cell>
          <cell r="O52">
            <v>9</v>
          </cell>
          <cell r="V52" t="str">
            <v>*</v>
          </cell>
        </row>
        <row r="53">
          <cell r="G53" t="str">
            <v>AIRCONDITIONING - PROJECT</v>
          </cell>
          <cell r="I53">
            <v>-330000</v>
          </cell>
          <cell r="J53">
            <v>330000</v>
          </cell>
          <cell r="K53">
            <v>0</v>
          </cell>
          <cell r="L53">
            <v>0</v>
          </cell>
          <cell r="O53">
            <v>9</v>
          </cell>
          <cell r="V53" t="str">
            <v>*</v>
          </cell>
        </row>
        <row r="54">
          <cell r="G54" t="str">
            <v>FACTORY EQIP.-PROJECT</v>
          </cell>
          <cell r="I54">
            <v>0</v>
          </cell>
          <cell r="J54">
            <v>0</v>
          </cell>
          <cell r="K54">
            <v>0</v>
          </cell>
          <cell r="L54">
            <v>0</v>
          </cell>
          <cell r="O54">
            <v>9</v>
          </cell>
          <cell r="V54" t="str">
            <v>*</v>
          </cell>
        </row>
        <row r="55">
          <cell r="G55" t="str">
            <v>FURNITURE &amp; FIXTURES- (PROJECT)</v>
          </cell>
          <cell r="I55">
            <v>22000</v>
          </cell>
          <cell r="J55">
            <v>0</v>
          </cell>
          <cell r="K55">
            <v>22000</v>
          </cell>
          <cell r="L55">
            <v>0</v>
          </cell>
          <cell r="O55">
            <v>9</v>
          </cell>
          <cell r="V55" t="str">
            <v>*</v>
          </cell>
        </row>
        <row r="56">
          <cell r="G56" t="str">
            <v>COMMUNICATION EQUIPMENT -AT COST</v>
          </cell>
          <cell r="I56">
            <v>0</v>
          </cell>
          <cell r="J56">
            <v>0</v>
          </cell>
          <cell r="K56">
            <v>0</v>
          </cell>
          <cell r="L56">
            <v>0</v>
          </cell>
          <cell r="O56">
            <v>9</v>
          </cell>
          <cell r="V56" t="str">
            <v>*</v>
          </cell>
        </row>
        <row r="57">
          <cell r="G57" t="str">
            <v>SHARES IN GOA URBAN CO- OP SOCIETY LTD.</v>
          </cell>
          <cell r="H57" t="str">
            <v>Non trade, Unquoted</v>
          </cell>
          <cell r="I57">
            <v>5900</v>
          </cell>
          <cell r="J57">
            <v>0</v>
          </cell>
          <cell r="K57">
            <v>0</v>
          </cell>
          <cell r="L57">
            <v>5900</v>
          </cell>
          <cell r="N57">
            <v>5900</v>
          </cell>
          <cell r="O57" t="str">
            <v>z</v>
          </cell>
          <cell r="P57">
            <v>5900</v>
          </cell>
          <cell r="U57">
            <v>5900</v>
          </cell>
          <cell r="V57" t="str">
            <v>*</v>
          </cell>
        </row>
        <row r="58">
          <cell r="G58" t="str">
            <v>PRATIBHA  SHIRSALE</v>
          </cell>
          <cell r="I58">
            <v>0</v>
          </cell>
          <cell r="J58">
            <v>0</v>
          </cell>
          <cell r="K58">
            <v>0</v>
          </cell>
          <cell r="L58">
            <v>0</v>
          </cell>
          <cell r="N58">
            <v>0</v>
          </cell>
          <cell r="O58" t="str">
            <v>z</v>
          </cell>
          <cell r="P58">
            <v>5000</v>
          </cell>
          <cell r="U58">
            <v>5000</v>
          </cell>
          <cell r="V58" t="str">
            <v>*</v>
          </cell>
        </row>
        <row r="59">
          <cell r="G59" t="str">
            <v>LALIT P.  JADE</v>
          </cell>
          <cell r="I59">
            <v>0</v>
          </cell>
          <cell r="J59">
            <v>0</v>
          </cell>
          <cell r="K59">
            <v>0</v>
          </cell>
          <cell r="L59">
            <v>0</v>
          </cell>
          <cell r="N59">
            <v>0</v>
          </cell>
          <cell r="O59" t="str">
            <v>z</v>
          </cell>
          <cell r="V59" t="str">
            <v>*</v>
          </cell>
        </row>
        <row r="60">
          <cell r="G60" t="str">
            <v>MANISH DESHMUKH</v>
          </cell>
          <cell r="I60">
            <v>0</v>
          </cell>
          <cell r="J60">
            <v>0</v>
          </cell>
          <cell r="K60">
            <v>0</v>
          </cell>
          <cell r="L60">
            <v>0</v>
          </cell>
          <cell r="N60">
            <v>0</v>
          </cell>
          <cell r="O60" t="str">
            <v>z</v>
          </cell>
          <cell r="V60" t="str">
            <v>*</v>
          </cell>
        </row>
        <row r="61">
          <cell r="G61" t="str">
            <v>JENIFER JOHN</v>
          </cell>
          <cell r="I61">
            <v>0</v>
          </cell>
          <cell r="J61">
            <v>0</v>
          </cell>
          <cell r="K61">
            <v>0</v>
          </cell>
          <cell r="L61">
            <v>0</v>
          </cell>
          <cell r="N61">
            <v>0</v>
          </cell>
          <cell r="O61" t="str">
            <v>z</v>
          </cell>
          <cell r="V61" t="str">
            <v>*</v>
          </cell>
        </row>
        <row r="62">
          <cell r="G62" t="str">
            <v>JACOB PAYRA</v>
          </cell>
          <cell r="I62">
            <v>5000</v>
          </cell>
          <cell r="J62">
            <v>0</v>
          </cell>
          <cell r="K62">
            <v>0</v>
          </cell>
          <cell r="L62">
            <v>5000</v>
          </cell>
          <cell r="N62">
            <v>5000</v>
          </cell>
          <cell r="O62" t="str">
            <v>z</v>
          </cell>
          <cell r="V62" t="str">
            <v>*</v>
          </cell>
        </row>
        <row r="63">
          <cell r="G63" t="str">
            <v>VISHAL KATKAR</v>
          </cell>
          <cell r="I63">
            <v>0</v>
          </cell>
          <cell r="J63">
            <v>0</v>
          </cell>
          <cell r="K63">
            <v>0</v>
          </cell>
          <cell r="L63">
            <v>0</v>
          </cell>
          <cell r="N63">
            <v>0</v>
          </cell>
          <cell r="O63" t="str">
            <v>z</v>
          </cell>
          <cell r="V63" t="str">
            <v>*</v>
          </cell>
        </row>
        <row r="64">
          <cell r="G64" t="str">
            <v>N. HARITHEERTHAM</v>
          </cell>
          <cell r="I64">
            <v>0</v>
          </cell>
          <cell r="J64">
            <v>0</v>
          </cell>
          <cell r="K64">
            <v>0</v>
          </cell>
          <cell r="L64">
            <v>0</v>
          </cell>
          <cell r="N64">
            <v>0</v>
          </cell>
          <cell r="O64" t="str">
            <v>z</v>
          </cell>
          <cell r="V64" t="str">
            <v>*</v>
          </cell>
        </row>
        <row r="65">
          <cell r="G65" t="str">
            <v>HEMANT MOHITE</v>
          </cell>
          <cell r="I65">
            <v>0</v>
          </cell>
          <cell r="J65">
            <v>0</v>
          </cell>
          <cell r="K65">
            <v>0</v>
          </cell>
          <cell r="L65">
            <v>0</v>
          </cell>
          <cell r="N65">
            <v>0</v>
          </cell>
          <cell r="O65" t="str">
            <v>z</v>
          </cell>
          <cell r="V65" t="str">
            <v>*</v>
          </cell>
        </row>
        <row r="66">
          <cell r="G66" t="str">
            <v>DEODATTA MONTEIRO</v>
          </cell>
          <cell r="I66">
            <v>0</v>
          </cell>
          <cell r="J66">
            <v>0</v>
          </cell>
          <cell r="K66">
            <v>0</v>
          </cell>
          <cell r="L66">
            <v>0</v>
          </cell>
          <cell r="N66">
            <v>0</v>
          </cell>
          <cell r="O66" t="str">
            <v>z</v>
          </cell>
          <cell r="V66" t="str">
            <v>*</v>
          </cell>
        </row>
        <row r="67">
          <cell r="G67" t="str">
            <v>RAW MATERIALS - MEDICAL CLASSIC</v>
          </cell>
          <cell r="H67" t="str">
            <v xml:space="preserve">           Opening Stock </v>
          </cell>
          <cell r="I67">
            <v>5311498</v>
          </cell>
          <cell r="J67">
            <v>1052103</v>
          </cell>
          <cell r="K67">
            <v>1937001</v>
          </cell>
          <cell r="L67">
            <v>4961530</v>
          </cell>
          <cell r="M67">
            <v>14606370.756999999</v>
          </cell>
          <cell r="O67">
            <v>10</v>
          </cell>
          <cell r="P67">
            <v>69345027.528999999</v>
          </cell>
          <cell r="U67">
            <v>69345027.528999999</v>
          </cell>
          <cell r="V67" t="str">
            <v>*</v>
          </cell>
        </row>
        <row r="68">
          <cell r="G68" t="str">
            <v>GOODS IN TRANSIT - RAW MATERIAL - CIF VALUE</v>
          </cell>
          <cell r="H68" t="str">
            <v xml:space="preserve">Raw Materials ( Inculding in transit - </v>
          </cell>
          <cell r="I68">
            <v>862251.05700000003</v>
          </cell>
          <cell r="J68">
            <v>1243092.1259999999</v>
          </cell>
          <cell r="K68">
            <v>862251.05</v>
          </cell>
          <cell r="L68">
            <v>1243092.1329999999</v>
          </cell>
          <cell r="N68">
            <v>6470270.9129999997</v>
          </cell>
          <cell r="O68">
            <v>10</v>
          </cell>
          <cell r="P68">
            <v>6470270.9129999997</v>
          </cell>
          <cell r="V68" t="str">
            <v>*</v>
          </cell>
        </row>
        <row r="69">
          <cell r="G69" t="str">
            <v>GOODS IN TRANSIT - RAW MATERIAL - CUSTOM DUTY</v>
          </cell>
          <cell r="H69" t="str">
            <v xml:space="preserve">           Less : Closing  Stock </v>
          </cell>
          <cell r="I69">
            <v>8658191.6999999993</v>
          </cell>
          <cell r="J69">
            <v>265648.78000000003</v>
          </cell>
          <cell r="K69">
            <v>8658191.6999999993</v>
          </cell>
          <cell r="L69">
            <v>265648.78000000003</v>
          </cell>
          <cell r="M69">
            <v>6470270.9129999997</v>
          </cell>
          <cell r="O69">
            <v>10</v>
          </cell>
          <cell r="V69" t="str">
            <v>*</v>
          </cell>
        </row>
        <row r="70">
          <cell r="G70" t="str">
            <v>GOODS IN TRANSIT - RAW MATERIAL - CLEARING CHARGES</v>
          </cell>
          <cell r="H70" t="str">
            <v>Work-In-Progress</v>
          </cell>
          <cell r="I70">
            <v>-225570</v>
          </cell>
          <cell r="J70">
            <v>0</v>
          </cell>
          <cell r="K70">
            <v>20790</v>
          </cell>
          <cell r="L70">
            <v>0</v>
          </cell>
          <cell r="N70">
            <v>395718</v>
          </cell>
          <cell r="O70">
            <v>100</v>
          </cell>
        </row>
        <row r="71">
          <cell r="G71" t="str">
            <v>WORK IN PROGRESS -MEDICAL CLASSIC</v>
          </cell>
          <cell r="H71" t="str">
            <v xml:space="preserve">             Work In Progress</v>
          </cell>
          <cell r="I71">
            <v>585263</v>
          </cell>
          <cell r="J71">
            <v>0</v>
          </cell>
          <cell r="K71">
            <v>189545</v>
          </cell>
          <cell r="L71">
            <v>395718</v>
          </cell>
          <cell r="O71" t="str">
            <v>z</v>
          </cell>
          <cell r="V71" t="str">
            <v>*</v>
          </cell>
        </row>
        <row r="72">
          <cell r="G72" t="str">
            <v>FINISHED GOODS - MEDICAL CLASSIC</v>
          </cell>
          <cell r="H72" t="str">
            <v xml:space="preserve">             Finished Goods</v>
          </cell>
          <cell r="I72">
            <v>1269272</v>
          </cell>
          <cell r="J72">
            <v>0</v>
          </cell>
          <cell r="K72">
            <v>390802</v>
          </cell>
          <cell r="L72">
            <v>862675</v>
          </cell>
          <cell r="O72" t="str">
            <v>z</v>
          </cell>
          <cell r="V72" t="str">
            <v>*</v>
          </cell>
        </row>
        <row r="73">
          <cell r="G73" t="str">
            <v>TRADING GOODS - MEDICAL CLASSIC</v>
          </cell>
          <cell r="H73" t="str">
            <v xml:space="preserve">          Opening Stock-tr</v>
          </cell>
          <cell r="I73">
            <v>25971602.309999999</v>
          </cell>
          <cell r="J73">
            <v>17607384.670000002</v>
          </cell>
          <cell r="K73">
            <v>24823824.440000001</v>
          </cell>
          <cell r="L73">
            <v>18277752.390000001</v>
          </cell>
          <cell r="M73">
            <v>89717727.453000009</v>
          </cell>
          <cell r="O73">
            <v>11</v>
          </cell>
          <cell r="V73" t="str">
            <v>*</v>
          </cell>
        </row>
        <row r="74">
          <cell r="G74" t="str">
            <v>TRADING GOODS - MEDICAL CARDIOLOGY</v>
          </cell>
          <cell r="H74" t="str">
            <v>Finished Goods</v>
          </cell>
          <cell r="I74">
            <v>6243.17</v>
          </cell>
          <cell r="J74">
            <v>0</v>
          </cell>
          <cell r="K74">
            <v>0</v>
          </cell>
          <cell r="L74">
            <v>6243.17</v>
          </cell>
          <cell r="N74">
            <v>862675</v>
          </cell>
          <cell r="O74">
            <v>11</v>
          </cell>
          <cell r="V74" t="str">
            <v>*</v>
          </cell>
        </row>
        <row r="75">
          <cell r="G75" t="str">
            <v>TRADING GOODS - PHARMA</v>
          </cell>
          <cell r="H75" t="str">
            <v xml:space="preserve">          Less: Closing Stock-tr</v>
          </cell>
          <cell r="I75">
            <v>12909063.83</v>
          </cell>
          <cell r="J75">
            <v>1721230.38</v>
          </cell>
          <cell r="K75">
            <v>3325672.86</v>
          </cell>
          <cell r="L75">
            <v>11978558.35</v>
          </cell>
          <cell r="M75">
            <v>61616363.616000004</v>
          </cell>
          <cell r="O75">
            <v>11</v>
          </cell>
          <cell r="V75" t="str">
            <v>*</v>
          </cell>
        </row>
        <row r="76">
          <cell r="G76" t="str">
            <v>TRADING GOODS - EBT</v>
          </cell>
          <cell r="H76" t="str">
            <v>Traded Goods (Inculding in transit -</v>
          </cell>
          <cell r="I76">
            <v>17623955.760000002</v>
          </cell>
          <cell r="J76">
            <v>4997892.29</v>
          </cell>
          <cell r="K76">
            <v>6327015.8300000001</v>
          </cell>
          <cell r="L76">
            <v>15654022.220000001</v>
          </cell>
          <cell r="N76">
            <v>61616363.616000004</v>
          </cell>
          <cell r="O76">
            <v>11</v>
          </cell>
          <cell r="V76" t="str">
            <v>*</v>
          </cell>
        </row>
        <row r="77">
          <cell r="G77" t="str">
            <v>TRADING GOODS - WOUNDCARE</v>
          </cell>
          <cell r="I77">
            <v>197455.78</v>
          </cell>
          <cell r="J77">
            <v>0</v>
          </cell>
          <cell r="K77">
            <v>0</v>
          </cell>
          <cell r="L77">
            <v>153740.78</v>
          </cell>
          <cell r="O77">
            <v>11</v>
          </cell>
          <cell r="V77" t="str">
            <v>*</v>
          </cell>
        </row>
        <row r="78">
          <cell r="G78" t="str">
            <v>TRADING GOODS - AAG SURGICALS</v>
          </cell>
          <cell r="I78">
            <v>6888481.0899999999</v>
          </cell>
          <cell r="J78">
            <v>1739391.47</v>
          </cell>
          <cell r="K78">
            <v>1056727.47</v>
          </cell>
          <cell r="L78">
            <v>7509099.9199999999</v>
          </cell>
          <cell r="O78">
            <v>11</v>
          </cell>
          <cell r="V78" t="str">
            <v>*</v>
          </cell>
        </row>
        <row r="79">
          <cell r="G79" t="str">
            <v>TRADING GOODS - OPM</v>
          </cell>
          <cell r="I79">
            <v>220382.42</v>
          </cell>
          <cell r="J79">
            <v>2862.11</v>
          </cell>
          <cell r="K79">
            <v>0</v>
          </cell>
          <cell r="L79">
            <v>223244.53</v>
          </cell>
          <cell r="O79">
            <v>11</v>
          </cell>
          <cell r="V79" t="str">
            <v>*</v>
          </cell>
        </row>
        <row r="80">
          <cell r="G80" t="str">
            <v>GOODS IN TRANSIT - TRADING GOODS - CIF VALUE</v>
          </cell>
          <cell r="I80">
            <v>20585196.572999999</v>
          </cell>
          <cell r="J80">
            <v>7429609.8530000001</v>
          </cell>
          <cell r="K80">
            <v>21695813.100000001</v>
          </cell>
          <cell r="L80">
            <v>6481661.5959999999</v>
          </cell>
          <cell r="O80">
            <v>11</v>
          </cell>
          <cell r="V80" t="str">
            <v>*</v>
          </cell>
        </row>
        <row r="81">
          <cell r="G81" t="str">
            <v>GOODS IN TRANSIT - TRADING GOODS - CUSTOMS DUTY</v>
          </cell>
          <cell r="I81">
            <v>7480501.8899999997</v>
          </cell>
          <cell r="J81">
            <v>1319037.33</v>
          </cell>
          <cell r="K81">
            <v>0</v>
          </cell>
          <cell r="L81">
            <v>1332040.6599999999</v>
          </cell>
          <cell r="O81">
            <v>11</v>
          </cell>
          <cell r="V81" t="str">
            <v>*</v>
          </cell>
        </row>
        <row r="82">
          <cell r="G82" t="str">
            <v>GOODS IN TRANSIT - TRADING GOODS - CLEARING CHARGES</v>
          </cell>
          <cell r="I82">
            <v>-2165155.37</v>
          </cell>
          <cell r="J82">
            <v>657565</v>
          </cell>
          <cell r="K82">
            <v>585970.47</v>
          </cell>
          <cell r="L82">
            <v>0</v>
          </cell>
          <cell r="O82">
            <v>100</v>
          </cell>
        </row>
        <row r="83">
          <cell r="G83" t="str">
            <v>B.BRAUN INTERNATIONAL PTE. LTD.</v>
          </cell>
          <cell r="I83">
            <v>86342.399999999994</v>
          </cell>
          <cell r="J83">
            <v>0</v>
          </cell>
          <cell r="K83">
            <v>0</v>
          </cell>
          <cell r="L83">
            <v>87001.4</v>
          </cell>
          <cell r="O83">
            <v>12</v>
          </cell>
          <cell r="P83">
            <v>62588600.800000004</v>
          </cell>
          <cell r="U83">
            <v>62588600.800000004</v>
          </cell>
          <cell r="V83" t="str">
            <v>*</v>
          </cell>
        </row>
        <row r="84">
          <cell r="G84" t="str">
            <v>SUSPENSE DEBTORS</v>
          </cell>
          <cell r="H84" t="str">
            <v>Debtors Suspense</v>
          </cell>
          <cell r="I84">
            <v>-54953</v>
          </cell>
          <cell r="J84">
            <v>0</v>
          </cell>
          <cell r="K84">
            <v>0</v>
          </cell>
          <cell r="L84">
            <v>-54953</v>
          </cell>
          <cell r="N84">
            <v>-54953</v>
          </cell>
          <cell r="O84" t="str">
            <v>z</v>
          </cell>
          <cell r="V84" t="str">
            <v>*</v>
          </cell>
        </row>
        <row r="85">
          <cell r="G85" t="str">
            <v>SUNDAR DRUG HOUSE, CUTTACK</v>
          </cell>
          <cell r="H85" t="str">
            <v xml:space="preserve">        Considered Good</v>
          </cell>
          <cell r="I85">
            <v>147680</v>
          </cell>
          <cell r="J85">
            <v>0</v>
          </cell>
          <cell r="K85">
            <v>147680</v>
          </cell>
          <cell r="L85">
            <v>0</v>
          </cell>
          <cell r="N85">
            <v>61170065.750000007</v>
          </cell>
          <cell r="O85">
            <v>12</v>
          </cell>
          <cell r="V85" t="str">
            <v>*</v>
          </cell>
        </row>
        <row r="86">
          <cell r="G86" t="str">
            <v>ARIHANT SURGICAL</v>
          </cell>
          <cell r="H86" t="str">
            <v xml:space="preserve">Advance from customers </v>
          </cell>
          <cell r="I86">
            <v>2955.44</v>
          </cell>
          <cell r="J86">
            <v>0</v>
          </cell>
          <cell r="K86">
            <v>0</v>
          </cell>
          <cell r="L86">
            <v>2955.44</v>
          </cell>
          <cell r="O86">
            <v>12</v>
          </cell>
          <cell r="P86">
            <v>-1745404.0999999996</v>
          </cell>
          <cell r="V86" t="str">
            <v>*</v>
          </cell>
        </row>
        <row r="87">
          <cell r="G87" t="str">
            <v>HEALTH POINT</v>
          </cell>
          <cell r="I87">
            <v>31560</v>
          </cell>
          <cell r="J87">
            <v>0</v>
          </cell>
          <cell r="K87">
            <v>0</v>
          </cell>
          <cell r="L87">
            <v>31560</v>
          </cell>
          <cell r="N87">
            <v>0</v>
          </cell>
          <cell r="O87">
            <v>12</v>
          </cell>
          <cell r="V87" t="str">
            <v>*</v>
          </cell>
        </row>
        <row r="88">
          <cell r="G88" t="str">
            <v>USHA BUSINESS DEVELOPMENT PVT. LTD.</v>
          </cell>
          <cell r="I88">
            <v>-2286.2399999999998</v>
          </cell>
          <cell r="J88">
            <v>0</v>
          </cell>
          <cell r="K88">
            <v>0</v>
          </cell>
          <cell r="L88">
            <v>-2286.2399999999998</v>
          </cell>
          <cell r="N88">
            <v>-2286.2399999999998</v>
          </cell>
          <cell r="O88">
            <v>12</v>
          </cell>
          <cell r="V88" t="str">
            <v>*</v>
          </cell>
        </row>
        <row r="89">
          <cell r="G89" t="str">
            <v>INDIRA GANDHI  INS. OF MED.SCIENCE</v>
          </cell>
          <cell r="I89">
            <v>8500.01</v>
          </cell>
          <cell r="J89">
            <v>0</v>
          </cell>
          <cell r="K89">
            <v>0</v>
          </cell>
          <cell r="L89">
            <v>8500.01</v>
          </cell>
          <cell r="N89">
            <v>0</v>
          </cell>
          <cell r="O89">
            <v>12</v>
          </cell>
          <cell r="V89" t="str">
            <v>*</v>
          </cell>
        </row>
        <row r="90">
          <cell r="G90" t="str">
            <v>KONSUMEX SERVICES</v>
          </cell>
          <cell r="I90">
            <v>0</v>
          </cell>
          <cell r="J90">
            <v>0</v>
          </cell>
          <cell r="K90">
            <v>0</v>
          </cell>
          <cell r="L90">
            <v>0</v>
          </cell>
          <cell r="N90">
            <v>0</v>
          </cell>
          <cell r="O90">
            <v>12</v>
          </cell>
          <cell r="V90" t="str">
            <v>*</v>
          </cell>
        </row>
        <row r="91">
          <cell r="G91" t="str">
            <v>LIFE LINE NURSING HOME</v>
          </cell>
          <cell r="I91">
            <v>-4860</v>
          </cell>
          <cell r="J91">
            <v>200000</v>
          </cell>
          <cell r="K91">
            <v>200000</v>
          </cell>
          <cell r="L91">
            <v>-4860</v>
          </cell>
          <cell r="N91">
            <v>-4860</v>
          </cell>
          <cell r="O91">
            <v>12</v>
          </cell>
          <cell r="V91" t="str">
            <v>*</v>
          </cell>
        </row>
        <row r="92">
          <cell r="G92" t="str">
            <v>NAVJEEVAN NURSING HOME PVT. LTD</v>
          </cell>
          <cell r="I92">
            <v>429993.16</v>
          </cell>
          <cell r="J92">
            <v>0</v>
          </cell>
          <cell r="K92">
            <v>200000</v>
          </cell>
          <cell r="L92">
            <v>229993.16</v>
          </cell>
          <cell r="N92">
            <v>0</v>
          </cell>
          <cell r="O92">
            <v>12</v>
          </cell>
          <cell r="V92" t="str">
            <v>*</v>
          </cell>
        </row>
        <row r="93">
          <cell r="G93" t="str">
            <v>WOODLANDS HOSPITAL AND MED. RESEARCH CENTRE LTD.,</v>
          </cell>
          <cell r="I93">
            <v>1656</v>
          </cell>
          <cell r="J93">
            <v>0</v>
          </cell>
          <cell r="K93">
            <v>0</v>
          </cell>
          <cell r="L93">
            <v>1656</v>
          </cell>
          <cell r="N93">
            <v>0</v>
          </cell>
          <cell r="O93">
            <v>12</v>
          </cell>
          <cell r="V93" t="str">
            <v>*</v>
          </cell>
        </row>
        <row r="94">
          <cell r="G94" t="str">
            <v>WOCKHARDT LTD.</v>
          </cell>
          <cell r="I94">
            <v>487200</v>
          </cell>
          <cell r="J94">
            <v>0</v>
          </cell>
          <cell r="K94">
            <v>0</v>
          </cell>
          <cell r="L94">
            <v>487200</v>
          </cell>
          <cell r="N94">
            <v>0</v>
          </cell>
          <cell r="O94">
            <v>12</v>
          </cell>
          <cell r="V94" t="str">
            <v>*</v>
          </cell>
        </row>
        <row r="95">
          <cell r="G95" t="str">
            <v>SHRI JAIN HOSPITAL &amp; RESEARCH CENTRE</v>
          </cell>
          <cell r="I95">
            <v>0</v>
          </cell>
          <cell r="J95">
            <v>0</v>
          </cell>
          <cell r="K95">
            <v>7700</v>
          </cell>
          <cell r="L95">
            <v>-7700</v>
          </cell>
          <cell r="N95">
            <v>-7700</v>
          </cell>
          <cell r="O95">
            <v>12</v>
          </cell>
          <cell r="V95" t="str">
            <v>*</v>
          </cell>
        </row>
        <row r="96">
          <cell r="G96" t="str">
            <v>ADITYA HEALTH RESERCH CENTRE</v>
          </cell>
          <cell r="I96">
            <v>19788</v>
          </cell>
          <cell r="J96">
            <v>0</v>
          </cell>
          <cell r="K96">
            <v>0</v>
          </cell>
          <cell r="L96">
            <v>19788</v>
          </cell>
          <cell r="N96">
            <v>0</v>
          </cell>
          <cell r="O96">
            <v>12</v>
          </cell>
          <cell r="V96" t="str">
            <v>*</v>
          </cell>
        </row>
        <row r="97">
          <cell r="G97" t="str">
            <v>WOODLANDS</v>
          </cell>
          <cell r="I97">
            <v>0</v>
          </cell>
          <cell r="J97">
            <v>0</v>
          </cell>
          <cell r="K97">
            <v>0</v>
          </cell>
          <cell r="L97">
            <v>0</v>
          </cell>
          <cell r="N97">
            <v>0</v>
          </cell>
          <cell r="O97">
            <v>12</v>
          </cell>
          <cell r="V97" t="str">
            <v>*</v>
          </cell>
        </row>
        <row r="98">
          <cell r="G98" t="str">
            <v>ADVANCED MEDICARE AND RESEARCH CENTRE</v>
          </cell>
          <cell r="I98">
            <v>2730.53</v>
          </cell>
          <cell r="J98">
            <v>0</v>
          </cell>
          <cell r="K98">
            <v>0</v>
          </cell>
          <cell r="L98">
            <v>2730.53</v>
          </cell>
          <cell r="N98">
            <v>0</v>
          </cell>
          <cell r="O98">
            <v>12</v>
          </cell>
          <cell r="V98" t="str">
            <v>*</v>
          </cell>
        </row>
        <row r="99">
          <cell r="G99" t="str">
            <v>GLOBAL MEDICAL SYSTEM</v>
          </cell>
          <cell r="I99">
            <v>-28.78</v>
          </cell>
          <cell r="J99">
            <v>224961.14</v>
          </cell>
          <cell r="K99">
            <v>224930</v>
          </cell>
          <cell r="L99">
            <v>2.36</v>
          </cell>
          <cell r="N99">
            <v>0</v>
          </cell>
          <cell r="O99">
            <v>12</v>
          </cell>
          <cell r="V99" t="str">
            <v>*</v>
          </cell>
        </row>
        <row r="100">
          <cell r="G100" t="str">
            <v>PEERLESS HOSPITAL AND BK ROY RESEARCH CENTRE</v>
          </cell>
          <cell r="I100">
            <v>176880.2</v>
          </cell>
          <cell r="J100">
            <v>0</v>
          </cell>
          <cell r="K100">
            <v>0</v>
          </cell>
          <cell r="L100">
            <v>176880.2</v>
          </cell>
          <cell r="N100">
            <v>0</v>
          </cell>
          <cell r="O100">
            <v>12</v>
          </cell>
          <cell r="V100" t="str">
            <v>*</v>
          </cell>
        </row>
        <row r="101">
          <cell r="G101" t="str">
            <v>HINDHUSTHAN SURGICALS</v>
          </cell>
          <cell r="I101">
            <v>-5356.76</v>
          </cell>
          <cell r="J101">
            <v>149760</v>
          </cell>
          <cell r="K101">
            <v>150000</v>
          </cell>
          <cell r="L101">
            <v>-5596.76</v>
          </cell>
          <cell r="N101">
            <v>-5596.76</v>
          </cell>
          <cell r="O101">
            <v>12</v>
          </cell>
          <cell r="V101" t="str">
            <v>*</v>
          </cell>
        </row>
        <row r="102">
          <cell r="G102" t="str">
            <v>HEALTH CARE ASSOCIATES</v>
          </cell>
          <cell r="I102">
            <v>-4890</v>
          </cell>
          <cell r="J102">
            <v>259480</v>
          </cell>
          <cell r="K102">
            <v>259480</v>
          </cell>
          <cell r="L102">
            <v>-4890</v>
          </cell>
          <cell r="N102">
            <v>-4890</v>
          </cell>
          <cell r="O102">
            <v>12</v>
          </cell>
          <cell r="V102" t="str">
            <v>*</v>
          </cell>
        </row>
        <row r="103">
          <cell r="G103" t="str">
            <v>ASSEMBLY OF GOD HOSPITAL &amp; RESEARCH CENTRE</v>
          </cell>
          <cell r="I103">
            <v>0</v>
          </cell>
          <cell r="J103">
            <v>0</v>
          </cell>
          <cell r="K103">
            <v>0</v>
          </cell>
          <cell r="L103">
            <v>0</v>
          </cell>
          <cell r="N103">
            <v>0</v>
          </cell>
          <cell r="O103">
            <v>12</v>
          </cell>
          <cell r="V103" t="str">
            <v>*</v>
          </cell>
        </row>
        <row r="104">
          <cell r="G104" t="str">
            <v>K.R.LYNCH &amp; CO.</v>
          </cell>
          <cell r="I104">
            <v>2239.8000000000002</v>
          </cell>
          <cell r="J104">
            <v>99118.88</v>
          </cell>
          <cell r="K104">
            <v>101360</v>
          </cell>
          <cell r="L104">
            <v>-1.32</v>
          </cell>
          <cell r="N104">
            <v>-1.32</v>
          </cell>
          <cell r="O104">
            <v>12</v>
          </cell>
          <cell r="V104" t="str">
            <v>*</v>
          </cell>
        </row>
        <row r="105">
          <cell r="G105" t="str">
            <v>LISTER SURGICAL INDUSTRY</v>
          </cell>
          <cell r="I105">
            <v>0</v>
          </cell>
          <cell r="J105">
            <v>0</v>
          </cell>
          <cell r="K105">
            <v>0</v>
          </cell>
          <cell r="L105">
            <v>0</v>
          </cell>
          <cell r="N105">
            <v>0</v>
          </cell>
          <cell r="O105">
            <v>12</v>
          </cell>
          <cell r="V105" t="str">
            <v>*</v>
          </cell>
        </row>
        <row r="106">
          <cell r="G106" t="str">
            <v>RABINDRANATH TAGORE INTERNATIONAL</v>
          </cell>
          <cell r="I106">
            <v>-0.01</v>
          </cell>
          <cell r="J106">
            <v>0</v>
          </cell>
          <cell r="K106">
            <v>0</v>
          </cell>
          <cell r="L106">
            <v>-0.01</v>
          </cell>
          <cell r="N106">
            <v>-0.01</v>
          </cell>
          <cell r="O106">
            <v>12</v>
          </cell>
          <cell r="V106" t="str">
            <v>*</v>
          </cell>
        </row>
        <row r="107">
          <cell r="G107" t="str">
            <v>THE SUPERINTENDENT</v>
          </cell>
          <cell r="I107">
            <v>0</v>
          </cell>
          <cell r="J107">
            <v>0</v>
          </cell>
          <cell r="K107">
            <v>0</v>
          </cell>
          <cell r="L107">
            <v>0</v>
          </cell>
          <cell r="N107">
            <v>0</v>
          </cell>
          <cell r="O107">
            <v>12</v>
          </cell>
          <cell r="V107" t="str">
            <v>*</v>
          </cell>
        </row>
        <row r="108">
          <cell r="G108" t="str">
            <v>SHREE GANESH SURGICALS</v>
          </cell>
          <cell r="I108">
            <v>3544889.39</v>
          </cell>
          <cell r="J108">
            <v>0</v>
          </cell>
          <cell r="K108">
            <v>660400</v>
          </cell>
          <cell r="L108">
            <v>2884489.39</v>
          </cell>
          <cell r="N108">
            <v>0</v>
          </cell>
          <cell r="O108">
            <v>12</v>
          </cell>
          <cell r="V108" t="str">
            <v>*</v>
          </cell>
        </row>
        <row r="109">
          <cell r="G109" t="str">
            <v>HINDUSTAN SURGICALS</v>
          </cell>
          <cell r="I109">
            <v>0</v>
          </cell>
          <cell r="J109">
            <v>149760</v>
          </cell>
          <cell r="K109">
            <v>149760</v>
          </cell>
          <cell r="L109">
            <v>0</v>
          </cell>
          <cell r="N109">
            <v>0</v>
          </cell>
          <cell r="O109">
            <v>12</v>
          </cell>
          <cell r="V109" t="str">
            <v>*</v>
          </cell>
        </row>
        <row r="110">
          <cell r="G110" t="str">
            <v>JYOTI TRADERS</v>
          </cell>
          <cell r="I110">
            <v>-2236</v>
          </cell>
          <cell r="J110">
            <v>58240</v>
          </cell>
          <cell r="K110">
            <v>58240</v>
          </cell>
          <cell r="L110">
            <v>-2236</v>
          </cell>
          <cell r="N110">
            <v>-2236</v>
          </cell>
          <cell r="O110">
            <v>12</v>
          </cell>
          <cell r="V110" t="str">
            <v>*</v>
          </cell>
        </row>
        <row r="111">
          <cell r="G111" t="str">
            <v>KANJI SHAVJI PAREKH (CALCUTTA) PVT. LTD.</v>
          </cell>
          <cell r="I111">
            <v>1230800</v>
          </cell>
          <cell r="J111">
            <v>0</v>
          </cell>
          <cell r="K111">
            <v>0</v>
          </cell>
          <cell r="L111">
            <v>1230800</v>
          </cell>
          <cell r="N111">
            <v>0</v>
          </cell>
          <cell r="O111">
            <v>12</v>
          </cell>
          <cell r="V111" t="str">
            <v>*</v>
          </cell>
        </row>
        <row r="112">
          <cell r="G112" t="str">
            <v>TATA FINANCE LTD.</v>
          </cell>
          <cell r="I112">
            <v>783999.8</v>
          </cell>
          <cell r="J112">
            <v>0</v>
          </cell>
          <cell r="K112">
            <v>0</v>
          </cell>
          <cell r="L112">
            <v>783999.8</v>
          </cell>
          <cell r="N112">
            <v>0</v>
          </cell>
          <cell r="O112">
            <v>12</v>
          </cell>
          <cell r="V112" t="str">
            <v>*</v>
          </cell>
        </row>
        <row r="113">
          <cell r="G113" t="str">
            <v>DUTTA TRADING ENTERPRISE</v>
          </cell>
          <cell r="I113">
            <v>-2049.6</v>
          </cell>
          <cell r="J113">
            <v>340953.59999999998</v>
          </cell>
          <cell r="K113">
            <v>341600</v>
          </cell>
          <cell r="L113">
            <v>-2696</v>
          </cell>
          <cell r="N113">
            <v>-2696</v>
          </cell>
          <cell r="O113">
            <v>12</v>
          </cell>
          <cell r="V113" t="str">
            <v>*</v>
          </cell>
        </row>
        <row r="114">
          <cell r="G114" t="str">
            <v>MEDILINE SURGICALS</v>
          </cell>
          <cell r="I114">
            <v>-6500.08</v>
          </cell>
          <cell r="J114">
            <v>6500</v>
          </cell>
          <cell r="K114">
            <v>0</v>
          </cell>
          <cell r="L114">
            <v>-0.08</v>
          </cell>
          <cell r="N114">
            <v>-0.08</v>
          </cell>
          <cell r="O114">
            <v>12</v>
          </cell>
          <cell r="V114" t="str">
            <v>*</v>
          </cell>
        </row>
        <row r="115">
          <cell r="G115" t="str">
            <v>K.R. LYNCH &amp; CO. PVT. LTD.</v>
          </cell>
          <cell r="I115">
            <v>-5200</v>
          </cell>
          <cell r="J115">
            <v>1950335.97</v>
          </cell>
          <cell r="K115">
            <v>1990220</v>
          </cell>
          <cell r="L115">
            <v>-45084.03</v>
          </cell>
          <cell r="N115">
            <v>-45084.03</v>
          </cell>
          <cell r="O115">
            <v>12</v>
          </cell>
          <cell r="V115" t="str">
            <v>*</v>
          </cell>
        </row>
        <row r="116">
          <cell r="G116" t="str">
            <v>JAIN SURGICALS</v>
          </cell>
          <cell r="I116">
            <v>-33680</v>
          </cell>
          <cell r="J116">
            <v>0</v>
          </cell>
          <cell r="K116">
            <v>0</v>
          </cell>
          <cell r="L116">
            <v>-33680</v>
          </cell>
          <cell r="N116">
            <v>-33680</v>
          </cell>
          <cell r="O116">
            <v>12</v>
          </cell>
          <cell r="V116" t="str">
            <v>*</v>
          </cell>
        </row>
        <row r="117">
          <cell r="G117" t="str">
            <v>UTILITY INDUSTRIES &amp; CHEMICAL WORKS</v>
          </cell>
          <cell r="I117">
            <v>0</v>
          </cell>
          <cell r="J117">
            <v>99840</v>
          </cell>
          <cell r="K117">
            <v>99840</v>
          </cell>
          <cell r="L117">
            <v>0</v>
          </cell>
          <cell r="N117">
            <v>0</v>
          </cell>
          <cell r="O117">
            <v>12</v>
          </cell>
          <cell r="V117" t="str">
            <v>*</v>
          </cell>
        </row>
        <row r="118">
          <cell r="G118" t="str">
            <v>METALLIC ENGINEERING PROJECT</v>
          </cell>
          <cell r="I118">
            <v>0</v>
          </cell>
          <cell r="J118">
            <v>0</v>
          </cell>
          <cell r="K118">
            <v>50000</v>
          </cell>
          <cell r="L118">
            <v>-50000</v>
          </cell>
          <cell r="N118">
            <v>-50000</v>
          </cell>
          <cell r="O118">
            <v>12</v>
          </cell>
          <cell r="V118" t="str">
            <v>*</v>
          </cell>
        </row>
        <row r="119">
          <cell r="G119" t="str">
            <v>ALPHA MEDICAL SERVICES PVT. LTD.</v>
          </cell>
          <cell r="I119">
            <v>-5000</v>
          </cell>
          <cell r="J119">
            <v>0</v>
          </cell>
          <cell r="K119">
            <v>0</v>
          </cell>
          <cell r="L119">
            <v>-5000</v>
          </cell>
          <cell r="N119">
            <v>-5000</v>
          </cell>
          <cell r="O119">
            <v>12</v>
          </cell>
          <cell r="V119" t="str">
            <v>*</v>
          </cell>
        </row>
        <row r="120">
          <cell r="G120" t="str">
            <v>ROY ENTERPRISE</v>
          </cell>
          <cell r="I120">
            <v>0</v>
          </cell>
          <cell r="J120">
            <v>0</v>
          </cell>
          <cell r="K120">
            <v>0</v>
          </cell>
          <cell r="L120">
            <v>0</v>
          </cell>
          <cell r="N120">
            <v>0</v>
          </cell>
          <cell r="O120">
            <v>12</v>
          </cell>
          <cell r="V120" t="str">
            <v>*</v>
          </cell>
        </row>
        <row r="121">
          <cell r="G121" t="str">
            <v>PEOPLES MEDI-TREAT PVT. LTD.</v>
          </cell>
          <cell r="I121">
            <v>0</v>
          </cell>
          <cell r="J121">
            <v>0</v>
          </cell>
          <cell r="K121">
            <v>0</v>
          </cell>
          <cell r="L121">
            <v>0</v>
          </cell>
          <cell r="N121">
            <v>0</v>
          </cell>
          <cell r="O121">
            <v>12</v>
          </cell>
          <cell r="V121" t="str">
            <v>*</v>
          </cell>
        </row>
        <row r="122">
          <cell r="G122" t="str">
            <v>MEDICINE HOUSE</v>
          </cell>
          <cell r="I122">
            <v>22659.05</v>
          </cell>
          <cell r="J122">
            <v>0</v>
          </cell>
          <cell r="K122">
            <v>0</v>
          </cell>
          <cell r="L122">
            <v>22659.05</v>
          </cell>
          <cell r="N122">
            <v>0</v>
          </cell>
          <cell r="O122">
            <v>12</v>
          </cell>
          <cell r="V122" t="str">
            <v>*</v>
          </cell>
        </row>
        <row r="123">
          <cell r="G123" t="str">
            <v>INDIRA GANDHI INSTITUTE OF CARDIOLOGY</v>
          </cell>
          <cell r="I123">
            <v>0</v>
          </cell>
          <cell r="J123">
            <v>0</v>
          </cell>
          <cell r="K123">
            <v>0</v>
          </cell>
          <cell r="L123">
            <v>0</v>
          </cell>
          <cell r="N123">
            <v>0</v>
          </cell>
          <cell r="O123">
            <v>12</v>
          </cell>
          <cell r="V123" t="str">
            <v>*</v>
          </cell>
        </row>
        <row r="124">
          <cell r="G124" t="str">
            <v>BASUDEO HEALTH FOUNDATION PVT. LTD.</v>
          </cell>
          <cell r="I124">
            <v>1400000.02</v>
          </cell>
          <cell r="J124">
            <v>0</v>
          </cell>
          <cell r="K124">
            <v>1400000</v>
          </cell>
          <cell r="L124">
            <v>0.02</v>
          </cell>
          <cell r="N124">
            <v>0</v>
          </cell>
          <cell r="O124">
            <v>12</v>
          </cell>
          <cell r="V124" t="str">
            <v>*</v>
          </cell>
        </row>
        <row r="125">
          <cell r="G125" t="str">
            <v>RENHART HEALTH PRODUCTS PVT. LTD</v>
          </cell>
          <cell r="I125">
            <v>-249132.69</v>
          </cell>
          <cell r="J125">
            <v>1304297.3999999999</v>
          </cell>
          <cell r="K125">
            <v>193950</v>
          </cell>
          <cell r="L125">
            <v>861214.71</v>
          </cell>
          <cell r="N125">
            <v>0</v>
          </cell>
          <cell r="O125">
            <v>12</v>
          </cell>
          <cell r="V125" t="str">
            <v>*</v>
          </cell>
        </row>
        <row r="126">
          <cell r="G126" t="str">
            <v>J. J. DISTRIBUTORS</v>
          </cell>
          <cell r="I126">
            <v>34888.93</v>
          </cell>
          <cell r="J126">
            <v>0</v>
          </cell>
          <cell r="K126">
            <v>0</v>
          </cell>
          <cell r="L126">
            <v>34888.93</v>
          </cell>
          <cell r="N126">
            <v>0</v>
          </cell>
          <cell r="O126">
            <v>12</v>
          </cell>
          <cell r="V126" t="str">
            <v>*</v>
          </cell>
        </row>
        <row r="127">
          <cell r="G127" t="str">
            <v>MAHABIR ENTERPRISES</v>
          </cell>
          <cell r="I127">
            <v>0</v>
          </cell>
          <cell r="J127">
            <v>48000</v>
          </cell>
          <cell r="K127">
            <v>0</v>
          </cell>
          <cell r="L127">
            <v>48000</v>
          </cell>
          <cell r="N127">
            <v>0</v>
          </cell>
          <cell r="O127">
            <v>12</v>
          </cell>
          <cell r="V127" t="str">
            <v>*</v>
          </cell>
        </row>
        <row r="128">
          <cell r="G128" t="str">
            <v>PRAGATI HOSPITAL &amp; RESEARCH CENTRE</v>
          </cell>
          <cell r="I128">
            <v>-0.19</v>
          </cell>
          <cell r="J128">
            <v>0</v>
          </cell>
          <cell r="K128">
            <v>0</v>
          </cell>
          <cell r="L128">
            <v>-0.19</v>
          </cell>
          <cell r="N128">
            <v>-0.19</v>
          </cell>
          <cell r="O128">
            <v>12</v>
          </cell>
          <cell r="V128" t="str">
            <v>*</v>
          </cell>
        </row>
        <row r="129">
          <cell r="G129" t="str">
            <v>ADITYA DIAGNOSTICS &amp; HOSPITALS</v>
          </cell>
          <cell r="I129">
            <v>0</v>
          </cell>
          <cell r="J129">
            <v>0</v>
          </cell>
          <cell r="K129">
            <v>0</v>
          </cell>
          <cell r="L129">
            <v>0</v>
          </cell>
          <cell r="N129">
            <v>0</v>
          </cell>
          <cell r="O129">
            <v>12</v>
          </cell>
          <cell r="V129" t="str">
            <v>*</v>
          </cell>
        </row>
        <row r="130">
          <cell r="G130" t="str">
            <v>B M PHARMACEUTICALS</v>
          </cell>
          <cell r="I130">
            <v>332396.69</v>
          </cell>
          <cell r="J130">
            <v>837160</v>
          </cell>
          <cell r="K130">
            <v>1079471</v>
          </cell>
          <cell r="L130">
            <v>90085.69</v>
          </cell>
          <cell r="N130">
            <v>0</v>
          </cell>
          <cell r="O130">
            <v>12</v>
          </cell>
          <cell r="V130" t="str">
            <v>*</v>
          </cell>
        </row>
        <row r="131">
          <cell r="G131" t="str">
            <v>DOWNTOWN HOSPITAL LTD.</v>
          </cell>
          <cell r="I131">
            <v>94050</v>
          </cell>
          <cell r="J131">
            <v>0</v>
          </cell>
          <cell r="K131">
            <v>0</v>
          </cell>
          <cell r="L131">
            <v>94050</v>
          </cell>
          <cell r="N131">
            <v>0</v>
          </cell>
          <cell r="O131">
            <v>12</v>
          </cell>
          <cell r="V131" t="str">
            <v>*</v>
          </cell>
        </row>
        <row r="132">
          <cell r="G132" t="str">
            <v>LAMPHEL PHARMACY.</v>
          </cell>
          <cell r="I132">
            <v>-13057.58</v>
          </cell>
          <cell r="J132">
            <v>99840</v>
          </cell>
          <cell r="K132">
            <v>99840</v>
          </cell>
          <cell r="L132">
            <v>-13057.58</v>
          </cell>
          <cell r="N132">
            <v>-13057.58</v>
          </cell>
          <cell r="O132">
            <v>12</v>
          </cell>
          <cell r="V132" t="str">
            <v>*</v>
          </cell>
        </row>
        <row r="133">
          <cell r="G133" t="str">
            <v>P.V.AGENCIES</v>
          </cell>
          <cell r="I133">
            <v>-900</v>
          </cell>
          <cell r="J133">
            <v>0</v>
          </cell>
          <cell r="K133">
            <v>0</v>
          </cell>
          <cell r="L133">
            <v>-900</v>
          </cell>
          <cell r="N133">
            <v>-900</v>
          </cell>
          <cell r="O133">
            <v>12</v>
          </cell>
          <cell r="V133" t="str">
            <v>*</v>
          </cell>
        </row>
        <row r="134">
          <cell r="G134" t="str">
            <v>SAR ENTERPRISES</v>
          </cell>
          <cell r="I134">
            <v>-2310.1999999999998</v>
          </cell>
          <cell r="J134">
            <v>10712</v>
          </cell>
          <cell r="K134">
            <v>15844</v>
          </cell>
          <cell r="L134">
            <v>-7442.2</v>
          </cell>
          <cell r="N134">
            <v>-7442.2</v>
          </cell>
          <cell r="O134">
            <v>12</v>
          </cell>
          <cell r="V134" t="str">
            <v>*</v>
          </cell>
        </row>
        <row r="135">
          <cell r="G135" t="str">
            <v>BABY MEMORIAL HOSPITAL</v>
          </cell>
          <cell r="I135">
            <v>0</v>
          </cell>
          <cell r="J135">
            <v>105769.4</v>
          </cell>
          <cell r="K135">
            <v>25000</v>
          </cell>
          <cell r="L135">
            <v>80769.399999999994</v>
          </cell>
          <cell r="N135">
            <v>0</v>
          </cell>
          <cell r="O135">
            <v>12</v>
          </cell>
          <cell r="V135" t="str">
            <v>*</v>
          </cell>
        </row>
        <row r="136">
          <cell r="G136" t="str">
            <v>COCHIN PHARMA</v>
          </cell>
          <cell r="I136">
            <v>971.36</v>
          </cell>
          <cell r="J136">
            <v>0</v>
          </cell>
          <cell r="K136">
            <v>0</v>
          </cell>
          <cell r="L136">
            <v>971.36</v>
          </cell>
          <cell r="N136">
            <v>0</v>
          </cell>
          <cell r="O136">
            <v>12</v>
          </cell>
          <cell r="V136" t="str">
            <v>*</v>
          </cell>
        </row>
        <row r="137">
          <cell r="G137" t="str">
            <v>SURGI CRAFT</v>
          </cell>
          <cell r="I137">
            <v>3276</v>
          </cell>
          <cell r="J137">
            <v>9828</v>
          </cell>
          <cell r="K137">
            <v>9828</v>
          </cell>
          <cell r="L137">
            <v>3276</v>
          </cell>
          <cell r="N137">
            <v>0</v>
          </cell>
          <cell r="O137">
            <v>12</v>
          </cell>
          <cell r="V137" t="str">
            <v>*</v>
          </cell>
        </row>
        <row r="138">
          <cell r="G138" t="str">
            <v>ST. MARTIN-DE-PORRES HOSPITAL</v>
          </cell>
          <cell r="I138">
            <v>0</v>
          </cell>
          <cell r="J138">
            <v>0</v>
          </cell>
          <cell r="K138">
            <v>0</v>
          </cell>
          <cell r="L138">
            <v>0</v>
          </cell>
          <cell r="N138">
            <v>0</v>
          </cell>
          <cell r="O138">
            <v>12</v>
          </cell>
          <cell r="V138" t="str">
            <v>*</v>
          </cell>
        </row>
        <row r="139">
          <cell r="G139" t="str">
            <v>MEDICAL TRUST HOSPITAL</v>
          </cell>
          <cell r="I139">
            <v>535</v>
          </cell>
          <cell r="J139">
            <v>0</v>
          </cell>
          <cell r="K139">
            <v>0</v>
          </cell>
          <cell r="L139">
            <v>535</v>
          </cell>
          <cell r="N139">
            <v>0</v>
          </cell>
          <cell r="O139">
            <v>12</v>
          </cell>
          <cell r="V139" t="str">
            <v>*</v>
          </cell>
        </row>
        <row r="140">
          <cell r="G140" t="str">
            <v>AMRITA INST. OF MEDICAL SCI.&amp;RES.</v>
          </cell>
          <cell r="I140">
            <v>-328.15</v>
          </cell>
          <cell r="J140">
            <v>0</v>
          </cell>
          <cell r="K140">
            <v>0</v>
          </cell>
          <cell r="L140">
            <v>-328.15</v>
          </cell>
          <cell r="N140">
            <v>-328.15</v>
          </cell>
          <cell r="O140">
            <v>12</v>
          </cell>
          <cell r="V140" t="str">
            <v>*</v>
          </cell>
        </row>
        <row r="141">
          <cell r="G141" t="str">
            <v>LISIE HOSPITAL</v>
          </cell>
          <cell r="I141">
            <v>5000</v>
          </cell>
          <cell r="J141">
            <v>0</v>
          </cell>
          <cell r="K141">
            <v>0</v>
          </cell>
          <cell r="L141">
            <v>5000</v>
          </cell>
          <cell r="N141">
            <v>0</v>
          </cell>
          <cell r="O141">
            <v>12</v>
          </cell>
          <cell r="V141" t="str">
            <v>*</v>
          </cell>
        </row>
        <row r="142">
          <cell r="G142" t="str">
            <v>PROMPT ENTERPRISES.</v>
          </cell>
          <cell r="I142">
            <v>-2960.72</v>
          </cell>
          <cell r="J142">
            <v>0</v>
          </cell>
          <cell r="K142">
            <v>0</v>
          </cell>
          <cell r="L142">
            <v>-2960.72</v>
          </cell>
          <cell r="N142">
            <v>-2960.72</v>
          </cell>
          <cell r="O142">
            <v>12</v>
          </cell>
          <cell r="V142" t="str">
            <v>*</v>
          </cell>
        </row>
        <row r="143">
          <cell r="G143" t="str">
            <v>KODAKKAT PHARMA DISTRIBUTORS</v>
          </cell>
          <cell r="I143">
            <v>-1</v>
          </cell>
          <cell r="J143">
            <v>82160</v>
          </cell>
          <cell r="K143">
            <v>82160</v>
          </cell>
          <cell r="L143">
            <v>-1</v>
          </cell>
          <cell r="N143">
            <v>-1</v>
          </cell>
          <cell r="O143">
            <v>12</v>
          </cell>
          <cell r="V143" t="str">
            <v>*</v>
          </cell>
        </row>
        <row r="144">
          <cell r="G144" t="str">
            <v>TOPCARE AGENCIES</v>
          </cell>
          <cell r="I144">
            <v>-545</v>
          </cell>
          <cell r="J144">
            <v>0</v>
          </cell>
          <cell r="K144">
            <v>0</v>
          </cell>
          <cell r="L144">
            <v>-545</v>
          </cell>
          <cell r="N144">
            <v>-545</v>
          </cell>
          <cell r="O144">
            <v>12</v>
          </cell>
          <cell r="V144" t="str">
            <v>*</v>
          </cell>
        </row>
        <row r="145">
          <cell r="G145" t="str">
            <v>MERIDIAN ENTERPRISES</v>
          </cell>
          <cell r="I145">
            <v>144.47999999999999</v>
          </cell>
          <cell r="J145">
            <v>0</v>
          </cell>
          <cell r="K145">
            <v>0</v>
          </cell>
          <cell r="L145">
            <v>144.47999999999999</v>
          </cell>
          <cell r="N145">
            <v>0</v>
          </cell>
          <cell r="O145">
            <v>12</v>
          </cell>
          <cell r="V145" t="str">
            <v>*</v>
          </cell>
        </row>
        <row r="146">
          <cell r="G146" t="str">
            <v>M.O.S.C. MEDICAL MISSION HOSPITAL</v>
          </cell>
          <cell r="I146">
            <v>-0.01</v>
          </cell>
          <cell r="J146">
            <v>0</v>
          </cell>
          <cell r="K146">
            <v>0</v>
          </cell>
          <cell r="L146">
            <v>-0.01</v>
          </cell>
          <cell r="N146">
            <v>-0.01</v>
          </cell>
          <cell r="O146">
            <v>12</v>
          </cell>
          <cell r="V146" t="str">
            <v>*</v>
          </cell>
        </row>
        <row r="147">
          <cell r="G147" t="str">
            <v>PULLIKKAL SURGICAL DISTRIBUTORS</v>
          </cell>
          <cell r="I147">
            <v>0.2</v>
          </cell>
          <cell r="J147">
            <v>60816.6</v>
          </cell>
          <cell r="K147">
            <v>70697</v>
          </cell>
          <cell r="L147">
            <v>-9880.2000000000007</v>
          </cell>
          <cell r="N147">
            <v>-9880.2000000000007</v>
          </cell>
          <cell r="O147">
            <v>12</v>
          </cell>
          <cell r="V147" t="str">
            <v>*</v>
          </cell>
        </row>
        <row r="148">
          <cell r="G148" t="str">
            <v>PULLIKAL PHARMA DISTRIBUTORS</v>
          </cell>
          <cell r="I148">
            <v>-0.12</v>
          </cell>
          <cell r="J148">
            <v>0</v>
          </cell>
          <cell r="K148">
            <v>0</v>
          </cell>
          <cell r="L148">
            <v>-0.12</v>
          </cell>
          <cell r="N148">
            <v>-0.12</v>
          </cell>
          <cell r="O148">
            <v>12</v>
          </cell>
          <cell r="V148" t="str">
            <v>*</v>
          </cell>
        </row>
        <row r="149">
          <cell r="G149" t="str">
            <v>CENTRAL TRAVANCORE SPECIALISTS HOSPITAL LTD.</v>
          </cell>
          <cell r="I149">
            <v>845022</v>
          </cell>
          <cell r="J149">
            <v>0</v>
          </cell>
          <cell r="K149">
            <v>0</v>
          </cell>
          <cell r="L149">
            <v>845022</v>
          </cell>
          <cell r="N149">
            <v>0</v>
          </cell>
          <cell r="O149">
            <v>12</v>
          </cell>
          <cell r="V149" t="str">
            <v>*</v>
          </cell>
        </row>
        <row r="150">
          <cell r="G150" t="str">
            <v>BUSINESS COMMUNICATION LINKS</v>
          </cell>
          <cell r="I150">
            <v>-875</v>
          </cell>
          <cell r="J150">
            <v>0</v>
          </cell>
          <cell r="K150">
            <v>0</v>
          </cell>
          <cell r="L150">
            <v>-875</v>
          </cell>
          <cell r="N150">
            <v>-875</v>
          </cell>
          <cell r="O150">
            <v>12</v>
          </cell>
          <cell r="V150" t="str">
            <v>*</v>
          </cell>
        </row>
        <row r="151">
          <cell r="G151" t="str">
            <v>UNIQUE SURGICALS</v>
          </cell>
          <cell r="I151">
            <v>1807448.64</v>
          </cell>
          <cell r="J151">
            <v>361010</v>
          </cell>
          <cell r="K151">
            <v>2136856</v>
          </cell>
          <cell r="L151">
            <v>31602.639999999999</v>
          </cell>
          <cell r="N151">
            <v>0</v>
          </cell>
          <cell r="O151">
            <v>12</v>
          </cell>
          <cell r="V151" t="str">
            <v>*</v>
          </cell>
        </row>
        <row r="152">
          <cell r="G152" t="str">
            <v>VISHWABHARTHI MEDICALS</v>
          </cell>
          <cell r="I152">
            <v>-1552.4</v>
          </cell>
          <cell r="J152">
            <v>0</v>
          </cell>
          <cell r="K152">
            <v>0</v>
          </cell>
          <cell r="L152">
            <v>-1552.4</v>
          </cell>
          <cell r="N152">
            <v>-1552.4</v>
          </cell>
          <cell r="O152">
            <v>12</v>
          </cell>
          <cell r="V152" t="str">
            <v>*</v>
          </cell>
        </row>
        <row r="153">
          <cell r="G153" t="str">
            <v>GEEYES ASSOCIATES</v>
          </cell>
          <cell r="I153">
            <v>-1976</v>
          </cell>
          <cell r="J153">
            <v>0</v>
          </cell>
          <cell r="K153">
            <v>0</v>
          </cell>
          <cell r="L153">
            <v>-1976</v>
          </cell>
          <cell r="N153">
            <v>-1976</v>
          </cell>
          <cell r="O153">
            <v>12</v>
          </cell>
          <cell r="V153" t="str">
            <v>*</v>
          </cell>
        </row>
        <row r="154">
          <cell r="G154" t="str">
            <v>PARKINS ENTERPRISES</v>
          </cell>
          <cell r="I154">
            <v>-598</v>
          </cell>
          <cell r="J154">
            <v>0</v>
          </cell>
          <cell r="K154">
            <v>0</v>
          </cell>
          <cell r="L154">
            <v>-598</v>
          </cell>
          <cell r="N154">
            <v>-598</v>
          </cell>
          <cell r="O154">
            <v>12</v>
          </cell>
          <cell r="V154" t="str">
            <v>*</v>
          </cell>
        </row>
        <row r="155">
          <cell r="G155" t="str">
            <v>SIGMA COMBINES</v>
          </cell>
          <cell r="I155">
            <v>35610</v>
          </cell>
          <cell r="J155">
            <v>0</v>
          </cell>
          <cell r="K155">
            <v>0</v>
          </cell>
          <cell r="L155">
            <v>35610</v>
          </cell>
          <cell r="N155">
            <v>0</v>
          </cell>
          <cell r="O155">
            <v>12</v>
          </cell>
          <cell r="V155" t="str">
            <v>*</v>
          </cell>
        </row>
        <row r="156">
          <cell r="G156" t="str">
            <v>CHEMIPLAST</v>
          </cell>
          <cell r="I156">
            <v>-8288.6</v>
          </cell>
          <cell r="J156">
            <v>16380</v>
          </cell>
          <cell r="K156">
            <v>16380</v>
          </cell>
          <cell r="L156">
            <v>-8288.6</v>
          </cell>
          <cell r="N156">
            <v>-8288.6</v>
          </cell>
          <cell r="O156">
            <v>12</v>
          </cell>
          <cell r="V156" t="str">
            <v>*</v>
          </cell>
        </row>
        <row r="157">
          <cell r="G157" t="str">
            <v>U.S. PHARAMA</v>
          </cell>
          <cell r="I157">
            <v>0</v>
          </cell>
          <cell r="J157">
            <v>0</v>
          </cell>
          <cell r="K157">
            <v>0</v>
          </cell>
          <cell r="L157">
            <v>0</v>
          </cell>
          <cell r="N157">
            <v>0</v>
          </cell>
          <cell r="O157">
            <v>12</v>
          </cell>
          <cell r="V157" t="str">
            <v>*</v>
          </cell>
        </row>
        <row r="158">
          <cell r="G158" t="str">
            <v>MEDICAL HOUSE</v>
          </cell>
          <cell r="I158">
            <v>0</v>
          </cell>
          <cell r="J158">
            <v>0</v>
          </cell>
          <cell r="K158">
            <v>0</v>
          </cell>
          <cell r="L158">
            <v>0</v>
          </cell>
          <cell r="N158">
            <v>0</v>
          </cell>
          <cell r="O158">
            <v>12</v>
          </cell>
          <cell r="V158" t="str">
            <v>*</v>
          </cell>
        </row>
        <row r="159">
          <cell r="G159" t="str">
            <v>MOTHER HOSPITAL (P) LTD.</v>
          </cell>
          <cell r="I159">
            <v>-0.01</v>
          </cell>
          <cell r="J159">
            <v>0</v>
          </cell>
          <cell r="K159">
            <v>0</v>
          </cell>
          <cell r="L159">
            <v>-0.01</v>
          </cell>
          <cell r="N159">
            <v>-0.01</v>
          </cell>
          <cell r="O159">
            <v>12</v>
          </cell>
          <cell r="V159" t="str">
            <v>*</v>
          </cell>
        </row>
        <row r="160">
          <cell r="G160" t="str">
            <v>THE MEDICAL DIR</v>
          </cell>
          <cell r="I160">
            <v>0</v>
          </cell>
          <cell r="J160">
            <v>0</v>
          </cell>
          <cell r="K160">
            <v>0</v>
          </cell>
          <cell r="L160">
            <v>0</v>
          </cell>
          <cell r="N160">
            <v>0</v>
          </cell>
          <cell r="O160">
            <v>12</v>
          </cell>
          <cell r="V160" t="str">
            <v>*</v>
          </cell>
        </row>
        <row r="161">
          <cell r="G161" t="str">
            <v>JOSGIRI HOSPITAL</v>
          </cell>
          <cell r="I161">
            <v>0</v>
          </cell>
          <cell r="J161">
            <v>0</v>
          </cell>
          <cell r="K161">
            <v>0</v>
          </cell>
          <cell r="L161">
            <v>0</v>
          </cell>
          <cell r="N161">
            <v>0</v>
          </cell>
          <cell r="O161">
            <v>12</v>
          </cell>
          <cell r="V161" t="str">
            <v>*</v>
          </cell>
        </row>
        <row r="162">
          <cell r="G162" t="str">
            <v>GOVERNMENT GENERAL HOSPITAL</v>
          </cell>
          <cell r="I162">
            <v>0</v>
          </cell>
          <cell r="J162">
            <v>0</v>
          </cell>
          <cell r="K162">
            <v>0</v>
          </cell>
          <cell r="L162">
            <v>0</v>
          </cell>
          <cell r="N162">
            <v>0</v>
          </cell>
          <cell r="O162">
            <v>12</v>
          </cell>
          <cell r="V162" t="str">
            <v>*</v>
          </cell>
        </row>
        <row r="163">
          <cell r="G163" t="str">
            <v>HAMILTON AND BAILEY</v>
          </cell>
          <cell r="I163">
            <v>16003.28</v>
          </cell>
          <cell r="J163">
            <v>0</v>
          </cell>
          <cell r="K163">
            <v>0</v>
          </cell>
          <cell r="L163">
            <v>16003.28</v>
          </cell>
          <cell r="N163">
            <v>0</v>
          </cell>
          <cell r="O163">
            <v>12</v>
          </cell>
          <cell r="V163" t="str">
            <v>*</v>
          </cell>
        </row>
        <row r="164">
          <cell r="G164" t="str">
            <v>DR. SAROJ NAIR</v>
          </cell>
          <cell r="I164">
            <v>0</v>
          </cell>
          <cell r="J164">
            <v>9000.01</v>
          </cell>
          <cell r="K164">
            <v>9000</v>
          </cell>
          <cell r="L164">
            <v>0.01</v>
          </cell>
          <cell r="N164">
            <v>0</v>
          </cell>
          <cell r="O164">
            <v>12</v>
          </cell>
          <cell r="V164" t="str">
            <v>*</v>
          </cell>
        </row>
        <row r="165">
          <cell r="G165" t="str">
            <v>INDIA HOSPITAL</v>
          </cell>
          <cell r="I165">
            <v>0</v>
          </cell>
          <cell r="J165">
            <v>9000</v>
          </cell>
          <cell r="K165">
            <v>9000</v>
          </cell>
          <cell r="L165">
            <v>0</v>
          </cell>
          <cell r="N165">
            <v>0</v>
          </cell>
          <cell r="O165">
            <v>12</v>
          </cell>
          <cell r="V165" t="str">
            <v>*</v>
          </cell>
        </row>
        <row r="166">
          <cell r="G166" t="str">
            <v>S.S.MEDILINES</v>
          </cell>
          <cell r="I166">
            <v>-570</v>
          </cell>
          <cell r="J166">
            <v>78360</v>
          </cell>
          <cell r="K166">
            <v>61000</v>
          </cell>
          <cell r="L166">
            <v>16790</v>
          </cell>
          <cell r="N166">
            <v>0</v>
          </cell>
          <cell r="O166">
            <v>12</v>
          </cell>
          <cell r="V166" t="str">
            <v>*</v>
          </cell>
        </row>
        <row r="167">
          <cell r="G167" t="str">
            <v>PROMPT ENTERPRISES</v>
          </cell>
          <cell r="I167">
            <v>-9334.69</v>
          </cell>
          <cell r="J167">
            <v>0</v>
          </cell>
          <cell r="K167">
            <v>0</v>
          </cell>
          <cell r="L167">
            <v>-9334.69</v>
          </cell>
          <cell r="N167">
            <v>-9334.69</v>
          </cell>
          <cell r="O167">
            <v>12</v>
          </cell>
          <cell r="V167" t="str">
            <v>*</v>
          </cell>
        </row>
        <row r="168">
          <cell r="G168" t="str">
            <v>SHREE CHITRA TIRUNAL INSTITUTE FOR MEDICAL SCIENCE AND TECH.</v>
          </cell>
          <cell r="I168">
            <v>182163</v>
          </cell>
          <cell r="J168">
            <v>0</v>
          </cell>
          <cell r="K168">
            <v>0</v>
          </cell>
          <cell r="L168">
            <v>182163</v>
          </cell>
          <cell r="N168">
            <v>0</v>
          </cell>
          <cell r="O168">
            <v>12</v>
          </cell>
          <cell r="V168" t="str">
            <v>*</v>
          </cell>
        </row>
        <row r="169">
          <cell r="G169" t="str">
            <v>JYOTI SURGICALS</v>
          </cell>
          <cell r="I169">
            <v>0</v>
          </cell>
          <cell r="J169">
            <v>0</v>
          </cell>
          <cell r="K169">
            <v>0</v>
          </cell>
          <cell r="L169">
            <v>0</v>
          </cell>
          <cell r="N169">
            <v>0</v>
          </cell>
          <cell r="O169">
            <v>12</v>
          </cell>
          <cell r="V169" t="str">
            <v>*</v>
          </cell>
        </row>
        <row r="170">
          <cell r="G170" t="str">
            <v>PRITI MEDICAL RESEARCH CENTRE</v>
          </cell>
          <cell r="I170">
            <v>1440800</v>
          </cell>
          <cell r="J170">
            <v>0</v>
          </cell>
          <cell r="K170">
            <v>0</v>
          </cell>
          <cell r="L170">
            <v>1440800</v>
          </cell>
          <cell r="N170">
            <v>0</v>
          </cell>
          <cell r="O170">
            <v>12</v>
          </cell>
          <cell r="V170" t="str">
            <v>*</v>
          </cell>
        </row>
        <row r="171">
          <cell r="G171" t="str">
            <v>HANSRAJ NAYYAR MEDICAL ,  AMRITSAR</v>
          </cell>
          <cell r="I171">
            <v>17525.599999999999</v>
          </cell>
          <cell r="J171">
            <v>0</v>
          </cell>
          <cell r="K171">
            <v>0</v>
          </cell>
          <cell r="L171">
            <v>17525.599999999999</v>
          </cell>
          <cell r="N171">
            <v>0</v>
          </cell>
          <cell r="O171">
            <v>12</v>
          </cell>
          <cell r="V171" t="str">
            <v>*</v>
          </cell>
        </row>
        <row r="172">
          <cell r="G172" t="str">
            <v>RAVI BROTHERS</v>
          </cell>
          <cell r="I172">
            <v>-801.5</v>
          </cell>
          <cell r="J172">
            <v>0</v>
          </cell>
          <cell r="K172">
            <v>0</v>
          </cell>
          <cell r="L172">
            <v>-801.5</v>
          </cell>
          <cell r="N172">
            <v>-801.5</v>
          </cell>
          <cell r="O172">
            <v>12</v>
          </cell>
          <cell r="V172" t="str">
            <v>*</v>
          </cell>
        </row>
        <row r="173">
          <cell r="G173" t="str">
            <v>RASHMI CHEMICALS</v>
          </cell>
          <cell r="I173">
            <v>21200</v>
          </cell>
          <cell r="J173">
            <v>0</v>
          </cell>
          <cell r="K173">
            <v>0</v>
          </cell>
          <cell r="L173">
            <v>21200</v>
          </cell>
          <cell r="N173">
            <v>0</v>
          </cell>
          <cell r="O173">
            <v>12</v>
          </cell>
          <cell r="V173" t="str">
            <v>*</v>
          </cell>
        </row>
        <row r="174">
          <cell r="G174" t="str">
            <v>AHUJA AGENCIES</v>
          </cell>
          <cell r="I174">
            <v>7710.4</v>
          </cell>
          <cell r="J174">
            <v>0</v>
          </cell>
          <cell r="K174">
            <v>0</v>
          </cell>
          <cell r="L174">
            <v>7710.4</v>
          </cell>
          <cell r="N174">
            <v>0</v>
          </cell>
          <cell r="O174">
            <v>12</v>
          </cell>
          <cell r="V174" t="str">
            <v>*</v>
          </cell>
        </row>
        <row r="175">
          <cell r="G175" t="str">
            <v>AHUJA ENTERPRISES</v>
          </cell>
          <cell r="I175">
            <v>520</v>
          </cell>
          <cell r="J175">
            <v>0</v>
          </cell>
          <cell r="K175">
            <v>0</v>
          </cell>
          <cell r="L175">
            <v>520</v>
          </cell>
          <cell r="N175">
            <v>0</v>
          </cell>
          <cell r="O175">
            <v>12</v>
          </cell>
          <cell r="V175" t="str">
            <v>*</v>
          </cell>
        </row>
        <row r="176">
          <cell r="G176" t="str">
            <v>JAGDAMBA MEDICAL STORE</v>
          </cell>
          <cell r="I176">
            <v>0</v>
          </cell>
          <cell r="J176">
            <v>0</v>
          </cell>
          <cell r="K176">
            <v>0</v>
          </cell>
          <cell r="L176">
            <v>0</v>
          </cell>
          <cell r="N176">
            <v>0</v>
          </cell>
          <cell r="O176">
            <v>12</v>
          </cell>
          <cell r="V176" t="str">
            <v>*</v>
          </cell>
        </row>
        <row r="177">
          <cell r="G177" t="str">
            <v>SURGICO</v>
          </cell>
          <cell r="I177">
            <v>-1055.99</v>
          </cell>
          <cell r="J177">
            <v>0</v>
          </cell>
          <cell r="K177">
            <v>0</v>
          </cell>
          <cell r="L177">
            <v>-1055.99</v>
          </cell>
          <cell r="N177">
            <v>-1055.99</v>
          </cell>
          <cell r="O177">
            <v>12</v>
          </cell>
          <cell r="V177" t="str">
            <v>*</v>
          </cell>
        </row>
        <row r="178">
          <cell r="G178" t="str">
            <v>KUMAR BROTHERS</v>
          </cell>
          <cell r="I178">
            <v>-17114.400000000001</v>
          </cell>
          <cell r="J178">
            <v>17056</v>
          </cell>
          <cell r="K178">
            <v>0</v>
          </cell>
          <cell r="L178">
            <v>-58.4</v>
          </cell>
          <cell r="N178">
            <v>-58.4</v>
          </cell>
          <cell r="O178">
            <v>12</v>
          </cell>
          <cell r="V178" t="str">
            <v>*</v>
          </cell>
        </row>
        <row r="179">
          <cell r="G179" t="str">
            <v>UNISTAR PHARMACEUTICALS DIST.</v>
          </cell>
          <cell r="I179">
            <v>0</v>
          </cell>
          <cell r="J179">
            <v>0</v>
          </cell>
          <cell r="K179">
            <v>0</v>
          </cell>
          <cell r="L179">
            <v>0</v>
          </cell>
          <cell r="N179">
            <v>0</v>
          </cell>
          <cell r="O179">
            <v>12</v>
          </cell>
          <cell r="V179" t="str">
            <v>*</v>
          </cell>
        </row>
        <row r="180">
          <cell r="G180" t="str">
            <v>GURUDEV DRUGS</v>
          </cell>
          <cell r="I180">
            <v>0</v>
          </cell>
          <cell r="J180">
            <v>30442.5</v>
          </cell>
          <cell r="K180">
            <v>30500</v>
          </cell>
          <cell r="L180">
            <v>-57.5</v>
          </cell>
          <cell r="N180">
            <v>-57.5</v>
          </cell>
          <cell r="O180">
            <v>12</v>
          </cell>
          <cell r="V180" t="str">
            <v>*</v>
          </cell>
        </row>
        <row r="181">
          <cell r="G181" t="str">
            <v>ROYAL SURGICALS</v>
          </cell>
          <cell r="I181">
            <v>10060.4</v>
          </cell>
          <cell r="J181">
            <v>0</v>
          </cell>
          <cell r="K181">
            <v>0</v>
          </cell>
          <cell r="L181">
            <v>10060.4</v>
          </cell>
          <cell r="N181">
            <v>0</v>
          </cell>
          <cell r="O181">
            <v>12</v>
          </cell>
          <cell r="V181" t="str">
            <v>*</v>
          </cell>
        </row>
        <row r="182">
          <cell r="G182" t="str">
            <v>ENDOOS ENTERPRISES</v>
          </cell>
          <cell r="I182">
            <v>-10001.64</v>
          </cell>
          <cell r="J182">
            <v>0</v>
          </cell>
          <cell r="K182">
            <v>0</v>
          </cell>
          <cell r="L182">
            <v>-10001.64</v>
          </cell>
          <cell r="N182">
            <v>-10001.64</v>
          </cell>
          <cell r="O182">
            <v>12</v>
          </cell>
          <cell r="V182" t="str">
            <v>*</v>
          </cell>
        </row>
        <row r="183">
          <cell r="G183" t="str">
            <v>KARAN PHARMACUETICAL &amp; SURGICALS</v>
          </cell>
          <cell r="I183">
            <v>0</v>
          </cell>
          <cell r="J183">
            <v>0</v>
          </cell>
          <cell r="K183">
            <v>0</v>
          </cell>
          <cell r="L183">
            <v>0</v>
          </cell>
          <cell r="N183">
            <v>0</v>
          </cell>
          <cell r="O183">
            <v>12</v>
          </cell>
          <cell r="V183" t="str">
            <v>*</v>
          </cell>
        </row>
        <row r="184">
          <cell r="G184" t="str">
            <v>ALL INDIA INSTITUTE OF MEDICAL SCIENCS</v>
          </cell>
          <cell r="I184">
            <v>465700.51</v>
          </cell>
          <cell r="J184">
            <v>0</v>
          </cell>
          <cell r="K184">
            <v>0</v>
          </cell>
          <cell r="L184">
            <v>465700.51</v>
          </cell>
          <cell r="N184">
            <v>0</v>
          </cell>
          <cell r="O184">
            <v>12</v>
          </cell>
          <cell r="V184" t="str">
            <v>*</v>
          </cell>
        </row>
        <row r="185">
          <cell r="G185" t="str">
            <v>JAISON TRADERS</v>
          </cell>
          <cell r="I185">
            <v>-228061.37</v>
          </cell>
          <cell r="J185">
            <v>512367.8</v>
          </cell>
          <cell r="K185">
            <v>284460</v>
          </cell>
          <cell r="L185">
            <v>-153.57</v>
          </cell>
          <cell r="N185">
            <v>-153.57</v>
          </cell>
          <cell r="O185">
            <v>12</v>
          </cell>
          <cell r="V185" t="str">
            <v>*</v>
          </cell>
        </row>
        <row r="186">
          <cell r="G186" t="str">
            <v>RAM MANOHAR LOHIYA HOSPITAL</v>
          </cell>
          <cell r="I186">
            <v>72450.509999999995</v>
          </cell>
          <cell r="J186">
            <v>0</v>
          </cell>
          <cell r="K186">
            <v>0</v>
          </cell>
          <cell r="L186">
            <v>107205.51</v>
          </cell>
          <cell r="N186">
            <v>0</v>
          </cell>
          <cell r="O186">
            <v>12</v>
          </cell>
          <cell r="V186" t="str">
            <v>*</v>
          </cell>
        </row>
        <row r="187">
          <cell r="G187" t="str">
            <v>DHAWAN SURGICAL</v>
          </cell>
          <cell r="I187">
            <v>45736.98</v>
          </cell>
          <cell r="J187">
            <v>0</v>
          </cell>
          <cell r="K187">
            <v>16425</v>
          </cell>
          <cell r="L187">
            <v>29311.98</v>
          </cell>
          <cell r="N187">
            <v>0</v>
          </cell>
          <cell r="O187">
            <v>12</v>
          </cell>
          <cell r="V187" t="str">
            <v>*</v>
          </cell>
        </row>
        <row r="188">
          <cell r="G188" t="str">
            <v>DIRECTORATE GENERAL MEDICAL SERVICES</v>
          </cell>
          <cell r="I188">
            <v>98388.800000000003</v>
          </cell>
          <cell r="J188">
            <v>0</v>
          </cell>
          <cell r="K188">
            <v>0</v>
          </cell>
          <cell r="L188">
            <v>98388.800000000003</v>
          </cell>
          <cell r="N188">
            <v>0</v>
          </cell>
          <cell r="O188">
            <v>12</v>
          </cell>
          <cell r="V188" t="str">
            <v>*</v>
          </cell>
        </row>
        <row r="189">
          <cell r="G189" t="str">
            <v>GAUTAM HEALTH CARE</v>
          </cell>
          <cell r="I189">
            <v>299027.86</v>
          </cell>
          <cell r="J189">
            <v>0</v>
          </cell>
          <cell r="K189">
            <v>0</v>
          </cell>
          <cell r="L189">
            <v>299027.86</v>
          </cell>
          <cell r="N189">
            <v>0</v>
          </cell>
          <cell r="O189">
            <v>12</v>
          </cell>
          <cell r="V189" t="str">
            <v>*</v>
          </cell>
        </row>
        <row r="190">
          <cell r="G190" t="str">
            <v>HEALTH AIDS (INDIA)</v>
          </cell>
          <cell r="I190">
            <v>-3778.56</v>
          </cell>
          <cell r="J190">
            <v>129859.2</v>
          </cell>
          <cell r="K190">
            <v>129859.2</v>
          </cell>
          <cell r="L190">
            <v>-3778.56</v>
          </cell>
          <cell r="N190">
            <v>-3778.56</v>
          </cell>
          <cell r="O190">
            <v>12</v>
          </cell>
          <cell r="V190" t="str">
            <v>*</v>
          </cell>
        </row>
        <row r="191">
          <cell r="G191" t="str">
            <v>JAIPUR GOLDEN HOSPITAL</v>
          </cell>
          <cell r="I191">
            <v>7515.22</v>
          </cell>
          <cell r="J191">
            <v>0</v>
          </cell>
          <cell r="K191">
            <v>0</v>
          </cell>
          <cell r="L191">
            <v>7515.22</v>
          </cell>
          <cell r="N191">
            <v>0</v>
          </cell>
          <cell r="O191">
            <v>12</v>
          </cell>
          <cell r="V191" t="str">
            <v>*</v>
          </cell>
        </row>
        <row r="192">
          <cell r="G192" t="str">
            <v>MANOCHA ENTERPRISE</v>
          </cell>
          <cell r="I192">
            <v>-895.5</v>
          </cell>
          <cell r="J192">
            <v>0</v>
          </cell>
          <cell r="K192">
            <v>0</v>
          </cell>
          <cell r="L192">
            <v>-895.5</v>
          </cell>
          <cell r="N192">
            <v>-895.5</v>
          </cell>
          <cell r="O192">
            <v>12</v>
          </cell>
          <cell r="V192" t="str">
            <v>*</v>
          </cell>
        </row>
        <row r="193">
          <cell r="G193" t="str">
            <v>LADY HARDINGE MED COLLEGE</v>
          </cell>
          <cell r="I193">
            <v>661864</v>
          </cell>
          <cell r="J193">
            <v>0</v>
          </cell>
          <cell r="K193">
            <v>0</v>
          </cell>
          <cell r="L193">
            <v>661864</v>
          </cell>
          <cell r="N193">
            <v>0</v>
          </cell>
          <cell r="O193">
            <v>12</v>
          </cell>
          <cell r="V193" t="str">
            <v>*</v>
          </cell>
        </row>
        <row r="194">
          <cell r="G194" t="str">
            <v>TIRATHRAM SHAH HOSPITAL</v>
          </cell>
          <cell r="I194">
            <v>341.01</v>
          </cell>
          <cell r="J194">
            <v>0</v>
          </cell>
          <cell r="K194">
            <v>0</v>
          </cell>
          <cell r="L194">
            <v>341.01</v>
          </cell>
          <cell r="N194">
            <v>0</v>
          </cell>
          <cell r="O194">
            <v>12</v>
          </cell>
          <cell r="V194" t="str">
            <v>*</v>
          </cell>
        </row>
        <row r="195">
          <cell r="G195" t="str">
            <v>LIFE CARE SURGIMED</v>
          </cell>
          <cell r="I195">
            <v>-11329.95</v>
          </cell>
          <cell r="J195">
            <v>1017158.4</v>
          </cell>
          <cell r="K195">
            <v>1006000</v>
          </cell>
          <cell r="L195">
            <v>-171.55</v>
          </cell>
          <cell r="N195">
            <v>-171.55</v>
          </cell>
          <cell r="O195">
            <v>12</v>
          </cell>
          <cell r="V195" t="str">
            <v>*</v>
          </cell>
        </row>
        <row r="196">
          <cell r="G196" t="str">
            <v>LOKNAYAK HOSPITAL</v>
          </cell>
          <cell r="I196">
            <v>105640.75</v>
          </cell>
          <cell r="J196">
            <v>0</v>
          </cell>
          <cell r="K196">
            <v>0</v>
          </cell>
          <cell r="L196">
            <v>70885.75</v>
          </cell>
          <cell r="N196">
            <v>0</v>
          </cell>
          <cell r="O196">
            <v>12</v>
          </cell>
          <cell r="V196" t="str">
            <v>*</v>
          </cell>
        </row>
        <row r="197">
          <cell r="G197" t="str">
            <v>MATA CHANAN DEVI HOSPITAL</v>
          </cell>
          <cell r="I197">
            <v>436677.91</v>
          </cell>
          <cell r="J197">
            <v>0</v>
          </cell>
          <cell r="K197">
            <v>51340</v>
          </cell>
          <cell r="L197">
            <v>385337.91</v>
          </cell>
          <cell r="N197">
            <v>0</v>
          </cell>
          <cell r="O197">
            <v>12</v>
          </cell>
          <cell r="V197" t="str">
            <v>*</v>
          </cell>
        </row>
        <row r="198">
          <cell r="G198" t="str">
            <v>MAHARAJA AGRASAIN HOSPITAL</v>
          </cell>
          <cell r="I198">
            <v>48221.88</v>
          </cell>
          <cell r="J198">
            <v>8662.5</v>
          </cell>
          <cell r="K198">
            <v>0</v>
          </cell>
          <cell r="L198">
            <v>56884.38</v>
          </cell>
          <cell r="N198">
            <v>0</v>
          </cell>
          <cell r="O198">
            <v>12</v>
          </cell>
          <cell r="V198" t="str">
            <v>*</v>
          </cell>
        </row>
        <row r="199">
          <cell r="G199" t="str">
            <v>BASE HOSPITAL</v>
          </cell>
          <cell r="I199">
            <v>-0.04</v>
          </cell>
          <cell r="J199">
            <v>0</v>
          </cell>
          <cell r="K199">
            <v>0</v>
          </cell>
          <cell r="L199">
            <v>-0.04</v>
          </cell>
          <cell r="N199">
            <v>-0.04</v>
          </cell>
          <cell r="O199">
            <v>12</v>
          </cell>
          <cell r="V199" t="str">
            <v>*</v>
          </cell>
        </row>
        <row r="200">
          <cell r="G200" t="str">
            <v>R.K. ENTERPRISES</v>
          </cell>
          <cell r="I200">
            <v>-6017.11</v>
          </cell>
          <cell r="J200">
            <v>0</v>
          </cell>
          <cell r="K200">
            <v>0</v>
          </cell>
          <cell r="L200">
            <v>-6017.11</v>
          </cell>
          <cell r="N200">
            <v>-6017.11</v>
          </cell>
          <cell r="O200">
            <v>12</v>
          </cell>
          <cell r="V200" t="str">
            <v>*</v>
          </cell>
        </row>
        <row r="201">
          <cell r="G201" t="str">
            <v>MYOVATEC SURGI. SYST.</v>
          </cell>
          <cell r="I201">
            <v>1950489</v>
          </cell>
          <cell r="J201">
            <v>0</v>
          </cell>
          <cell r="K201">
            <v>0</v>
          </cell>
          <cell r="L201">
            <v>1950489</v>
          </cell>
          <cell r="N201">
            <v>0</v>
          </cell>
          <cell r="O201">
            <v>12</v>
          </cell>
          <cell r="V201" t="str">
            <v>*</v>
          </cell>
        </row>
        <row r="202">
          <cell r="G202" t="str">
            <v>OVERSEAS ASSOCIATES</v>
          </cell>
          <cell r="I202">
            <v>-15522.23</v>
          </cell>
          <cell r="J202">
            <v>155172.79</v>
          </cell>
          <cell r="K202">
            <v>155172.79</v>
          </cell>
          <cell r="L202">
            <v>-15522.23</v>
          </cell>
          <cell r="N202">
            <v>-15522.23</v>
          </cell>
          <cell r="O202">
            <v>12</v>
          </cell>
          <cell r="V202" t="str">
            <v>*</v>
          </cell>
        </row>
        <row r="203">
          <cell r="G203" t="str">
            <v>RAJIV GANDHI CANCER INST.&amp; RESH. CEN.</v>
          </cell>
          <cell r="I203">
            <v>-222.15</v>
          </cell>
          <cell r="J203">
            <v>0</v>
          </cell>
          <cell r="K203">
            <v>0</v>
          </cell>
          <cell r="L203">
            <v>-222.15</v>
          </cell>
          <cell r="N203">
            <v>-222.15</v>
          </cell>
          <cell r="O203">
            <v>12</v>
          </cell>
          <cell r="V203" t="str">
            <v>*</v>
          </cell>
        </row>
        <row r="204">
          <cell r="G204" t="str">
            <v>RAJENDRA MEDICOS</v>
          </cell>
          <cell r="I204">
            <v>10759.39</v>
          </cell>
          <cell r="J204">
            <v>0</v>
          </cell>
          <cell r="K204">
            <v>0</v>
          </cell>
          <cell r="L204">
            <v>10759.39</v>
          </cell>
          <cell r="N204">
            <v>0</v>
          </cell>
          <cell r="O204">
            <v>12</v>
          </cell>
          <cell r="V204" t="str">
            <v>*</v>
          </cell>
        </row>
        <row r="205">
          <cell r="G205" t="str">
            <v>S.V. &amp; CO</v>
          </cell>
          <cell r="I205">
            <v>-2010</v>
          </cell>
          <cell r="J205">
            <v>0</v>
          </cell>
          <cell r="K205">
            <v>0</v>
          </cell>
          <cell r="L205">
            <v>-2010</v>
          </cell>
          <cell r="N205">
            <v>-2010</v>
          </cell>
          <cell r="O205">
            <v>12</v>
          </cell>
          <cell r="V205" t="str">
            <v>*</v>
          </cell>
        </row>
        <row r="206">
          <cell r="G206" t="str">
            <v>R.S. HOSPITAL SERVICES</v>
          </cell>
          <cell r="I206">
            <v>-409.5</v>
          </cell>
          <cell r="J206">
            <v>0</v>
          </cell>
          <cell r="K206">
            <v>0</v>
          </cell>
          <cell r="L206">
            <v>-409.5</v>
          </cell>
          <cell r="N206">
            <v>-409.5</v>
          </cell>
          <cell r="O206">
            <v>12</v>
          </cell>
          <cell r="V206" t="str">
            <v>*</v>
          </cell>
        </row>
        <row r="207">
          <cell r="G207" t="str">
            <v>SHIKHA MEDICOS</v>
          </cell>
          <cell r="I207">
            <v>70375.72</v>
          </cell>
          <cell r="J207">
            <v>0</v>
          </cell>
          <cell r="K207">
            <v>0</v>
          </cell>
          <cell r="L207">
            <v>70375.72</v>
          </cell>
          <cell r="N207">
            <v>0</v>
          </cell>
          <cell r="O207">
            <v>12</v>
          </cell>
          <cell r="V207" t="str">
            <v>*</v>
          </cell>
        </row>
        <row r="208">
          <cell r="G208" t="str">
            <v>SHIEKHA PHARMA PVT LTD.</v>
          </cell>
          <cell r="I208">
            <v>91380.11</v>
          </cell>
          <cell r="J208">
            <v>0</v>
          </cell>
          <cell r="K208">
            <v>0</v>
          </cell>
          <cell r="L208">
            <v>91380.11</v>
          </cell>
          <cell r="N208">
            <v>0</v>
          </cell>
          <cell r="O208">
            <v>12</v>
          </cell>
          <cell r="V208" t="str">
            <v>*</v>
          </cell>
        </row>
        <row r="209">
          <cell r="G209" t="str">
            <v>WIPRO BIOMED</v>
          </cell>
          <cell r="I209">
            <v>0</v>
          </cell>
          <cell r="J209">
            <v>0</v>
          </cell>
          <cell r="K209">
            <v>0</v>
          </cell>
          <cell r="L209">
            <v>0</v>
          </cell>
          <cell r="N209">
            <v>0</v>
          </cell>
          <cell r="O209">
            <v>12</v>
          </cell>
          <cell r="V209" t="str">
            <v>*</v>
          </cell>
        </row>
        <row r="210">
          <cell r="G210" t="str">
            <v>AHUJA MEIDIWAYS</v>
          </cell>
          <cell r="I210">
            <v>-706</v>
          </cell>
          <cell r="J210">
            <v>0</v>
          </cell>
          <cell r="K210">
            <v>0</v>
          </cell>
          <cell r="L210">
            <v>-706</v>
          </cell>
          <cell r="N210">
            <v>-706</v>
          </cell>
          <cell r="O210">
            <v>12</v>
          </cell>
          <cell r="V210" t="str">
            <v>*</v>
          </cell>
        </row>
        <row r="211">
          <cell r="G211" t="str">
            <v>AMERICAN HOSPITAL SERVICES</v>
          </cell>
          <cell r="I211">
            <v>6105.55</v>
          </cell>
          <cell r="J211">
            <v>0</v>
          </cell>
          <cell r="K211">
            <v>0</v>
          </cell>
          <cell r="L211">
            <v>6105.55</v>
          </cell>
          <cell r="N211">
            <v>0</v>
          </cell>
          <cell r="O211">
            <v>12</v>
          </cell>
          <cell r="V211" t="str">
            <v>*</v>
          </cell>
        </row>
        <row r="212">
          <cell r="G212" t="str">
            <v>A.S.ENTERPRISES</v>
          </cell>
          <cell r="I212">
            <v>0</v>
          </cell>
          <cell r="J212">
            <v>0</v>
          </cell>
          <cell r="K212">
            <v>0</v>
          </cell>
          <cell r="L212">
            <v>0</v>
          </cell>
          <cell r="N212">
            <v>0</v>
          </cell>
          <cell r="O212">
            <v>12</v>
          </cell>
          <cell r="V212" t="str">
            <v>*</v>
          </cell>
        </row>
        <row r="213">
          <cell r="G213" t="str">
            <v>MATSON SURGICAL</v>
          </cell>
          <cell r="I213">
            <v>92185.279999999999</v>
          </cell>
          <cell r="J213">
            <v>197802</v>
          </cell>
          <cell r="K213">
            <v>197802</v>
          </cell>
          <cell r="L213">
            <v>92185.279999999999</v>
          </cell>
          <cell r="N213">
            <v>0</v>
          </cell>
          <cell r="O213">
            <v>12</v>
          </cell>
          <cell r="V213" t="str">
            <v>*</v>
          </cell>
        </row>
        <row r="214">
          <cell r="G214" t="str">
            <v>RUSTAGI SURGICAL PRIVATE LIMITED</v>
          </cell>
          <cell r="I214">
            <v>2974.5</v>
          </cell>
          <cell r="J214">
            <v>0</v>
          </cell>
          <cell r="K214">
            <v>0</v>
          </cell>
          <cell r="L214">
            <v>2974.5</v>
          </cell>
          <cell r="N214">
            <v>0</v>
          </cell>
          <cell r="O214">
            <v>12</v>
          </cell>
          <cell r="V214" t="str">
            <v>*</v>
          </cell>
        </row>
        <row r="215">
          <cell r="G215" t="str">
            <v>UNIQUE MARKETING SERVICE</v>
          </cell>
          <cell r="I215">
            <v>49990</v>
          </cell>
          <cell r="J215">
            <v>0</v>
          </cell>
          <cell r="K215">
            <v>0</v>
          </cell>
          <cell r="L215">
            <v>49990</v>
          </cell>
          <cell r="N215">
            <v>0</v>
          </cell>
          <cell r="O215">
            <v>12</v>
          </cell>
          <cell r="V215" t="str">
            <v>*</v>
          </cell>
        </row>
        <row r="216">
          <cell r="G216" t="str">
            <v>KRISHNA SURGICAL</v>
          </cell>
          <cell r="I216">
            <v>-397668.43</v>
          </cell>
          <cell r="J216">
            <v>2096710.6</v>
          </cell>
          <cell r="K216">
            <v>1651783</v>
          </cell>
          <cell r="L216">
            <v>47259.17</v>
          </cell>
          <cell r="N216">
            <v>0</v>
          </cell>
          <cell r="O216">
            <v>12</v>
          </cell>
          <cell r="V216" t="str">
            <v>*</v>
          </cell>
        </row>
        <row r="217">
          <cell r="G217" t="str">
            <v>ASHOK SURGICAL CO.</v>
          </cell>
          <cell r="I217">
            <v>182084.39</v>
          </cell>
          <cell r="J217">
            <v>0</v>
          </cell>
          <cell r="K217">
            <v>0</v>
          </cell>
          <cell r="L217">
            <v>182084.39</v>
          </cell>
          <cell r="N217">
            <v>0</v>
          </cell>
          <cell r="O217">
            <v>12</v>
          </cell>
          <cell r="V217" t="str">
            <v>*</v>
          </cell>
        </row>
        <row r="218">
          <cell r="G218" t="str">
            <v>ASTHA ENTERPRISES</v>
          </cell>
          <cell r="I218">
            <v>4800</v>
          </cell>
          <cell r="J218">
            <v>0</v>
          </cell>
          <cell r="K218">
            <v>0</v>
          </cell>
          <cell r="L218">
            <v>4800</v>
          </cell>
          <cell r="N218">
            <v>0</v>
          </cell>
          <cell r="O218">
            <v>12</v>
          </cell>
          <cell r="V218" t="str">
            <v>*</v>
          </cell>
        </row>
        <row r="219">
          <cell r="G219" t="str">
            <v>BEE DEE BLADES PRIVATE LIMITED</v>
          </cell>
          <cell r="I219">
            <v>144337.5</v>
          </cell>
          <cell r="J219">
            <v>0</v>
          </cell>
          <cell r="K219">
            <v>0</v>
          </cell>
          <cell r="L219">
            <v>144337.5</v>
          </cell>
          <cell r="N219">
            <v>0</v>
          </cell>
          <cell r="O219">
            <v>12</v>
          </cell>
          <cell r="V219" t="str">
            <v>*</v>
          </cell>
        </row>
        <row r="220">
          <cell r="G220" t="str">
            <v>AROMA SURGICAL HOUSE</v>
          </cell>
          <cell r="I220">
            <v>-1125.4000000000001</v>
          </cell>
          <cell r="J220">
            <v>0</v>
          </cell>
          <cell r="K220">
            <v>0</v>
          </cell>
          <cell r="L220">
            <v>-1125.4000000000001</v>
          </cell>
          <cell r="N220">
            <v>-1125.4000000000001</v>
          </cell>
          <cell r="O220">
            <v>12</v>
          </cell>
          <cell r="V220" t="str">
            <v>*</v>
          </cell>
        </row>
        <row r="221">
          <cell r="G221" t="str">
            <v>CENTRAL SURGICAL COMPANY</v>
          </cell>
          <cell r="I221">
            <v>-0.78</v>
          </cell>
          <cell r="J221">
            <v>0</v>
          </cell>
          <cell r="K221">
            <v>0</v>
          </cell>
          <cell r="L221">
            <v>-0.78</v>
          </cell>
          <cell r="N221">
            <v>-0.78</v>
          </cell>
          <cell r="O221">
            <v>12</v>
          </cell>
          <cell r="V221" t="str">
            <v>*</v>
          </cell>
        </row>
        <row r="222">
          <cell r="G222" t="str">
            <v>ANIL SURGICAL</v>
          </cell>
          <cell r="I222">
            <v>6224</v>
          </cell>
          <cell r="J222">
            <v>0</v>
          </cell>
          <cell r="K222">
            <v>0</v>
          </cell>
          <cell r="L222">
            <v>6224</v>
          </cell>
          <cell r="N222">
            <v>0</v>
          </cell>
          <cell r="O222">
            <v>12</v>
          </cell>
          <cell r="V222" t="str">
            <v>*</v>
          </cell>
        </row>
        <row r="223">
          <cell r="G223" t="str">
            <v>THE MEDICAL DIRECTOR (KHOSLA HOSPITAL)</v>
          </cell>
          <cell r="I223">
            <v>-19448</v>
          </cell>
          <cell r="J223">
            <v>0</v>
          </cell>
          <cell r="K223">
            <v>0</v>
          </cell>
          <cell r="L223">
            <v>-19448</v>
          </cell>
          <cell r="N223">
            <v>-19448</v>
          </cell>
          <cell r="O223">
            <v>12</v>
          </cell>
          <cell r="V223" t="str">
            <v>*</v>
          </cell>
        </row>
        <row r="224">
          <cell r="G224" t="str">
            <v>INDRAPRASTHA MEDICAL CORPORATION LTD.</v>
          </cell>
          <cell r="I224">
            <v>0.5</v>
          </cell>
          <cell r="J224">
            <v>0</v>
          </cell>
          <cell r="K224">
            <v>0</v>
          </cell>
          <cell r="L224">
            <v>0.5</v>
          </cell>
          <cell r="N224">
            <v>0</v>
          </cell>
          <cell r="O224">
            <v>12</v>
          </cell>
          <cell r="V224" t="str">
            <v>*</v>
          </cell>
        </row>
        <row r="225">
          <cell r="G225" t="str">
            <v>BHAVNA ENTERPRISES</v>
          </cell>
          <cell r="I225">
            <v>17827.599999999999</v>
          </cell>
          <cell r="J225">
            <v>0</v>
          </cell>
          <cell r="K225">
            <v>0</v>
          </cell>
          <cell r="L225">
            <v>17827.599999999999</v>
          </cell>
          <cell r="N225">
            <v>0</v>
          </cell>
          <cell r="O225">
            <v>12</v>
          </cell>
          <cell r="V225" t="str">
            <v>*</v>
          </cell>
        </row>
        <row r="226">
          <cell r="G226" t="str">
            <v>CURIOUS PHARMA</v>
          </cell>
          <cell r="I226">
            <v>83138.05</v>
          </cell>
          <cell r="J226">
            <v>0</v>
          </cell>
          <cell r="K226">
            <v>0</v>
          </cell>
          <cell r="L226">
            <v>83138.05</v>
          </cell>
          <cell r="N226">
            <v>0</v>
          </cell>
          <cell r="O226">
            <v>12</v>
          </cell>
          <cell r="V226" t="str">
            <v>*</v>
          </cell>
        </row>
        <row r="227">
          <cell r="G227" t="str">
            <v>G B PANT HOSPITAL</v>
          </cell>
          <cell r="I227">
            <v>165241.45000000001</v>
          </cell>
          <cell r="J227">
            <v>0</v>
          </cell>
          <cell r="K227">
            <v>0</v>
          </cell>
          <cell r="L227">
            <v>165241.45000000001</v>
          </cell>
          <cell r="N227">
            <v>0</v>
          </cell>
          <cell r="O227">
            <v>12</v>
          </cell>
          <cell r="V227" t="str">
            <v>*</v>
          </cell>
        </row>
        <row r="228">
          <cell r="G228" t="str">
            <v>MEDICAL SUPERINTENDENT SAFDARJUNG HP</v>
          </cell>
          <cell r="I228">
            <v>918.51</v>
          </cell>
          <cell r="J228">
            <v>0</v>
          </cell>
          <cell r="K228">
            <v>0</v>
          </cell>
          <cell r="L228">
            <v>918.51</v>
          </cell>
          <cell r="N228">
            <v>0</v>
          </cell>
          <cell r="O228">
            <v>12</v>
          </cell>
          <cell r="V228" t="str">
            <v>*</v>
          </cell>
        </row>
        <row r="229">
          <cell r="G229" t="str">
            <v>HOSPETEC</v>
          </cell>
          <cell r="I229">
            <v>159257.5</v>
          </cell>
          <cell r="J229">
            <v>0</v>
          </cell>
          <cell r="K229">
            <v>0</v>
          </cell>
          <cell r="L229">
            <v>159257.5</v>
          </cell>
          <cell r="N229">
            <v>0</v>
          </cell>
          <cell r="O229">
            <v>12</v>
          </cell>
          <cell r="V229" t="str">
            <v>*</v>
          </cell>
        </row>
        <row r="230">
          <cell r="G230" t="str">
            <v>INTRA MEDICA EXIM P LTD</v>
          </cell>
          <cell r="I230">
            <v>-456</v>
          </cell>
          <cell r="J230">
            <v>105840</v>
          </cell>
          <cell r="K230">
            <v>105840</v>
          </cell>
          <cell r="L230">
            <v>-456</v>
          </cell>
          <cell r="N230">
            <v>-456</v>
          </cell>
          <cell r="O230">
            <v>12</v>
          </cell>
          <cell r="V230" t="str">
            <v>*</v>
          </cell>
        </row>
        <row r="231">
          <cell r="G231" t="str">
            <v>DEEN DAYAL UPADHYAYE HOSPITAL</v>
          </cell>
          <cell r="I231">
            <v>193620.11</v>
          </cell>
          <cell r="J231">
            <v>0</v>
          </cell>
          <cell r="K231">
            <v>0</v>
          </cell>
          <cell r="L231">
            <v>193620.11</v>
          </cell>
          <cell r="N231">
            <v>0</v>
          </cell>
          <cell r="O231">
            <v>12</v>
          </cell>
          <cell r="V231" t="str">
            <v>*</v>
          </cell>
        </row>
        <row r="232">
          <cell r="G232" t="str">
            <v>MANVI IMPEX</v>
          </cell>
          <cell r="I232">
            <v>-11873.62</v>
          </cell>
          <cell r="J232">
            <v>0</v>
          </cell>
          <cell r="K232">
            <v>0</v>
          </cell>
          <cell r="L232">
            <v>-11873.62</v>
          </cell>
          <cell r="N232">
            <v>-11873.62</v>
          </cell>
          <cell r="O232">
            <v>12</v>
          </cell>
          <cell r="V232" t="str">
            <v>*</v>
          </cell>
        </row>
        <row r="233">
          <cell r="G233" t="str">
            <v>MEDIHOME</v>
          </cell>
          <cell r="I233">
            <v>1790179.83</v>
          </cell>
          <cell r="J233">
            <v>0</v>
          </cell>
          <cell r="K233">
            <v>0</v>
          </cell>
          <cell r="L233">
            <v>1790179.83</v>
          </cell>
          <cell r="N233">
            <v>0</v>
          </cell>
          <cell r="O233">
            <v>12</v>
          </cell>
          <cell r="V233" t="str">
            <v>*</v>
          </cell>
        </row>
        <row r="234">
          <cell r="G234" t="str">
            <v>MEDILINE SYSTEMS</v>
          </cell>
          <cell r="I234">
            <v>116709.65</v>
          </cell>
          <cell r="J234">
            <v>0</v>
          </cell>
          <cell r="K234">
            <v>0</v>
          </cell>
          <cell r="L234">
            <v>116709.65</v>
          </cell>
          <cell r="N234">
            <v>0</v>
          </cell>
          <cell r="O234">
            <v>12</v>
          </cell>
          <cell r="V234" t="str">
            <v>*</v>
          </cell>
        </row>
        <row r="235">
          <cell r="G235" t="str">
            <v>PROGRESSIVE PHARMA</v>
          </cell>
          <cell r="I235">
            <v>46960.08</v>
          </cell>
          <cell r="J235">
            <v>0</v>
          </cell>
          <cell r="K235">
            <v>0</v>
          </cell>
          <cell r="L235">
            <v>46960.08</v>
          </cell>
          <cell r="N235">
            <v>0</v>
          </cell>
          <cell r="O235">
            <v>12</v>
          </cell>
          <cell r="V235" t="str">
            <v>*</v>
          </cell>
        </row>
        <row r="236">
          <cell r="G236" t="str">
            <v>REGISAR SONS</v>
          </cell>
          <cell r="I236">
            <v>-15.32</v>
          </cell>
          <cell r="J236">
            <v>0</v>
          </cell>
          <cell r="K236">
            <v>0</v>
          </cell>
          <cell r="L236">
            <v>-15.32</v>
          </cell>
          <cell r="N236">
            <v>-15.32</v>
          </cell>
          <cell r="O236">
            <v>12</v>
          </cell>
          <cell r="V236" t="str">
            <v>*</v>
          </cell>
        </row>
        <row r="237">
          <cell r="G237" t="str">
            <v>CURE AIDS (INDIA)</v>
          </cell>
          <cell r="I237">
            <v>-3799</v>
          </cell>
          <cell r="J237">
            <v>0</v>
          </cell>
          <cell r="K237">
            <v>0</v>
          </cell>
          <cell r="L237">
            <v>-3799</v>
          </cell>
          <cell r="N237">
            <v>-3799</v>
          </cell>
          <cell r="O237">
            <v>12</v>
          </cell>
          <cell r="V237" t="str">
            <v>*</v>
          </cell>
        </row>
        <row r="238">
          <cell r="G238" t="str">
            <v>TRITON MEDICAL SERVICES PVT LTD</v>
          </cell>
          <cell r="I238">
            <v>-1817.6</v>
          </cell>
          <cell r="J238">
            <v>0</v>
          </cell>
          <cell r="K238">
            <v>0</v>
          </cell>
          <cell r="L238">
            <v>-1817.6</v>
          </cell>
          <cell r="N238">
            <v>-1817.6</v>
          </cell>
          <cell r="O238">
            <v>12</v>
          </cell>
          <cell r="V238" t="str">
            <v>*</v>
          </cell>
        </row>
        <row r="239">
          <cell r="G239" t="str">
            <v>UNITED PHARMACEUTICALS   NEW DELHI</v>
          </cell>
          <cell r="I239">
            <v>-19471.400000000001</v>
          </cell>
          <cell r="J239">
            <v>19000</v>
          </cell>
          <cell r="K239">
            <v>0</v>
          </cell>
          <cell r="L239">
            <v>-471.4</v>
          </cell>
          <cell r="N239">
            <v>-471.4</v>
          </cell>
          <cell r="O239">
            <v>12</v>
          </cell>
          <cell r="V239" t="str">
            <v>*</v>
          </cell>
        </row>
        <row r="240">
          <cell r="G240" t="str">
            <v>ETHICAL SURGICALS</v>
          </cell>
          <cell r="I240">
            <v>166650</v>
          </cell>
          <cell r="J240">
            <v>0</v>
          </cell>
          <cell r="K240">
            <v>0</v>
          </cell>
          <cell r="L240">
            <v>166650</v>
          </cell>
          <cell r="N240">
            <v>0</v>
          </cell>
          <cell r="O240">
            <v>12</v>
          </cell>
          <cell r="V240" t="str">
            <v>*</v>
          </cell>
        </row>
        <row r="241">
          <cell r="G241" t="str">
            <v>PINE PHARMA PRIVATE LIMITED</v>
          </cell>
          <cell r="I241">
            <v>-797.26</v>
          </cell>
          <cell r="J241">
            <v>0</v>
          </cell>
          <cell r="K241">
            <v>0</v>
          </cell>
          <cell r="L241">
            <v>-797.26</v>
          </cell>
          <cell r="N241">
            <v>-797.26</v>
          </cell>
          <cell r="O241">
            <v>12</v>
          </cell>
          <cell r="V241" t="str">
            <v>*</v>
          </cell>
        </row>
        <row r="242">
          <cell r="G242" t="str">
            <v>SHUBH SURGICALS AND PHARMACEUTICALS</v>
          </cell>
          <cell r="I242">
            <v>40113.21</v>
          </cell>
          <cell r="J242">
            <v>0</v>
          </cell>
          <cell r="K242">
            <v>0</v>
          </cell>
          <cell r="L242">
            <v>40113.21</v>
          </cell>
          <cell r="N242">
            <v>0</v>
          </cell>
          <cell r="O242">
            <v>12</v>
          </cell>
          <cell r="V242" t="str">
            <v>*</v>
          </cell>
        </row>
        <row r="243">
          <cell r="G243" t="str">
            <v>SONIC SURGICALS</v>
          </cell>
          <cell r="I243">
            <v>100870</v>
          </cell>
          <cell r="J243">
            <v>0</v>
          </cell>
          <cell r="K243">
            <v>0</v>
          </cell>
          <cell r="L243">
            <v>100870</v>
          </cell>
          <cell r="N243">
            <v>0</v>
          </cell>
          <cell r="O243">
            <v>12</v>
          </cell>
          <cell r="V243" t="str">
            <v>*</v>
          </cell>
        </row>
        <row r="244">
          <cell r="G244" t="str">
            <v>SIR GANGARAM HOSPITAL</v>
          </cell>
          <cell r="I244">
            <v>266632.38</v>
          </cell>
          <cell r="J244">
            <v>0</v>
          </cell>
          <cell r="K244">
            <v>0</v>
          </cell>
          <cell r="L244">
            <v>266632.38</v>
          </cell>
          <cell r="N244">
            <v>0</v>
          </cell>
          <cell r="O244">
            <v>12</v>
          </cell>
          <cell r="V244" t="str">
            <v>*</v>
          </cell>
        </row>
        <row r="245">
          <cell r="G245" t="str">
            <v>KRISHNA ENTERPRISES</v>
          </cell>
          <cell r="I245">
            <v>0</v>
          </cell>
          <cell r="J245">
            <v>90000</v>
          </cell>
          <cell r="K245">
            <v>90000</v>
          </cell>
          <cell r="L245">
            <v>0</v>
          </cell>
          <cell r="N245">
            <v>0</v>
          </cell>
          <cell r="O245">
            <v>12</v>
          </cell>
          <cell r="V245" t="str">
            <v>*</v>
          </cell>
        </row>
        <row r="246">
          <cell r="G246" t="str">
            <v>PROXIMA MEDICARE</v>
          </cell>
          <cell r="I246">
            <v>-58.76</v>
          </cell>
          <cell r="J246">
            <v>538369.19999999995</v>
          </cell>
          <cell r="K246">
            <v>538527</v>
          </cell>
          <cell r="L246">
            <v>-216.56</v>
          </cell>
          <cell r="N246">
            <v>-216.56</v>
          </cell>
          <cell r="O246">
            <v>12</v>
          </cell>
          <cell r="V246" t="str">
            <v>*</v>
          </cell>
        </row>
        <row r="247">
          <cell r="G247" t="str">
            <v>LIFE LINE SURGICAL CORPORATION</v>
          </cell>
          <cell r="I247">
            <v>2200</v>
          </cell>
          <cell r="J247">
            <v>51562</v>
          </cell>
          <cell r="K247">
            <v>51562</v>
          </cell>
          <cell r="L247">
            <v>2200</v>
          </cell>
          <cell r="N247">
            <v>0</v>
          </cell>
          <cell r="O247">
            <v>12</v>
          </cell>
          <cell r="V247" t="str">
            <v>*</v>
          </cell>
        </row>
        <row r="248">
          <cell r="G248" t="str">
            <v>RUBY TRADER</v>
          </cell>
          <cell r="I248">
            <v>0</v>
          </cell>
          <cell r="J248">
            <v>0</v>
          </cell>
          <cell r="K248">
            <v>0</v>
          </cell>
          <cell r="L248">
            <v>0</v>
          </cell>
          <cell r="N248">
            <v>0</v>
          </cell>
          <cell r="O248">
            <v>12</v>
          </cell>
          <cell r="V248" t="str">
            <v>*</v>
          </cell>
        </row>
        <row r="249">
          <cell r="G249" t="str">
            <v>DIRECTOR GENERAL OF SIGNALS</v>
          </cell>
          <cell r="I249">
            <v>0</v>
          </cell>
          <cell r="J249">
            <v>0</v>
          </cell>
          <cell r="K249">
            <v>0</v>
          </cell>
          <cell r="L249">
            <v>0</v>
          </cell>
          <cell r="N249">
            <v>0</v>
          </cell>
          <cell r="O249">
            <v>12</v>
          </cell>
          <cell r="V249" t="str">
            <v>*</v>
          </cell>
        </row>
        <row r="250">
          <cell r="G250" t="str">
            <v>B.L. MARKETING SERVICES LIMITED</v>
          </cell>
          <cell r="I250">
            <v>0</v>
          </cell>
          <cell r="J250">
            <v>46250</v>
          </cell>
          <cell r="K250">
            <v>46250</v>
          </cell>
          <cell r="L250">
            <v>0</v>
          </cell>
          <cell r="N250">
            <v>0</v>
          </cell>
          <cell r="O250">
            <v>12</v>
          </cell>
          <cell r="V250" t="str">
            <v>*</v>
          </cell>
        </row>
        <row r="251">
          <cell r="G251" t="str">
            <v>INDIAN SURGICALS EQUIPMENT CO. PVT. LTD.</v>
          </cell>
          <cell r="I251">
            <v>-3.4</v>
          </cell>
          <cell r="J251">
            <v>0</v>
          </cell>
          <cell r="K251">
            <v>0</v>
          </cell>
          <cell r="L251">
            <v>-3.4</v>
          </cell>
          <cell r="N251">
            <v>-3.4</v>
          </cell>
          <cell r="O251">
            <v>12</v>
          </cell>
          <cell r="V251" t="str">
            <v>*</v>
          </cell>
        </row>
        <row r="252">
          <cell r="G252" t="str">
            <v>NITTIN PHARMA</v>
          </cell>
          <cell r="I252">
            <v>0</v>
          </cell>
          <cell r="J252">
            <v>0</v>
          </cell>
          <cell r="K252">
            <v>0</v>
          </cell>
          <cell r="L252">
            <v>0</v>
          </cell>
          <cell r="N252">
            <v>0</v>
          </cell>
          <cell r="O252">
            <v>12</v>
          </cell>
          <cell r="V252" t="str">
            <v>*</v>
          </cell>
        </row>
        <row r="253">
          <cell r="G253" t="str">
            <v>AHUJA SURICALS</v>
          </cell>
          <cell r="I253">
            <v>0</v>
          </cell>
          <cell r="J253">
            <v>0</v>
          </cell>
          <cell r="K253">
            <v>0</v>
          </cell>
          <cell r="L253">
            <v>0</v>
          </cell>
          <cell r="N253">
            <v>0</v>
          </cell>
          <cell r="O253">
            <v>12</v>
          </cell>
          <cell r="V253" t="str">
            <v>*</v>
          </cell>
        </row>
        <row r="254">
          <cell r="G254" t="str">
            <v>MR. SAWARANJEET SINGH</v>
          </cell>
          <cell r="I254">
            <v>-15.99</v>
          </cell>
          <cell r="J254">
            <v>0</v>
          </cell>
          <cell r="K254">
            <v>0</v>
          </cell>
          <cell r="L254">
            <v>-15.99</v>
          </cell>
          <cell r="N254">
            <v>-15.99</v>
          </cell>
          <cell r="O254">
            <v>12</v>
          </cell>
          <cell r="V254" t="str">
            <v>*</v>
          </cell>
        </row>
        <row r="255">
          <cell r="G255" t="str">
            <v>HI TECH PHARMA</v>
          </cell>
          <cell r="I255">
            <v>512499.44</v>
          </cell>
          <cell r="J255">
            <v>0</v>
          </cell>
          <cell r="K255">
            <v>0</v>
          </cell>
          <cell r="L255">
            <v>512499.44</v>
          </cell>
          <cell r="N255">
            <v>0</v>
          </cell>
          <cell r="O255">
            <v>12</v>
          </cell>
          <cell r="V255" t="str">
            <v>*</v>
          </cell>
        </row>
        <row r="256">
          <cell r="G256" t="str">
            <v>THE DIRECTOR GENERAL (DGAFMS)</v>
          </cell>
          <cell r="I256">
            <v>720395.4</v>
          </cell>
          <cell r="J256">
            <v>2756000</v>
          </cell>
          <cell r="K256">
            <v>720400</v>
          </cell>
          <cell r="L256">
            <v>2755995.4</v>
          </cell>
          <cell r="N256">
            <v>0</v>
          </cell>
          <cell r="O256">
            <v>12</v>
          </cell>
          <cell r="V256" t="str">
            <v>*</v>
          </cell>
        </row>
        <row r="257">
          <cell r="G257" t="str">
            <v>A.J.INTERNATION</v>
          </cell>
          <cell r="I257">
            <v>53370</v>
          </cell>
          <cell r="J257">
            <v>579700</v>
          </cell>
          <cell r="K257">
            <v>579850</v>
          </cell>
          <cell r="L257">
            <v>53220</v>
          </cell>
          <cell r="N257">
            <v>0</v>
          </cell>
          <cell r="O257">
            <v>12</v>
          </cell>
          <cell r="V257" t="str">
            <v>*</v>
          </cell>
        </row>
        <row r="258">
          <cell r="G258" t="str">
            <v>MEDISPHERE MARKETING LTD.</v>
          </cell>
          <cell r="I258">
            <v>2875100</v>
          </cell>
          <cell r="J258">
            <v>1375000</v>
          </cell>
          <cell r="K258">
            <v>0</v>
          </cell>
          <cell r="L258">
            <v>4250100</v>
          </cell>
          <cell r="N258">
            <v>0</v>
          </cell>
          <cell r="O258">
            <v>12</v>
          </cell>
          <cell r="V258" t="str">
            <v>*</v>
          </cell>
        </row>
        <row r="259">
          <cell r="G259" t="str">
            <v>N.C.S. NETWORK</v>
          </cell>
          <cell r="I259">
            <v>13500</v>
          </cell>
          <cell r="J259">
            <v>0</v>
          </cell>
          <cell r="K259">
            <v>0</v>
          </cell>
          <cell r="L259">
            <v>13500</v>
          </cell>
          <cell r="N259">
            <v>0</v>
          </cell>
          <cell r="O259">
            <v>12</v>
          </cell>
          <cell r="V259" t="str">
            <v>*</v>
          </cell>
        </row>
        <row r="260">
          <cell r="G260" t="str">
            <v>ORIENTAL SURGICALS WORKS</v>
          </cell>
          <cell r="I260">
            <v>-243000</v>
          </cell>
          <cell r="J260">
            <v>0</v>
          </cell>
          <cell r="K260">
            <v>0</v>
          </cell>
          <cell r="L260">
            <v>-243000</v>
          </cell>
          <cell r="N260">
            <v>-243000</v>
          </cell>
          <cell r="O260">
            <v>12</v>
          </cell>
          <cell r="V260" t="str">
            <v>*</v>
          </cell>
        </row>
        <row r="261">
          <cell r="G261" t="str">
            <v>ST. STEPHEN'S HOSPITAL</v>
          </cell>
          <cell r="I261">
            <v>712500</v>
          </cell>
          <cell r="J261">
            <v>0</v>
          </cell>
          <cell r="K261">
            <v>0</v>
          </cell>
          <cell r="L261">
            <v>712500</v>
          </cell>
          <cell r="N261">
            <v>0</v>
          </cell>
          <cell r="O261">
            <v>12</v>
          </cell>
          <cell r="V261" t="str">
            <v>*</v>
          </cell>
        </row>
        <row r="262">
          <cell r="G262" t="str">
            <v>TOPMAN MEDICAL PRODUCTS PVT. LTD</v>
          </cell>
          <cell r="I262">
            <v>382516</v>
          </cell>
          <cell r="J262">
            <v>111996</v>
          </cell>
          <cell r="K262">
            <v>111996</v>
          </cell>
          <cell r="L262">
            <v>382516</v>
          </cell>
          <cell r="N262">
            <v>0</v>
          </cell>
          <cell r="O262">
            <v>12</v>
          </cell>
          <cell r="V262" t="str">
            <v>*</v>
          </cell>
        </row>
        <row r="263">
          <cell r="G263" t="str">
            <v>SURGI NEEDS</v>
          </cell>
          <cell r="I263">
            <v>-1441</v>
          </cell>
          <cell r="J263">
            <v>57625</v>
          </cell>
          <cell r="K263">
            <v>57625</v>
          </cell>
          <cell r="L263">
            <v>-1441</v>
          </cell>
          <cell r="N263">
            <v>-1441</v>
          </cell>
          <cell r="O263">
            <v>12</v>
          </cell>
          <cell r="V263" t="str">
            <v>*</v>
          </cell>
        </row>
        <row r="264">
          <cell r="G264" t="str">
            <v>ADARSH DISTRIBUTORS</v>
          </cell>
          <cell r="I264">
            <v>-1103.5</v>
          </cell>
          <cell r="J264">
            <v>19008</v>
          </cell>
          <cell r="K264">
            <v>19000</v>
          </cell>
          <cell r="L264">
            <v>-1095.5</v>
          </cell>
          <cell r="N264">
            <v>-1095.5</v>
          </cell>
          <cell r="O264">
            <v>12</v>
          </cell>
          <cell r="V264" t="str">
            <v>*</v>
          </cell>
        </row>
        <row r="265">
          <cell r="G265" t="str">
            <v>ANIL TRADERS</v>
          </cell>
          <cell r="I265">
            <v>251316</v>
          </cell>
          <cell r="J265">
            <v>0</v>
          </cell>
          <cell r="K265">
            <v>0</v>
          </cell>
          <cell r="L265">
            <v>251316</v>
          </cell>
          <cell r="N265">
            <v>0</v>
          </cell>
          <cell r="O265">
            <v>12</v>
          </cell>
          <cell r="V265" t="str">
            <v>*</v>
          </cell>
        </row>
        <row r="266">
          <cell r="G266" t="str">
            <v>CITY DRUGS PVT.LTD</v>
          </cell>
          <cell r="I266">
            <v>-1400</v>
          </cell>
          <cell r="J266">
            <v>0</v>
          </cell>
          <cell r="K266">
            <v>0</v>
          </cell>
          <cell r="L266">
            <v>-1400</v>
          </cell>
          <cell r="N266">
            <v>-1400</v>
          </cell>
          <cell r="O266">
            <v>12</v>
          </cell>
          <cell r="V266" t="str">
            <v>*</v>
          </cell>
        </row>
        <row r="267">
          <cell r="G267" t="str">
            <v>ALFA MEDIAIDS</v>
          </cell>
          <cell r="I267">
            <v>-66</v>
          </cell>
          <cell r="J267">
            <v>0</v>
          </cell>
          <cell r="K267">
            <v>0</v>
          </cell>
          <cell r="L267">
            <v>-66</v>
          </cell>
          <cell r="N267">
            <v>-66</v>
          </cell>
          <cell r="O267">
            <v>12</v>
          </cell>
          <cell r="V267" t="str">
            <v>*</v>
          </cell>
        </row>
        <row r="268">
          <cell r="G268" t="str">
            <v>SUNRISE ENTERPRISES</v>
          </cell>
          <cell r="I268">
            <v>9500</v>
          </cell>
          <cell r="J268">
            <v>0</v>
          </cell>
          <cell r="K268">
            <v>0</v>
          </cell>
          <cell r="L268">
            <v>9500</v>
          </cell>
          <cell r="N268">
            <v>0</v>
          </cell>
          <cell r="O268">
            <v>12</v>
          </cell>
          <cell r="V268" t="str">
            <v>*</v>
          </cell>
        </row>
        <row r="269">
          <cell r="G269" t="str">
            <v>JYOTHI SURGICALS</v>
          </cell>
          <cell r="I269">
            <v>-250</v>
          </cell>
          <cell r="J269">
            <v>0</v>
          </cell>
          <cell r="K269">
            <v>0</v>
          </cell>
          <cell r="L269">
            <v>-250</v>
          </cell>
          <cell r="N269">
            <v>-250</v>
          </cell>
          <cell r="O269">
            <v>12</v>
          </cell>
          <cell r="V269" t="str">
            <v>*</v>
          </cell>
        </row>
        <row r="270">
          <cell r="G270" t="str">
            <v>ARORA MEDICAL AGENCIES</v>
          </cell>
          <cell r="I270">
            <v>62000</v>
          </cell>
          <cell r="J270">
            <v>0</v>
          </cell>
          <cell r="K270">
            <v>0</v>
          </cell>
          <cell r="L270">
            <v>62000</v>
          </cell>
          <cell r="N270">
            <v>0</v>
          </cell>
          <cell r="O270">
            <v>12</v>
          </cell>
          <cell r="V270" t="str">
            <v>*</v>
          </cell>
        </row>
        <row r="271">
          <cell r="G271" t="str">
            <v>PEARS SURGICAL WORKS</v>
          </cell>
          <cell r="I271">
            <v>-65805</v>
          </cell>
          <cell r="J271">
            <v>320235</v>
          </cell>
          <cell r="K271">
            <v>307500</v>
          </cell>
          <cell r="L271">
            <v>-53070</v>
          </cell>
          <cell r="N271">
            <v>-53070</v>
          </cell>
          <cell r="O271">
            <v>12</v>
          </cell>
          <cell r="V271" t="str">
            <v>*</v>
          </cell>
        </row>
        <row r="272">
          <cell r="G272" t="str">
            <v>ROYAL ASSOCIATES,</v>
          </cell>
          <cell r="I272">
            <v>-26503.4</v>
          </cell>
          <cell r="J272">
            <v>0</v>
          </cell>
          <cell r="K272">
            <v>0</v>
          </cell>
          <cell r="L272">
            <v>-26503.4</v>
          </cell>
          <cell r="N272">
            <v>-26503.4</v>
          </cell>
          <cell r="O272">
            <v>12</v>
          </cell>
          <cell r="V272" t="str">
            <v>*</v>
          </cell>
        </row>
        <row r="273">
          <cell r="G273" t="str">
            <v>JINDAL SURGICALS &amp; MEDICO</v>
          </cell>
          <cell r="I273">
            <v>-94500</v>
          </cell>
          <cell r="J273">
            <v>94500</v>
          </cell>
          <cell r="K273">
            <v>0</v>
          </cell>
          <cell r="L273">
            <v>0</v>
          </cell>
          <cell r="N273">
            <v>0</v>
          </cell>
          <cell r="O273">
            <v>12</v>
          </cell>
          <cell r="V273" t="str">
            <v>*</v>
          </cell>
        </row>
        <row r="274">
          <cell r="G274" t="str">
            <v>MANGALAM SALES POINT</v>
          </cell>
          <cell r="I274">
            <v>0</v>
          </cell>
          <cell r="J274">
            <v>168480</v>
          </cell>
          <cell r="K274">
            <v>56160</v>
          </cell>
          <cell r="L274">
            <v>112320</v>
          </cell>
          <cell r="N274">
            <v>0</v>
          </cell>
          <cell r="O274">
            <v>12</v>
          </cell>
          <cell r="V274" t="str">
            <v>*</v>
          </cell>
        </row>
        <row r="275">
          <cell r="G275" t="str">
            <v>MEDICO SURGICALS</v>
          </cell>
          <cell r="I275">
            <v>72</v>
          </cell>
          <cell r="J275">
            <v>0</v>
          </cell>
          <cell r="K275">
            <v>0</v>
          </cell>
          <cell r="L275">
            <v>72</v>
          </cell>
          <cell r="N275">
            <v>0</v>
          </cell>
          <cell r="O275">
            <v>12</v>
          </cell>
          <cell r="V275" t="str">
            <v>*</v>
          </cell>
        </row>
        <row r="276">
          <cell r="G276" t="str">
            <v>ISHA TRADING COMPANY</v>
          </cell>
          <cell r="I276">
            <v>0</v>
          </cell>
          <cell r="J276">
            <v>0</v>
          </cell>
          <cell r="K276">
            <v>0</v>
          </cell>
          <cell r="L276">
            <v>0</v>
          </cell>
          <cell r="N276">
            <v>0</v>
          </cell>
          <cell r="O276">
            <v>12</v>
          </cell>
          <cell r="V276" t="str">
            <v>*</v>
          </cell>
        </row>
        <row r="277">
          <cell r="G277" t="str">
            <v>COULSON &amp; CO</v>
          </cell>
          <cell r="I277">
            <v>17774.900000000001</v>
          </cell>
          <cell r="J277">
            <v>0</v>
          </cell>
          <cell r="K277">
            <v>0</v>
          </cell>
          <cell r="L277">
            <v>17774.900000000001</v>
          </cell>
          <cell r="N277">
            <v>0</v>
          </cell>
          <cell r="O277">
            <v>12</v>
          </cell>
          <cell r="V277" t="str">
            <v>*</v>
          </cell>
        </row>
        <row r="278">
          <cell r="G278" t="str">
            <v>MEDIVET</v>
          </cell>
          <cell r="I278">
            <v>-1321.6</v>
          </cell>
          <cell r="J278">
            <v>0</v>
          </cell>
          <cell r="K278">
            <v>0</v>
          </cell>
          <cell r="L278">
            <v>-1321.6</v>
          </cell>
          <cell r="N278">
            <v>-1321.6</v>
          </cell>
          <cell r="O278">
            <v>12</v>
          </cell>
          <cell r="V278" t="str">
            <v>*</v>
          </cell>
        </row>
        <row r="279">
          <cell r="G279" t="str">
            <v>M J R J MEDICHEM SURGICAL</v>
          </cell>
          <cell r="I279">
            <v>0</v>
          </cell>
          <cell r="J279">
            <v>156250</v>
          </cell>
          <cell r="K279">
            <v>156250</v>
          </cell>
          <cell r="L279">
            <v>0</v>
          </cell>
          <cell r="N279">
            <v>0</v>
          </cell>
          <cell r="O279">
            <v>12</v>
          </cell>
          <cell r="V279" t="str">
            <v>*</v>
          </cell>
        </row>
        <row r="280">
          <cell r="G280" t="str">
            <v>AVIDEEP PHARMA AND DIAGNOSTIC DISTRIBUTORS</v>
          </cell>
          <cell r="I280">
            <v>-61993.8</v>
          </cell>
          <cell r="J280">
            <v>74488</v>
          </cell>
          <cell r="K280">
            <v>14000</v>
          </cell>
          <cell r="L280">
            <v>-1505.8</v>
          </cell>
          <cell r="N280">
            <v>-1505.8</v>
          </cell>
          <cell r="O280">
            <v>12</v>
          </cell>
          <cell r="V280" t="str">
            <v>*</v>
          </cell>
        </row>
        <row r="281">
          <cell r="G281" t="str">
            <v>EXCEL PHARMACEUTICALS</v>
          </cell>
          <cell r="I281">
            <v>0</v>
          </cell>
          <cell r="J281">
            <v>31250</v>
          </cell>
          <cell r="K281">
            <v>50750</v>
          </cell>
          <cell r="L281">
            <v>-19500</v>
          </cell>
          <cell r="N281">
            <v>-19500</v>
          </cell>
          <cell r="O281">
            <v>12</v>
          </cell>
          <cell r="V281" t="str">
            <v>*</v>
          </cell>
        </row>
        <row r="282">
          <cell r="G282" t="str">
            <v>CHAITANYA PHARMA</v>
          </cell>
          <cell r="I282">
            <v>1403.81</v>
          </cell>
          <cell r="J282">
            <v>352875</v>
          </cell>
          <cell r="K282">
            <v>130700</v>
          </cell>
          <cell r="L282">
            <v>223578.81</v>
          </cell>
          <cell r="N282">
            <v>0</v>
          </cell>
          <cell r="O282">
            <v>12</v>
          </cell>
          <cell r="V282" t="str">
            <v>*</v>
          </cell>
        </row>
        <row r="283">
          <cell r="G283" t="str">
            <v>DEEPAK AGENCIES</v>
          </cell>
          <cell r="I283">
            <v>-0.96</v>
          </cell>
          <cell r="J283">
            <v>0</v>
          </cell>
          <cell r="K283">
            <v>0</v>
          </cell>
          <cell r="L283">
            <v>-0.96</v>
          </cell>
          <cell r="N283">
            <v>-0.96</v>
          </cell>
          <cell r="O283">
            <v>12</v>
          </cell>
          <cell r="V283" t="str">
            <v>*</v>
          </cell>
        </row>
        <row r="284">
          <cell r="G284" t="str">
            <v>SHIVAM DRUGS PVT.LTD.</v>
          </cell>
          <cell r="I284">
            <v>0</v>
          </cell>
          <cell r="J284">
            <v>371294.64</v>
          </cell>
          <cell r="K284">
            <v>307500</v>
          </cell>
          <cell r="L284">
            <v>63794.64</v>
          </cell>
          <cell r="N284">
            <v>0</v>
          </cell>
          <cell r="O284">
            <v>12</v>
          </cell>
          <cell r="V284" t="str">
            <v>*</v>
          </cell>
        </row>
        <row r="285">
          <cell r="G285" t="str">
            <v>REGENCY HOSPITAL LTD.,</v>
          </cell>
          <cell r="I285">
            <v>-10560</v>
          </cell>
          <cell r="J285">
            <v>0</v>
          </cell>
          <cell r="K285">
            <v>0</v>
          </cell>
          <cell r="L285">
            <v>-10560</v>
          </cell>
          <cell r="N285">
            <v>-10560</v>
          </cell>
          <cell r="O285">
            <v>12</v>
          </cell>
          <cell r="V285" t="str">
            <v>*</v>
          </cell>
        </row>
        <row r="286">
          <cell r="G286" t="str">
            <v>KANPUR MEDICAL CENTRE PVT. LTD.,</v>
          </cell>
          <cell r="I286">
            <v>0</v>
          </cell>
          <cell r="J286">
            <v>0</v>
          </cell>
          <cell r="K286">
            <v>0</v>
          </cell>
          <cell r="L286">
            <v>0</v>
          </cell>
          <cell r="N286">
            <v>0</v>
          </cell>
          <cell r="O286">
            <v>12</v>
          </cell>
          <cell r="V286" t="str">
            <v>*</v>
          </cell>
        </row>
        <row r="287">
          <cell r="G287" t="str">
            <v>DR. ARCHANA BHADAURIA</v>
          </cell>
          <cell r="I287">
            <v>-59999.99</v>
          </cell>
          <cell r="J287">
            <v>0</v>
          </cell>
          <cell r="K287">
            <v>0</v>
          </cell>
          <cell r="L287">
            <v>-59999.99</v>
          </cell>
          <cell r="N287">
            <v>-59999.99</v>
          </cell>
          <cell r="O287">
            <v>12</v>
          </cell>
          <cell r="V287" t="str">
            <v>*</v>
          </cell>
        </row>
        <row r="288">
          <cell r="G288" t="str">
            <v>A.G. ENTERPRISES</v>
          </cell>
          <cell r="I288">
            <v>-59273.760000000002</v>
          </cell>
          <cell r="J288">
            <v>0</v>
          </cell>
          <cell r="K288">
            <v>0</v>
          </cell>
          <cell r="L288">
            <v>-59273.760000000002</v>
          </cell>
          <cell r="N288">
            <v>-59273.760000000002</v>
          </cell>
          <cell r="O288">
            <v>12</v>
          </cell>
          <cell r="V288" t="str">
            <v>*</v>
          </cell>
        </row>
        <row r="289">
          <cell r="G289" t="str">
            <v>LATA ENTERPRISES</v>
          </cell>
          <cell r="I289">
            <v>205954.55</v>
          </cell>
          <cell r="J289">
            <v>129205.6</v>
          </cell>
          <cell r="K289">
            <v>335000</v>
          </cell>
          <cell r="L289">
            <v>160.15</v>
          </cell>
          <cell r="N289">
            <v>0</v>
          </cell>
          <cell r="O289">
            <v>12</v>
          </cell>
          <cell r="V289" t="str">
            <v>*</v>
          </cell>
        </row>
        <row r="290">
          <cell r="G290" t="str">
            <v>MAYUR DISTRIBUTORS</v>
          </cell>
          <cell r="I290">
            <v>-484.2</v>
          </cell>
          <cell r="J290">
            <v>0</v>
          </cell>
          <cell r="K290">
            <v>0</v>
          </cell>
          <cell r="L290">
            <v>-484.2</v>
          </cell>
          <cell r="N290">
            <v>-484.2</v>
          </cell>
          <cell r="O290">
            <v>12</v>
          </cell>
          <cell r="V290" t="str">
            <v>*</v>
          </cell>
        </row>
        <row r="291">
          <cell r="G291" t="str">
            <v>SHIV BIOMEDICALS</v>
          </cell>
          <cell r="I291">
            <v>-380</v>
          </cell>
          <cell r="J291">
            <v>0</v>
          </cell>
          <cell r="K291">
            <v>0</v>
          </cell>
          <cell r="L291">
            <v>-380</v>
          </cell>
          <cell r="N291">
            <v>-380</v>
          </cell>
          <cell r="O291">
            <v>12</v>
          </cell>
          <cell r="V291" t="str">
            <v>*</v>
          </cell>
        </row>
        <row r="292">
          <cell r="G292" t="str">
            <v>INSTACORP INTERNATIONAL</v>
          </cell>
          <cell r="I292">
            <v>682.96</v>
          </cell>
          <cell r="J292">
            <v>117975</v>
          </cell>
          <cell r="K292">
            <v>119150</v>
          </cell>
          <cell r="L292">
            <v>-492.04</v>
          </cell>
          <cell r="N292">
            <v>-492.04</v>
          </cell>
          <cell r="O292">
            <v>12</v>
          </cell>
          <cell r="V292" t="str">
            <v>*</v>
          </cell>
        </row>
        <row r="293">
          <cell r="G293" t="str">
            <v>COMMAND HOSPITAL</v>
          </cell>
          <cell r="I293">
            <v>-44435</v>
          </cell>
          <cell r="J293">
            <v>0</v>
          </cell>
          <cell r="K293">
            <v>20000</v>
          </cell>
          <cell r="L293">
            <v>-64435</v>
          </cell>
          <cell r="N293">
            <v>-64435</v>
          </cell>
          <cell r="O293">
            <v>12</v>
          </cell>
          <cell r="V293" t="str">
            <v>*</v>
          </cell>
        </row>
        <row r="294">
          <cell r="G294" t="str">
            <v>NEW AJAI MEDICAL &amp; SURGICAL PALACE</v>
          </cell>
          <cell r="I294">
            <v>32396</v>
          </cell>
          <cell r="J294">
            <v>0</v>
          </cell>
          <cell r="K294">
            <v>0</v>
          </cell>
          <cell r="L294">
            <v>32396</v>
          </cell>
          <cell r="N294">
            <v>0</v>
          </cell>
          <cell r="O294">
            <v>12</v>
          </cell>
          <cell r="V294" t="str">
            <v>*</v>
          </cell>
        </row>
        <row r="295">
          <cell r="G295" t="str">
            <v>KAPSONS PHARMACEUTICALS &amp; ALLIED DIST.</v>
          </cell>
          <cell r="I295">
            <v>0</v>
          </cell>
          <cell r="J295">
            <v>0</v>
          </cell>
          <cell r="K295">
            <v>0</v>
          </cell>
          <cell r="L295">
            <v>0</v>
          </cell>
          <cell r="N295">
            <v>0</v>
          </cell>
          <cell r="O295">
            <v>12</v>
          </cell>
          <cell r="V295" t="str">
            <v>*</v>
          </cell>
        </row>
        <row r="296">
          <cell r="G296" t="str">
            <v>KHALSA DISTRIBUTORS</v>
          </cell>
          <cell r="I296">
            <v>437468.75</v>
          </cell>
          <cell r="J296">
            <v>0</v>
          </cell>
          <cell r="K296">
            <v>0</v>
          </cell>
          <cell r="L296">
            <v>437468.75</v>
          </cell>
          <cell r="N296">
            <v>0</v>
          </cell>
          <cell r="O296">
            <v>12</v>
          </cell>
          <cell r="V296" t="str">
            <v>*</v>
          </cell>
        </row>
        <row r="297">
          <cell r="G297" t="str">
            <v>UNION MEDICARE</v>
          </cell>
          <cell r="I297">
            <v>-60000</v>
          </cell>
          <cell r="J297">
            <v>56160</v>
          </cell>
          <cell r="K297">
            <v>0</v>
          </cell>
          <cell r="L297">
            <v>-3840</v>
          </cell>
          <cell r="N297">
            <v>-3840</v>
          </cell>
          <cell r="O297">
            <v>12</v>
          </cell>
          <cell r="V297" t="str">
            <v>*</v>
          </cell>
        </row>
        <row r="298">
          <cell r="G298" t="str">
            <v>GOPAL SURGICALS</v>
          </cell>
          <cell r="I298">
            <v>-33610.400000000001</v>
          </cell>
          <cell r="J298">
            <v>54887</v>
          </cell>
          <cell r="K298">
            <v>30250</v>
          </cell>
          <cell r="L298">
            <v>-8973.4</v>
          </cell>
          <cell r="N298">
            <v>-8973.4</v>
          </cell>
          <cell r="O298">
            <v>12</v>
          </cell>
          <cell r="V298" t="str">
            <v>*</v>
          </cell>
        </row>
        <row r="299">
          <cell r="G299" t="str">
            <v>KHALSA PHARMACEUTICALS</v>
          </cell>
          <cell r="I299">
            <v>0</v>
          </cell>
          <cell r="J299">
            <v>0</v>
          </cell>
          <cell r="K299">
            <v>0</v>
          </cell>
          <cell r="L299">
            <v>0</v>
          </cell>
          <cell r="N299">
            <v>0</v>
          </cell>
          <cell r="O299">
            <v>12</v>
          </cell>
          <cell r="V299" t="str">
            <v>*</v>
          </cell>
        </row>
        <row r="300">
          <cell r="G300" t="str">
            <v>SHIVAM ENTERPRISES</v>
          </cell>
          <cell r="I300">
            <v>0</v>
          </cell>
          <cell r="J300">
            <v>61640</v>
          </cell>
          <cell r="K300">
            <v>61672</v>
          </cell>
          <cell r="L300">
            <v>-32</v>
          </cell>
          <cell r="N300">
            <v>-32</v>
          </cell>
          <cell r="O300">
            <v>12</v>
          </cell>
          <cell r="V300" t="str">
            <v>*</v>
          </cell>
        </row>
        <row r="301">
          <cell r="G301" t="str">
            <v>SANJAY GANDHI POST GRADUATE INSTITUTE</v>
          </cell>
          <cell r="I301">
            <v>1232797.49</v>
          </cell>
          <cell r="J301">
            <v>0</v>
          </cell>
          <cell r="K301">
            <v>0</v>
          </cell>
          <cell r="L301">
            <v>1232797.49</v>
          </cell>
          <cell r="N301">
            <v>0</v>
          </cell>
          <cell r="O301">
            <v>12</v>
          </cell>
          <cell r="V301" t="str">
            <v>*</v>
          </cell>
        </row>
        <row r="302">
          <cell r="G302" t="str">
            <v>D.V.T.ENTERPRISES</v>
          </cell>
          <cell r="I302">
            <v>0</v>
          </cell>
          <cell r="J302">
            <v>0</v>
          </cell>
          <cell r="K302">
            <v>0</v>
          </cell>
          <cell r="L302">
            <v>0</v>
          </cell>
          <cell r="N302">
            <v>0</v>
          </cell>
          <cell r="O302">
            <v>12</v>
          </cell>
          <cell r="V302" t="str">
            <v>*</v>
          </cell>
        </row>
        <row r="303">
          <cell r="G303" t="str">
            <v>SEWA HOSPITAL</v>
          </cell>
          <cell r="I303">
            <v>-27988.58</v>
          </cell>
          <cell r="J303">
            <v>0</v>
          </cell>
          <cell r="K303">
            <v>0</v>
          </cell>
          <cell r="L303">
            <v>-27988.58</v>
          </cell>
          <cell r="N303">
            <v>-27988.58</v>
          </cell>
          <cell r="O303">
            <v>12</v>
          </cell>
          <cell r="V303" t="str">
            <v>*</v>
          </cell>
        </row>
        <row r="304">
          <cell r="G304" t="str">
            <v>DAYANAND MEDICAL COLLEGE &amp; HOSPITAL</v>
          </cell>
          <cell r="I304">
            <v>22834</v>
          </cell>
          <cell r="J304">
            <v>0</v>
          </cell>
          <cell r="K304">
            <v>0</v>
          </cell>
          <cell r="L304">
            <v>22834</v>
          </cell>
          <cell r="N304">
            <v>0</v>
          </cell>
          <cell r="O304">
            <v>12</v>
          </cell>
          <cell r="V304" t="str">
            <v>*</v>
          </cell>
        </row>
        <row r="305">
          <cell r="G305" t="str">
            <v>SUMIT SURGICALS</v>
          </cell>
          <cell r="I305">
            <v>-104.13</v>
          </cell>
          <cell r="J305">
            <v>0</v>
          </cell>
          <cell r="K305">
            <v>0</v>
          </cell>
          <cell r="L305">
            <v>-104.13</v>
          </cell>
          <cell r="N305">
            <v>-104.13</v>
          </cell>
          <cell r="O305">
            <v>12</v>
          </cell>
          <cell r="V305" t="str">
            <v>*</v>
          </cell>
        </row>
        <row r="306">
          <cell r="G306" t="str">
            <v>AMAN ENTERPRISES</v>
          </cell>
          <cell r="I306">
            <v>-196</v>
          </cell>
          <cell r="J306">
            <v>0</v>
          </cell>
          <cell r="K306">
            <v>0</v>
          </cell>
          <cell r="L306">
            <v>-196</v>
          </cell>
          <cell r="N306">
            <v>-196</v>
          </cell>
          <cell r="O306">
            <v>12</v>
          </cell>
          <cell r="V306" t="str">
            <v>*</v>
          </cell>
        </row>
        <row r="307">
          <cell r="G307" t="str">
            <v>DEEPAK HOSPITALS</v>
          </cell>
          <cell r="I307">
            <v>1900260</v>
          </cell>
          <cell r="J307">
            <v>0</v>
          </cell>
          <cell r="K307">
            <v>0</v>
          </cell>
          <cell r="L307">
            <v>1900260</v>
          </cell>
          <cell r="N307">
            <v>0</v>
          </cell>
          <cell r="O307">
            <v>12</v>
          </cell>
          <cell r="V307" t="str">
            <v>*</v>
          </cell>
        </row>
        <row r="308">
          <cell r="G308" t="str">
            <v>LIFE CARE SYSTEMS</v>
          </cell>
          <cell r="I308">
            <v>55110.59</v>
          </cell>
          <cell r="J308">
            <v>0</v>
          </cell>
          <cell r="K308">
            <v>0</v>
          </cell>
          <cell r="L308">
            <v>55110.59</v>
          </cell>
          <cell r="N308">
            <v>0</v>
          </cell>
          <cell r="O308">
            <v>12</v>
          </cell>
          <cell r="V308" t="str">
            <v>*</v>
          </cell>
        </row>
        <row r="309">
          <cell r="G309" t="str">
            <v>NEERAJ MEDICAL AGENCIES</v>
          </cell>
          <cell r="I309">
            <v>200386.99</v>
          </cell>
          <cell r="J309">
            <v>0</v>
          </cell>
          <cell r="K309">
            <v>250000</v>
          </cell>
          <cell r="L309">
            <v>-49613.01</v>
          </cell>
          <cell r="N309">
            <v>-49613.01</v>
          </cell>
          <cell r="O309">
            <v>12</v>
          </cell>
          <cell r="V309" t="str">
            <v>*</v>
          </cell>
        </row>
        <row r="310">
          <cell r="G310" t="str">
            <v>CHRISTIAN MEDICAL COLLEGE</v>
          </cell>
          <cell r="I310">
            <v>765000.04</v>
          </cell>
          <cell r="J310">
            <v>0</v>
          </cell>
          <cell r="K310">
            <v>0</v>
          </cell>
          <cell r="L310">
            <v>765000.04</v>
          </cell>
          <cell r="N310">
            <v>0</v>
          </cell>
          <cell r="O310">
            <v>12</v>
          </cell>
          <cell r="V310" t="str">
            <v>*</v>
          </cell>
        </row>
        <row r="311">
          <cell r="G311" t="str">
            <v>G.T.B AGENCIES</v>
          </cell>
          <cell r="I311">
            <v>-1641</v>
          </cell>
          <cell r="J311">
            <v>0</v>
          </cell>
          <cell r="K311">
            <v>0</v>
          </cell>
          <cell r="L311">
            <v>-1641</v>
          </cell>
          <cell r="N311">
            <v>-1641</v>
          </cell>
          <cell r="O311">
            <v>12</v>
          </cell>
          <cell r="V311" t="str">
            <v>*</v>
          </cell>
        </row>
        <row r="312">
          <cell r="G312" t="str">
            <v>DR.PREM HOSPITAL(PVT.)LTD.</v>
          </cell>
          <cell r="I312">
            <v>20000.009999999998</v>
          </cell>
          <cell r="J312">
            <v>0</v>
          </cell>
          <cell r="K312">
            <v>0</v>
          </cell>
          <cell r="L312">
            <v>20000.009999999998</v>
          </cell>
          <cell r="N312">
            <v>0</v>
          </cell>
          <cell r="O312">
            <v>12</v>
          </cell>
          <cell r="V312" t="str">
            <v>*</v>
          </cell>
        </row>
        <row r="313">
          <cell r="G313" t="str">
            <v>KOHLI ENTERPRISES</v>
          </cell>
          <cell r="I313">
            <v>-5416.88</v>
          </cell>
          <cell r="J313">
            <v>0</v>
          </cell>
          <cell r="K313">
            <v>0</v>
          </cell>
          <cell r="L313">
            <v>-5416.88</v>
          </cell>
          <cell r="N313">
            <v>-5416.88</v>
          </cell>
          <cell r="O313">
            <v>12</v>
          </cell>
          <cell r="V313" t="str">
            <v>*</v>
          </cell>
        </row>
        <row r="314">
          <cell r="G314" t="str">
            <v>AROMA SURGICAL HOUSE.</v>
          </cell>
          <cell r="I314">
            <v>0</v>
          </cell>
          <cell r="J314">
            <v>0</v>
          </cell>
          <cell r="K314">
            <v>0</v>
          </cell>
          <cell r="L314">
            <v>0</v>
          </cell>
          <cell r="N314">
            <v>0</v>
          </cell>
          <cell r="O314">
            <v>12</v>
          </cell>
          <cell r="V314" t="str">
            <v>*</v>
          </cell>
        </row>
        <row r="315">
          <cell r="G315" t="str">
            <v>KARAN MARKETING CO.</v>
          </cell>
          <cell r="I315">
            <v>0</v>
          </cell>
          <cell r="J315">
            <v>0</v>
          </cell>
          <cell r="K315">
            <v>0</v>
          </cell>
          <cell r="L315">
            <v>0</v>
          </cell>
          <cell r="N315">
            <v>0</v>
          </cell>
          <cell r="O315">
            <v>12</v>
          </cell>
          <cell r="V315" t="str">
            <v>*</v>
          </cell>
        </row>
        <row r="316">
          <cell r="G316" t="str">
            <v>MANGALAM MEDICOS</v>
          </cell>
          <cell r="I316">
            <v>0</v>
          </cell>
          <cell r="J316">
            <v>0</v>
          </cell>
          <cell r="K316">
            <v>0</v>
          </cell>
          <cell r="L316">
            <v>0</v>
          </cell>
          <cell r="N316">
            <v>0</v>
          </cell>
          <cell r="O316">
            <v>12</v>
          </cell>
          <cell r="V316" t="str">
            <v>*</v>
          </cell>
        </row>
        <row r="317">
          <cell r="G317" t="str">
            <v>S.K.ENTERPRISES</v>
          </cell>
          <cell r="I317">
            <v>0</v>
          </cell>
          <cell r="J317">
            <v>0</v>
          </cell>
          <cell r="K317">
            <v>0</v>
          </cell>
          <cell r="L317">
            <v>0</v>
          </cell>
          <cell r="N317">
            <v>0</v>
          </cell>
          <cell r="O317">
            <v>12</v>
          </cell>
          <cell r="V317" t="str">
            <v>*</v>
          </cell>
        </row>
        <row r="318">
          <cell r="G318" t="str">
            <v>BHARAT TRADES AGENCY</v>
          </cell>
          <cell r="I318">
            <v>-3053.89</v>
          </cell>
          <cell r="J318">
            <v>3053.89</v>
          </cell>
          <cell r="K318">
            <v>0</v>
          </cell>
          <cell r="L318">
            <v>0</v>
          </cell>
          <cell r="N318">
            <v>0</v>
          </cell>
          <cell r="O318">
            <v>12</v>
          </cell>
          <cell r="V318" t="str">
            <v>*</v>
          </cell>
        </row>
        <row r="319">
          <cell r="G319" t="str">
            <v>MEDIN SURGE HOUSE</v>
          </cell>
          <cell r="I319">
            <v>-1197</v>
          </cell>
          <cell r="J319">
            <v>0</v>
          </cell>
          <cell r="K319">
            <v>0</v>
          </cell>
          <cell r="L319">
            <v>-1197</v>
          </cell>
          <cell r="N319">
            <v>-1197</v>
          </cell>
          <cell r="O319">
            <v>12</v>
          </cell>
          <cell r="V319" t="str">
            <v>*</v>
          </cell>
        </row>
        <row r="320">
          <cell r="G320" t="str">
            <v>INDIAN DRUG &amp; PHARMACEUTICAL AGENCIES</v>
          </cell>
          <cell r="I320">
            <v>-6312.95</v>
          </cell>
          <cell r="J320">
            <v>0</v>
          </cell>
          <cell r="K320">
            <v>0</v>
          </cell>
          <cell r="L320">
            <v>-6312.95</v>
          </cell>
          <cell r="N320">
            <v>-6312.95</v>
          </cell>
          <cell r="O320">
            <v>12</v>
          </cell>
          <cell r="V320" t="str">
            <v>*</v>
          </cell>
        </row>
        <row r="321">
          <cell r="G321" t="str">
            <v>BHARAT MEDICAL INSTRUMENTS (P) LTD.</v>
          </cell>
          <cell r="I321">
            <v>-0.12</v>
          </cell>
          <cell r="J321">
            <v>220043.85</v>
          </cell>
          <cell r="K321">
            <v>233959.89</v>
          </cell>
          <cell r="L321">
            <v>-13916.16</v>
          </cell>
          <cell r="N321">
            <v>-13916.16</v>
          </cell>
          <cell r="O321">
            <v>12</v>
          </cell>
          <cell r="V321" t="str">
            <v>*</v>
          </cell>
        </row>
        <row r="322">
          <cell r="G322" t="str">
            <v>BANGALORE SURGICALS</v>
          </cell>
          <cell r="I322">
            <v>3433069.88</v>
          </cell>
          <cell r="J322">
            <v>2075640</v>
          </cell>
          <cell r="K322">
            <v>66560</v>
          </cell>
          <cell r="L322">
            <v>5442149.8799999999</v>
          </cell>
          <cell r="N322">
            <v>0</v>
          </cell>
          <cell r="O322">
            <v>12</v>
          </cell>
          <cell r="V322" t="str">
            <v>*</v>
          </cell>
        </row>
        <row r="323">
          <cell r="G323" t="str">
            <v>ASHWINI BIOTECH</v>
          </cell>
          <cell r="I323">
            <v>-13160.75</v>
          </cell>
          <cell r="J323">
            <v>0</v>
          </cell>
          <cell r="K323">
            <v>0</v>
          </cell>
          <cell r="L323">
            <v>-13160.75</v>
          </cell>
          <cell r="N323">
            <v>-13160.75</v>
          </cell>
          <cell r="O323">
            <v>12</v>
          </cell>
          <cell r="V323" t="str">
            <v>*</v>
          </cell>
        </row>
        <row r="324">
          <cell r="G324" t="str">
            <v>ASHWINI RENAL CARE PVT. LTD.</v>
          </cell>
          <cell r="I324">
            <v>268745.24</v>
          </cell>
          <cell r="J324">
            <v>225608.47</v>
          </cell>
          <cell r="K324">
            <v>0</v>
          </cell>
          <cell r="L324">
            <v>494353.71</v>
          </cell>
          <cell r="N324">
            <v>0</v>
          </cell>
          <cell r="O324">
            <v>12</v>
          </cell>
          <cell r="V324" t="str">
            <v>*</v>
          </cell>
        </row>
        <row r="325">
          <cell r="G325" t="str">
            <v>MANGAL AGENCIES</v>
          </cell>
          <cell r="I325">
            <v>184857.02</v>
          </cell>
          <cell r="J325">
            <v>0</v>
          </cell>
          <cell r="K325">
            <v>0</v>
          </cell>
          <cell r="L325">
            <v>184857.02</v>
          </cell>
          <cell r="N325">
            <v>0</v>
          </cell>
          <cell r="O325">
            <v>12</v>
          </cell>
          <cell r="V325" t="str">
            <v>*</v>
          </cell>
        </row>
        <row r="326">
          <cell r="G326" t="str">
            <v>PHARMAX  DISTRIBUTORS</v>
          </cell>
          <cell r="I326">
            <v>57062.23</v>
          </cell>
          <cell r="J326">
            <v>0</v>
          </cell>
          <cell r="K326">
            <v>0</v>
          </cell>
          <cell r="L326">
            <v>57062.23</v>
          </cell>
          <cell r="N326">
            <v>0</v>
          </cell>
          <cell r="O326">
            <v>12</v>
          </cell>
          <cell r="V326" t="str">
            <v>*</v>
          </cell>
        </row>
        <row r="327">
          <cell r="G327" t="str">
            <v>MERLINHAWK ASSOCIATES PVT.LTD.</v>
          </cell>
          <cell r="I327">
            <v>5865158.4400000004</v>
          </cell>
          <cell r="J327">
            <v>2496737.56</v>
          </cell>
          <cell r="K327">
            <v>1423292.42</v>
          </cell>
          <cell r="L327">
            <v>6938603.5800000001</v>
          </cell>
          <cell r="N327">
            <v>0</v>
          </cell>
          <cell r="O327">
            <v>12</v>
          </cell>
          <cell r="V327" t="str">
            <v>*</v>
          </cell>
        </row>
        <row r="328">
          <cell r="G328" t="str">
            <v>BALAJI ENTERPRISES</v>
          </cell>
          <cell r="I328">
            <v>605.75</v>
          </cell>
          <cell r="J328">
            <v>0</v>
          </cell>
          <cell r="K328">
            <v>0</v>
          </cell>
          <cell r="L328">
            <v>605.75</v>
          </cell>
          <cell r="N328">
            <v>0</v>
          </cell>
          <cell r="O328">
            <v>12</v>
          </cell>
          <cell r="V328" t="str">
            <v>*</v>
          </cell>
        </row>
        <row r="329">
          <cell r="G329" t="str">
            <v>PRERANA SALES</v>
          </cell>
          <cell r="I329">
            <v>37806</v>
          </cell>
          <cell r="J329">
            <v>182580</v>
          </cell>
          <cell r="K329">
            <v>182240</v>
          </cell>
          <cell r="L329">
            <v>38146</v>
          </cell>
          <cell r="N329">
            <v>0</v>
          </cell>
          <cell r="O329">
            <v>12</v>
          </cell>
          <cell r="V329" t="str">
            <v>*</v>
          </cell>
        </row>
        <row r="330">
          <cell r="G330" t="str">
            <v>HOSTO MEDICARE PVT LTD.</v>
          </cell>
          <cell r="I330">
            <v>0</v>
          </cell>
          <cell r="J330">
            <v>0</v>
          </cell>
          <cell r="K330">
            <v>0</v>
          </cell>
          <cell r="L330">
            <v>0</v>
          </cell>
          <cell r="N330">
            <v>0</v>
          </cell>
          <cell r="O330">
            <v>12</v>
          </cell>
          <cell r="V330" t="str">
            <v>*</v>
          </cell>
        </row>
        <row r="331">
          <cell r="G331" t="str">
            <v>SHREE PARSHAVA DRUG HOUSE</v>
          </cell>
          <cell r="I331">
            <v>-629.66</v>
          </cell>
          <cell r="J331">
            <v>0</v>
          </cell>
          <cell r="K331">
            <v>0</v>
          </cell>
          <cell r="L331">
            <v>-629.66</v>
          </cell>
          <cell r="N331">
            <v>-629.66</v>
          </cell>
          <cell r="O331">
            <v>12</v>
          </cell>
          <cell r="V331" t="str">
            <v>*</v>
          </cell>
        </row>
        <row r="332">
          <cell r="G332" t="str">
            <v>ESQUIRE SURGICALS</v>
          </cell>
          <cell r="I332">
            <v>29294</v>
          </cell>
          <cell r="J332">
            <v>0</v>
          </cell>
          <cell r="K332">
            <v>0</v>
          </cell>
          <cell r="L332">
            <v>29294</v>
          </cell>
          <cell r="N332">
            <v>0</v>
          </cell>
          <cell r="O332">
            <v>12</v>
          </cell>
          <cell r="V332" t="str">
            <v>*</v>
          </cell>
        </row>
        <row r="333">
          <cell r="G333" t="str">
            <v>SIGMA PHARMA</v>
          </cell>
          <cell r="I333">
            <v>0</v>
          </cell>
          <cell r="J333">
            <v>0</v>
          </cell>
          <cell r="K333">
            <v>0</v>
          </cell>
          <cell r="L333">
            <v>0</v>
          </cell>
          <cell r="N333">
            <v>0</v>
          </cell>
          <cell r="O333">
            <v>12</v>
          </cell>
          <cell r="V333" t="str">
            <v>*</v>
          </cell>
        </row>
        <row r="334">
          <cell r="G334" t="str">
            <v>SATYAM TRADING CORPORATION</v>
          </cell>
          <cell r="I334">
            <v>24355.200000000001</v>
          </cell>
          <cell r="J334">
            <v>0</v>
          </cell>
          <cell r="K334">
            <v>0</v>
          </cell>
          <cell r="L334">
            <v>24355.200000000001</v>
          </cell>
          <cell r="N334">
            <v>0</v>
          </cell>
          <cell r="O334">
            <v>12</v>
          </cell>
          <cell r="V334" t="str">
            <v>*</v>
          </cell>
        </row>
        <row r="335">
          <cell r="G335" t="str">
            <v>HEALTH CARE AGENCIES</v>
          </cell>
          <cell r="I335">
            <v>0</v>
          </cell>
          <cell r="J335">
            <v>0</v>
          </cell>
          <cell r="K335">
            <v>0</v>
          </cell>
          <cell r="L335">
            <v>0</v>
          </cell>
          <cell r="N335">
            <v>0</v>
          </cell>
          <cell r="O335">
            <v>12</v>
          </cell>
          <cell r="V335" t="str">
            <v>*</v>
          </cell>
        </row>
        <row r="336">
          <cell r="G336" t="str">
            <v>THIRU BALAJI ASSOCIATES</v>
          </cell>
          <cell r="I336">
            <v>-193.16</v>
          </cell>
          <cell r="J336">
            <v>0</v>
          </cell>
          <cell r="K336">
            <v>0</v>
          </cell>
          <cell r="L336">
            <v>-193.16</v>
          </cell>
          <cell r="N336">
            <v>-193.16</v>
          </cell>
          <cell r="O336">
            <v>12</v>
          </cell>
          <cell r="V336" t="str">
            <v>*</v>
          </cell>
        </row>
        <row r="337">
          <cell r="G337" t="str">
            <v>HOSPITAL SURGICALS</v>
          </cell>
          <cell r="I337">
            <v>-35344.69</v>
          </cell>
          <cell r="J337">
            <v>180556</v>
          </cell>
          <cell r="K337">
            <v>185596</v>
          </cell>
          <cell r="L337">
            <v>-40384.69</v>
          </cell>
          <cell r="N337">
            <v>-40384.69</v>
          </cell>
          <cell r="O337">
            <v>12</v>
          </cell>
          <cell r="V337" t="str">
            <v>*</v>
          </cell>
        </row>
        <row r="338">
          <cell r="G338" t="str">
            <v>VIBASH COIMBATORE SURGICALS LTD.</v>
          </cell>
          <cell r="I338">
            <v>0</v>
          </cell>
          <cell r="J338">
            <v>0</v>
          </cell>
          <cell r="K338">
            <v>0</v>
          </cell>
          <cell r="L338">
            <v>0</v>
          </cell>
          <cell r="N338">
            <v>0</v>
          </cell>
          <cell r="O338">
            <v>12</v>
          </cell>
          <cell r="V338" t="str">
            <v>*</v>
          </cell>
        </row>
        <row r="339">
          <cell r="G339" t="str">
            <v>SRI VENKATESWARA PHARMACEUTICALS</v>
          </cell>
          <cell r="I339">
            <v>-873.6</v>
          </cell>
          <cell r="J339">
            <v>0</v>
          </cell>
          <cell r="K339">
            <v>0</v>
          </cell>
          <cell r="L339">
            <v>-873.6</v>
          </cell>
          <cell r="N339">
            <v>-873.6</v>
          </cell>
          <cell r="O339">
            <v>12</v>
          </cell>
          <cell r="V339" t="str">
            <v>*</v>
          </cell>
        </row>
        <row r="340">
          <cell r="G340" t="str">
            <v>SABERWAL SURGICALS CO. PVT. LTD.</v>
          </cell>
          <cell r="I340">
            <v>-12896</v>
          </cell>
          <cell r="J340">
            <v>23712</v>
          </cell>
          <cell r="K340">
            <v>33072</v>
          </cell>
          <cell r="L340">
            <v>-22256</v>
          </cell>
          <cell r="N340">
            <v>-22256</v>
          </cell>
          <cell r="O340">
            <v>12</v>
          </cell>
          <cell r="V340" t="str">
            <v>*</v>
          </cell>
        </row>
        <row r="341">
          <cell r="G341" t="str">
            <v>SABERWAL SURGICALS</v>
          </cell>
          <cell r="I341">
            <v>116377.66</v>
          </cell>
          <cell r="J341">
            <v>23712</v>
          </cell>
          <cell r="K341">
            <v>23712</v>
          </cell>
          <cell r="L341">
            <v>116377.66</v>
          </cell>
          <cell r="N341">
            <v>0</v>
          </cell>
          <cell r="O341">
            <v>12</v>
          </cell>
          <cell r="V341" t="str">
            <v>*</v>
          </cell>
        </row>
        <row r="342">
          <cell r="G342" t="str">
            <v>ESTOMA SERVICE CENTRE</v>
          </cell>
          <cell r="I342">
            <v>27000</v>
          </cell>
          <cell r="J342">
            <v>0</v>
          </cell>
          <cell r="K342">
            <v>0</v>
          </cell>
          <cell r="L342">
            <v>27000</v>
          </cell>
          <cell r="N342">
            <v>0</v>
          </cell>
          <cell r="O342">
            <v>12</v>
          </cell>
          <cell r="V342" t="str">
            <v>*</v>
          </cell>
        </row>
        <row r="343">
          <cell r="G343" t="str">
            <v>GOVT KILPAUK MEDICAL COLLEGE HOSPITAL</v>
          </cell>
          <cell r="I343">
            <v>16028</v>
          </cell>
          <cell r="J343">
            <v>0</v>
          </cell>
          <cell r="K343">
            <v>0</v>
          </cell>
          <cell r="L343">
            <v>16028</v>
          </cell>
          <cell r="N343">
            <v>0</v>
          </cell>
          <cell r="O343">
            <v>12</v>
          </cell>
          <cell r="V343" t="str">
            <v>*</v>
          </cell>
        </row>
        <row r="344">
          <cell r="G344" t="str">
            <v>GOVT GENERAL  HOSPITAL</v>
          </cell>
          <cell r="I344">
            <v>37440</v>
          </cell>
          <cell r="J344">
            <v>0</v>
          </cell>
          <cell r="K344">
            <v>0</v>
          </cell>
          <cell r="L344">
            <v>37440</v>
          </cell>
          <cell r="N344">
            <v>0</v>
          </cell>
          <cell r="O344">
            <v>12</v>
          </cell>
          <cell r="V344" t="str">
            <v>*</v>
          </cell>
        </row>
        <row r="345">
          <cell r="G345" t="str">
            <v>HIMAT MEDICAL STORES</v>
          </cell>
          <cell r="I345">
            <v>0</v>
          </cell>
          <cell r="J345">
            <v>0</v>
          </cell>
          <cell r="K345">
            <v>0</v>
          </cell>
          <cell r="L345">
            <v>0</v>
          </cell>
          <cell r="N345">
            <v>0</v>
          </cell>
          <cell r="O345">
            <v>12</v>
          </cell>
          <cell r="V345" t="str">
            <v>*</v>
          </cell>
        </row>
        <row r="346">
          <cell r="G346" t="str">
            <v>MBBS   ENTERPRISES</v>
          </cell>
          <cell r="I346">
            <v>9568</v>
          </cell>
          <cell r="J346">
            <v>0</v>
          </cell>
          <cell r="K346">
            <v>0</v>
          </cell>
          <cell r="L346">
            <v>9568</v>
          </cell>
          <cell r="N346">
            <v>0</v>
          </cell>
          <cell r="O346">
            <v>12</v>
          </cell>
          <cell r="V346" t="str">
            <v>*</v>
          </cell>
        </row>
        <row r="347">
          <cell r="G347" t="str">
            <v>MEDIHAUXE ASSOCIATES  MADRAS</v>
          </cell>
          <cell r="I347">
            <v>27235.31</v>
          </cell>
          <cell r="J347">
            <v>0</v>
          </cell>
          <cell r="K347">
            <v>0</v>
          </cell>
          <cell r="L347">
            <v>27235.31</v>
          </cell>
          <cell r="N347">
            <v>0</v>
          </cell>
          <cell r="O347">
            <v>12</v>
          </cell>
          <cell r="V347" t="str">
            <v>*</v>
          </cell>
        </row>
        <row r="348">
          <cell r="G348" t="str">
            <v>MILLION  PHARAM</v>
          </cell>
          <cell r="I348">
            <v>14451.8</v>
          </cell>
          <cell r="J348">
            <v>0</v>
          </cell>
          <cell r="K348">
            <v>0</v>
          </cell>
          <cell r="L348">
            <v>14451.8</v>
          </cell>
          <cell r="N348">
            <v>0</v>
          </cell>
          <cell r="O348">
            <v>12</v>
          </cell>
          <cell r="V348" t="str">
            <v>*</v>
          </cell>
        </row>
        <row r="349">
          <cell r="G349" t="str">
            <v>O K MEDICAL AGENCIES</v>
          </cell>
          <cell r="I349">
            <v>176457.97</v>
          </cell>
          <cell r="J349">
            <v>0</v>
          </cell>
          <cell r="K349">
            <v>0</v>
          </cell>
          <cell r="L349">
            <v>176457.97</v>
          </cell>
          <cell r="N349">
            <v>0</v>
          </cell>
          <cell r="O349">
            <v>12</v>
          </cell>
          <cell r="V349" t="str">
            <v>*</v>
          </cell>
        </row>
        <row r="350">
          <cell r="G350" t="str">
            <v>ROENTGEN CHEMICALS &amp; ALLIED PRODUCTS</v>
          </cell>
          <cell r="I350">
            <v>276229</v>
          </cell>
          <cell r="J350">
            <v>269480</v>
          </cell>
          <cell r="K350">
            <v>707072.8</v>
          </cell>
          <cell r="L350">
            <v>-161363.79999999999</v>
          </cell>
          <cell r="N350">
            <v>-161363.79999999999</v>
          </cell>
          <cell r="O350">
            <v>12</v>
          </cell>
          <cell r="V350" t="str">
            <v>*</v>
          </cell>
        </row>
        <row r="351">
          <cell r="G351" t="str">
            <v>OM AGENCIES</v>
          </cell>
          <cell r="I351">
            <v>0</v>
          </cell>
          <cell r="J351">
            <v>0</v>
          </cell>
          <cell r="K351">
            <v>0</v>
          </cell>
          <cell r="L351">
            <v>0</v>
          </cell>
          <cell r="N351">
            <v>0</v>
          </cell>
          <cell r="O351">
            <v>12</v>
          </cell>
          <cell r="V351" t="str">
            <v>*</v>
          </cell>
        </row>
        <row r="352">
          <cell r="G352" t="str">
            <v>ADVANCE SURGICALS PVT. LTD</v>
          </cell>
          <cell r="I352">
            <v>-3.64</v>
          </cell>
          <cell r="J352">
            <v>0</v>
          </cell>
          <cell r="K352">
            <v>0</v>
          </cell>
          <cell r="L352">
            <v>-3.64</v>
          </cell>
          <cell r="N352">
            <v>-3.64</v>
          </cell>
          <cell r="O352">
            <v>12</v>
          </cell>
          <cell r="V352" t="str">
            <v>*</v>
          </cell>
        </row>
        <row r="353">
          <cell r="G353" t="str">
            <v>PIKAYS MEDICO SURGICAL</v>
          </cell>
          <cell r="I353">
            <v>62516.46</v>
          </cell>
          <cell r="J353">
            <v>0</v>
          </cell>
          <cell r="K353">
            <v>0</v>
          </cell>
          <cell r="L353">
            <v>62516.46</v>
          </cell>
          <cell r="N353">
            <v>0</v>
          </cell>
          <cell r="O353">
            <v>12</v>
          </cell>
          <cell r="V353" t="str">
            <v>*</v>
          </cell>
        </row>
        <row r="354">
          <cell r="G354" t="str">
            <v>THE SOUTH INDIA SURGICAL CO. LTD.</v>
          </cell>
          <cell r="I354">
            <v>3520.38</v>
          </cell>
          <cell r="J354">
            <v>0</v>
          </cell>
          <cell r="K354">
            <v>0</v>
          </cell>
          <cell r="L354">
            <v>3520.38</v>
          </cell>
          <cell r="N354">
            <v>0</v>
          </cell>
          <cell r="O354">
            <v>12</v>
          </cell>
          <cell r="V354" t="str">
            <v>*</v>
          </cell>
        </row>
        <row r="355">
          <cell r="G355" t="str">
            <v>APOLLO HOSPITALS LIMITED.</v>
          </cell>
          <cell r="I355">
            <v>0</v>
          </cell>
          <cell r="J355">
            <v>0</v>
          </cell>
          <cell r="K355">
            <v>0</v>
          </cell>
          <cell r="L355">
            <v>0</v>
          </cell>
          <cell r="N355">
            <v>0</v>
          </cell>
          <cell r="O355">
            <v>12</v>
          </cell>
          <cell r="V355" t="str">
            <v>*</v>
          </cell>
        </row>
        <row r="356">
          <cell r="G356" t="str">
            <v>SHRI RAMCHANDRA HOSPITAL</v>
          </cell>
          <cell r="I356">
            <v>0</v>
          </cell>
          <cell r="J356">
            <v>0</v>
          </cell>
          <cell r="K356">
            <v>0</v>
          </cell>
          <cell r="L356">
            <v>0</v>
          </cell>
          <cell r="N356">
            <v>0</v>
          </cell>
          <cell r="O356">
            <v>12</v>
          </cell>
          <cell r="V356" t="str">
            <v>*</v>
          </cell>
        </row>
        <row r="357">
          <cell r="G357" t="str">
            <v>HEALTH CARE INDIA LIMITED</v>
          </cell>
          <cell r="I357">
            <v>64483.21</v>
          </cell>
          <cell r="J357">
            <v>0</v>
          </cell>
          <cell r="K357">
            <v>0</v>
          </cell>
          <cell r="L357">
            <v>64483.21</v>
          </cell>
          <cell r="N357">
            <v>0</v>
          </cell>
          <cell r="O357">
            <v>12</v>
          </cell>
          <cell r="V357" t="str">
            <v>*</v>
          </cell>
        </row>
        <row r="358">
          <cell r="G358" t="str">
            <v>MEDICAL SERVICES CORPORATION</v>
          </cell>
          <cell r="I358">
            <v>516835.89</v>
          </cell>
          <cell r="J358">
            <v>0</v>
          </cell>
          <cell r="K358">
            <v>0</v>
          </cell>
          <cell r="L358">
            <v>516835.89</v>
          </cell>
          <cell r="N358">
            <v>0</v>
          </cell>
          <cell r="O358">
            <v>12</v>
          </cell>
          <cell r="V358" t="str">
            <v>*</v>
          </cell>
        </row>
        <row r="359">
          <cell r="G359" t="str">
            <v>SETH IMPEX</v>
          </cell>
          <cell r="I359">
            <v>0</v>
          </cell>
          <cell r="J359">
            <v>379925</v>
          </cell>
          <cell r="K359">
            <v>50000</v>
          </cell>
          <cell r="L359">
            <v>329925</v>
          </cell>
          <cell r="N359">
            <v>0</v>
          </cell>
          <cell r="O359">
            <v>12</v>
          </cell>
          <cell r="V359" t="str">
            <v>*</v>
          </cell>
        </row>
        <row r="360">
          <cell r="G360" t="str">
            <v>MULTICARE MEDICAL EQIPMENT LTD.</v>
          </cell>
          <cell r="I360">
            <v>0</v>
          </cell>
          <cell r="J360">
            <v>0</v>
          </cell>
          <cell r="K360">
            <v>0</v>
          </cell>
          <cell r="L360">
            <v>0</v>
          </cell>
          <cell r="N360">
            <v>0</v>
          </cell>
          <cell r="O360">
            <v>12</v>
          </cell>
          <cell r="V360" t="str">
            <v>*</v>
          </cell>
        </row>
        <row r="361">
          <cell r="G361" t="str">
            <v>GOLDEN HARVEST INDUSTRIES</v>
          </cell>
          <cell r="I361">
            <v>-4872.32</v>
          </cell>
          <cell r="J361">
            <v>154756</v>
          </cell>
          <cell r="K361">
            <v>199627</v>
          </cell>
          <cell r="L361">
            <v>-49743.32</v>
          </cell>
          <cell r="N361">
            <v>-49743.32</v>
          </cell>
          <cell r="O361">
            <v>12</v>
          </cell>
          <cell r="V361" t="str">
            <v>*</v>
          </cell>
        </row>
        <row r="362">
          <cell r="G362" t="str">
            <v>S.S. CHEMICALS</v>
          </cell>
          <cell r="I362">
            <v>0</v>
          </cell>
          <cell r="J362">
            <v>0</v>
          </cell>
          <cell r="K362">
            <v>0</v>
          </cell>
          <cell r="L362">
            <v>0</v>
          </cell>
          <cell r="N362">
            <v>0</v>
          </cell>
          <cell r="O362">
            <v>12</v>
          </cell>
          <cell r="V362" t="str">
            <v>*</v>
          </cell>
        </row>
        <row r="363">
          <cell r="G363" t="str">
            <v>ESSAR MEDITECH</v>
          </cell>
          <cell r="I363">
            <v>0</v>
          </cell>
          <cell r="J363">
            <v>0</v>
          </cell>
          <cell r="K363">
            <v>0</v>
          </cell>
          <cell r="L363">
            <v>0</v>
          </cell>
          <cell r="N363">
            <v>0</v>
          </cell>
          <cell r="O363">
            <v>12</v>
          </cell>
          <cell r="V363" t="str">
            <v>*</v>
          </cell>
        </row>
        <row r="364">
          <cell r="G364" t="str">
            <v>INST. OF CHILD HEALTH</v>
          </cell>
          <cell r="I364">
            <v>0</v>
          </cell>
          <cell r="J364">
            <v>0</v>
          </cell>
          <cell r="K364">
            <v>0</v>
          </cell>
          <cell r="L364">
            <v>0</v>
          </cell>
          <cell r="N364">
            <v>0</v>
          </cell>
          <cell r="O364">
            <v>12</v>
          </cell>
          <cell r="V364" t="str">
            <v>*</v>
          </cell>
        </row>
        <row r="365">
          <cell r="G365" t="str">
            <v>IMMUNE BIO-MEDICAL SYSTEMS</v>
          </cell>
          <cell r="I365">
            <v>-569.72</v>
          </cell>
          <cell r="J365">
            <v>0</v>
          </cell>
          <cell r="K365">
            <v>0</v>
          </cell>
          <cell r="L365">
            <v>-569.72</v>
          </cell>
          <cell r="N365">
            <v>-569.72</v>
          </cell>
          <cell r="O365">
            <v>12</v>
          </cell>
          <cell r="V365" t="str">
            <v>*</v>
          </cell>
        </row>
        <row r="366">
          <cell r="G366" t="str">
            <v>GAP ENTERPRISE</v>
          </cell>
          <cell r="I366">
            <v>0</v>
          </cell>
          <cell r="J366">
            <v>0</v>
          </cell>
          <cell r="K366">
            <v>0</v>
          </cell>
          <cell r="L366">
            <v>0</v>
          </cell>
          <cell r="N366">
            <v>0</v>
          </cell>
          <cell r="O366">
            <v>12</v>
          </cell>
          <cell r="V366" t="str">
            <v>*</v>
          </cell>
        </row>
        <row r="367">
          <cell r="G367" t="str">
            <v>BIO VISION MEDICAL SYSTEMS</v>
          </cell>
          <cell r="I367">
            <v>0</v>
          </cell>
          <cell r="J367">
            <v>0</v>
          </cell>
          <cell r="K367">
            <v>0</v>
          </cell>
          <cell r="L367">
            <v>0</v>
          </cell>
          <cell r="N367">
            <v>0</v>
          </cell>
          <cell r="O367">
            <v>12</v>
          </cell>
          <cell r="V367" t="str">
            <v>*</v>
          </cell>
        </row>
        <row r="368">
          <cell r="G368" t="str">
            <v>TAMIL NADU MEDICAL SERVICES CORPORATION(PREM PHARMA)</v>
          </cell>
          <cell r="I368">
            <v>1285825</v>
          </cell>
          <cell r="J368">
            <v>0</v>
          </cell>
          <cell r="K368">
            <v>0</v>
          </cell>
          <cell r="L368">
            <v>1285825</v>
          </cell>
          <cell r="N368">
            <v>0</v>
          </cell>
          <cell r="O368">
            <v>12</v>
          </cell>
          <cell r="V368" t="str">
            <v>*</v>
          </cell>
        </row>
        <row r="369">
          <cell r="G369" t="str">
            <v>MAJESTIC MEDICAL SYSTEM</v>
          </cell>
          <cell r="I369">
            <v>-3416.32</v>
          </cell>
          <cell r="J369">
            <v>0</v>
          </cell>
          <cell r="K369">
            <v>0</v>
          </cell>
          <cell r="L369">
            <v>-3416.32</v>
          </cell>
          <cell r="N369">
            <v>-3416.32</v>
          </cell>
          <cell r="O369">
            <v>12</v>
          </cell>
          <cell r="V369" t="str">
            <v>*</v>
          </cell>
        </row>
        <row r="370">
          <cell r="G370" t="str">
            <v>ANGIO CARE PVT. LTD.</v>
          </cell>
          <cell r="I370">
            <v>-555</v>
          </cell>
          <cell r="J370">
            <v>0</v>
          </cell>
          <cell r="K370">
            <v>0</v>
          </cell>
          <cell r="L370">
            <v>-555</v>
          </cell>
          <cell r="N370">
            <v>-555</v>
          </cell>
          <cell r="O370">
            <v>12</v>
          </cell>
          <cell r="V370" t="str">
            <v>*</v>
          </cell>
        </row>
        <row r="371">
          <cell r="G371" t="str">
            <v>DISTRIBUTION POINT</v>
          </cell>
          <cell r="I371">
            <v>-2330</v>
          </cell>
          <cell r="J371">
            <v>0</v>
          </cell>
          <cell r="K371">
            <v>0</v>
          </cell>
          <cell r="L371">
            <v>-2330</v>
          </cell>
          <cell r="N371">
            <v>-2330</v>
          </cell>
          <cell r="O371">
            <v>12</v>
          </cell>
          <cell r="V371" t="str">
            <v>*</v>
          </cell>
        </row>
        <row r="372">
          <cell r="G372" t="str">
            <v>GLOBAL MEDICARE</v>
          </cell>
          <cell r="I372">
            <v>0</v>
          </cell>
          <cell r="J372">
            <v>0</v>
          </cell>
          <cell r="K372">
            <v>0</v>
          </cell>
          <cell r="L372">
            <v>0</v>
          </cell>
          <cell r="N372">
            <v>0</v>
          </cell>
          <cell r="O372">
            <v>12</v>
          </cell>
          <cell r="V372" t="str">
            <v>*</v>
          </cell>
        </row>
        <row r="373">
          <cell r="G373" t="str">
            <v>S.S. NIMS MEDICAL HALL</v>
          </cell>
          <cell r="I373">
            <v>-3694</v>
          </cell>
          <cell r="J373">
            <v>0</v>
          </cell>
          <cell r="K373">
            <v>0</v>
          </cell>
          <cell r="L373">
            <v>-3694</v>
          </cell>
          <cell r="N373">
            <v>-3694</v>
          </cell>
          <cell r="O373">
            <v>12</v>
          </cell>
          <cell r="V373" t="str">
            <v>*</v>
          </cell>
        </row>
        <row r="374">
          <cell r="G374" t="str">
            <v>VINAYAK ENTERPRISES</v>
          </cell>
          <cell r="I374">
            <v>0</v>
          </cell>
          <cell r="J374">
            <v>0</v>
          </cell>
          <cell r="K374">
            <v>0</v>
          </cell>
          <cell r="L374">
            <v>0</v>
          </cell>
          <cell r="N374">
            <v>0</v>
          </cell>
          <cell r="O374">
            <v>12</v>
          </cell>
          <cell r="V374" t="str">
            <v>*</v>
          </cell>
        </row>
        <row r="375">
          <cell r="G375" t="str">
            <v>MEDIHAUXE INTERNATIONAL - PATTAPARTHI</v>
          </cell>
          <cell r="I375">
            <v>5477.16</v>
          </cell>
          <cell r="J375">
            <v>0</v>
          </cell>
          <cell r="K375">
            <v>0</v>
          </cell>
          <cell r="L375">
            <v>5477.16</v>
          </cell>
          <cell r="N375">
            <v>0</v>
          </cell>
          <cell r="O375">
            <v>12</v>
          </cell>
          <cell r="V375" t="str">
            <v>*</v>
          </cell>
        </row>
        <row r="376">
          <cell r="G376" t="str">
            <v>HEALTH CARE NEEDS</v>
          </cell>
          <cell r="I376">
            <v>32500</v>
          </cell>
          <cell r="J376">
            <v>0</v>
          </cell>
          <cell r="K376">
            <v>32500</v>
          </cell>
          <cell r="L376">
            <v>0</v>
          </cell>
          <cell r="N376">
            <v>0</v>
          </cell>
          <cell r="O376">
            <v>12</v>
          </cell>
          <cell r="V376" t="str">
            <v>*</v>
          </cell>
        </row>
        <row r="377">
          <cell r="G377" t="str">
            <v>HEALTH CARE (INDIA)  LIMITED    HYDERABAD</v>
          </cell>
          <cell r="I377">
            <v>21983.19</v>
          </cell>
          <cell r="J377">
            <v>0</v>
          </cell>
          <cell r="K377">
            <v>0</v>
          </cell>
          <cell r="L377">
            <v>21983.19</v>
          </cell>
          <cell r="N377">
            <v>0</v>
          </cell>
          <cell r="O377">
            <v>12</v>
          </cell>
          <cell r="V377" t="str">
            <v>*</v>
          </cell>
        </row>
        <row r="378">
          <cell r="G378" t="str">
            <v>VISHAL PHARMA</v>
          </cell>
          <cell r="I378">
            <v>-887</v>
          </cell>
          <cell r="J378">
            <v>0</v>
          </cell>
          <cell r="K378">
            <v>0</v>
          </cell>
          <cell r="L378">
            <v>-887</v>
          </cell>
          <cell r="N378">
            <v>-887</v>
          </cell>
          <cell r="O378">
            <v>12</v>
          </cell>
          <cell r="V378" t="str">
            <v>*</v>
          </cell>
        </row>
        <row r="379">
          <cell r="G379" t="str">
            <v>PIONEER MARKETING AGENCIES</v>
          </cell>
          <cell r="I379">
            <v>14680.64</v>
          </cell>
          <cell r="J379">
            <v>0</v>
          </cell>
          <cell r="K379">
            <v>0</v>
          </cell>
          <cell r="L379">
            <v>14680.64</v>
          </cell>
          <cell r="N379">
            <v>0</v>
          </cell>
          <cell r="O379">
            <v>12</v>
          </cell>
          <cell r="V379" t="str">
            <v>*</v>
          </cell>
        </row>
        <row r="380">
          <cell r="G380" t="str">
            <v>HEALTH CARE SUPPLIES</v>
          </cell>
          <cell r="I380">
            <v>1846000</v>
          </cell>
          <cell r="J380">
            <v>11349800</v>
          </cell>
          <cell r="K380">
            <v>9807800</v>
          </cell>
          <cell r="L380">
            <v>3388000</v>
          </cell>
          <cell r="N380">
            <v>0</v>
          </cell>
          <cell r="O380">
            <v>12</v>
          </cell>
          <cell r="V380" t="str">
            <v>*</v>
          </cell>
        </row>
        <row r="381">
          <cell r="G381" t="str">
            <v>SHETH IMPEX</v>
          </cell>
          <cell r="I381">
            <v>-356.88</v>
          </cell>
          <cell r="J381">
            <v>180000</v>
          </cell>
          <cell r="K381">
            <v>0</v>
          </cell>
          <cell r="L381">
            <v>179643.12</v>
          </cell>
          <cell r="N381">
            <v>0</v>
          </cell>
          <cell r="O381">
            <v>12</v>
          </cell>
          <cell r="V381" t="str">
            <v>*</v>
          </cell>
        </row>
        <row r="382">
          <cell r="G382" t="str">
            <v>UNITED PHARMA</v>
          </cell>
          <cell r="I382">
            <v>-7100.2</v>
          </cell>
          <cell r="J382">
            <v>0</v>
          </cell>
          <cell r="K382">
            <v>0</v>
          </cell>
          <cell r="L382">
            <v>-7100.2</v>
          </cell>
          <cell r="N382">
            <v>-7100.2</v>
          </cell>
          <cell r="O382">
            <v>12</v>
          </cell>
          <cell r="V382" t="str">
            <v>*</v>
          </cell>
        </row>
        <row r="383">
          <cell r="G383" t="str">
            <v>BANGALORE SURGICALS</v>
          </cell>
          <cell r="I383">
            <v>12322041.58</v>
          </cell>
          <cell r="J383">
            <v>5590200</v>
          </cell>
          <cell r="K383">
            <v>14590200</v>
          </cell>
          <cell r="L383">
            <v>3244800</v>
          </cell>
          <cell r="N383">
            <v>0</v>
          </cell>
          <cell r="O383">
            <v>12</v>
          </cell>
          <cell r="V383" t="str">
            <v>*</v>
          </cell>
        </row>
        <row r="384">
          <cell r="G384" t="str">
            <v>SABERWAL SURGICALS PONDICHERRY</v>
          </cell>
          <cell r="I384">
            <v>69425</v>
          </cell>
          <cell r="J384">
            <v>0</v>
          </cell>
          <cell r="K384">
            <v>0</v>
          </cell>
          <cell r="L384">
            <v>69425</v>
          </cell>
          <cell r="N384">
            <v>0</v>
          </cell>
          <cell r="O384">
            <v>12</v>
          </cell>
          <cell r="V384" t="str">
            <v>*</v>
          </cell>
        </row>
        <row r="385">
          <cell r="G385" t="str">
            <v>OM AGENCIES.</v>
          </cell>
          <cell r="I385">
            <v>0</v>
          </cell>
          <cell r="J385">
            <v>0</v>
          </cell>
          <cell r="K385">
            <v>0</v>
          </cell>
          <cell r="L385">
            <v>0</v>
          </cell>
          <cell r="N385">
            <v>0</v>
          </cell>
          <cell r="O385">
            <v>12</v>
          </cell>
          <cell r="V385" t="str">
            <v>*</v>
          </cell>
        </row>
        <row r="386">
          <cell r="G386" t="str">
            <v>ROENTGEN CHEMICALS AND ALLIED PRODUCTS.</v>
          </cell>
          <cell r="I386">
            <v>-15.6</v>
          </cell>
          <cell r="J386">
            <v>0</v>
          </cell>
          <cell r="K386">
            <v>0</v>
          </cell>
          <cell r="L386">
            <v>-15.6</v>
          </cell>
          <cell r="N386">
            <v>-15.6</v>
          </cell>
          <cell r="O386">
            <v>12</v>
          </cell>
          <cell r="V386" t="str">
            <v>*</v>
          </cell>
        </row>
        <row r="387">
          <cell r="G387" t="str">
            <v>SIDDHI PHARMA</v>
          </cell>
          <cell r="I387">
            <v>0</v>
          </cell>
          <cell r="J387">
            <v>0</v>
          </cell>
          <cell r="K387">
            <v>0</v>
          </cell>
          <cell r="L387">
            <v>0</v>
          </cell>
          <cell r="N387">
            <v>0</v>
          </cell>
          <cell r="O387">
            <v>12</v>
          </cell>
          <cell r="V387" t="str">
            <v>*</v>
          </cell>
        </row>
        <row r="388">
          <cell r="G388" t="str">
            <v>MONARCH ENTERPRISES</v>
          </cell>
          <cell r="I388">
            <v>19886.5</v>
          </cell>
          <cell r="J388">
            <v>719379.6</v>
          </cell>
          <cell r="K388">
            <v>755155.8</v>
          </cell>
          <cell r="L388">
            <v>-15889.7</v>
          </cell>
          <cell r="N388">
            <v>-15889.7</v>
          </cell>
          <cell r="O388">
            <v>12</v>
          </cell>
          <cell r="V388" t="str">
            <v>*</v>
          </cell>
        </row>
        <row r="389">
          <cell r="G389" t="str">
            <v>GOMATHI PHOTO STORES</v>
          </cell>
          <cell r="I389">
            <v>-434</v>
          </cell>
          <cell r="J389">
            <v>65352</v>
          </cell>
          <cell r="K389">
            <v>65352</v>
          </cell>
          <cell r="L389">
            <v>-434</v>
          </cell>
          <cell r="N389">
            <v>-434</v>
          </cell>
          <cell r="O389">
            <v>12</v>
          </cell>
          <cell r="V389" t="str">
            <v>*</v>
          </cell>
        </row>
        <row r="390">
          <cell r="G390" t="str">
            <v>CHRISTIAN MEDICAL COLLEGE &amp; HOSPITAL</v>
          </cell>
          <cell r="I390">
            <v>108992</v>
          </cell>
          <cell r="J390">
            <v>0</v>
          </cell>
          <cell r="K390">
            <v>0</v>
          </cell>
          <cell r="L390">
            <v>108992</v>
          </cell>
          <cell r="N390">
            <v>0</v>
          </cell>
          <cell r="O390">
            <v>12</v>
          </cell>
          <cell r="V390" t="str">
            <v>*</v>
          </cell>
        </row>
        <row r="391">
          <cell r="G391" t="str">
            <v>AMAR ENTERPRISES</v>
          </cell>
          <cell r="I391">
            <v>-386</v>
          </cell>
          <cell r="J391">
            <v>0</v>
          </cell>
          <cell r="K391">
            <v>0</v>
          </cell>
          <cell r="L391">
            <v>-386</v>
          </cell>
          <cell r="N391">
            <v>-386</v>
          </cell>
          <cell r="O391">
            <v>12</v>
          </cell>
          <cell r="V391" t="str">
            <v>*</v>
          </cell>
        </row>
        <row r="392">
          <cell r="G392" t="str">
            <v>APRA NURSING HOME, ANAND</v>
          </cell>
          <cell r="I392">
            <v>0</v>
          </cell>
          <cell r="J392">
            <v>0</v>
          </cell>
          <cell r="K392">
            <v>0</v>
          </cell>
          <cell r="L392">
            <v>0</v>
          </cell>
          <cell r="N392">
            <v>0</v>
          </cell>
          <cell r="O392">
            <v>12</v>
          </cell>
          <cell r="V392" t="str">
            <v>*</v>
          </cell>
        </row>
        <row r="393">
          <cell r="G393" t="str">
            <v>KESHAV ENTERPRISES</v>
          </cell>
          <cell r="I393">
            <v>-26942.59</v>
          </cell>
          <cell r="J393">
            <v>253314.4</v>
          </cell>
          <cell r="K393">
            <v>131872</v>
          </cell>
          <cell r="L393">
            <v>94499.81</v>
          </cell>
          <cell r="N393">
            <v>0</v>
          </cell>
          <cell r="O393">
            <v>12</v>
          </cell>
          <cell r="V393" t="str">
            <v>*</v>
          </cell>
        </row>
        <row r="394">
          <cell r="G394" t="str">
            <v>U.N. MEHTA INSTITUTE OF CARDIO &amp; REC</v>
          </cell>
          <cell r="I394">
            <v>-36312</v>
          </cell>
          <cell r="J394">
            <v>0</v>
          </cell>
          <cell r="K394">
            <v>0</v>
          </cell>
          <cell r="L394">
            <v>-36312</v>
          </cell>
          <cell r="N394">
            <v>-36312</v>
          </cell>
          <cell r="O394">
            <v>12</v>
          </cell>
          <cell r="V394" t="str">
            <v>*</v>
          </cell>
        </row>
        <row r="395">
          <cell r="G395" t="str">
            <v>DR. MUKUR PETROLWALA</v>
          </cell>
          <cell r="I395">
            <v>0</v>
          </cell>
          <cell r="J395">
            <v>0</v>
          </cell>
          <cell r="K395">
            <v>0</v>
          </cell>
          <cell r="L395">
            <v>0</v>
          </cell>
          <cell r="N395">
            <v>0</v>
          </cell>
          <cell r="O395">
            <v>12</v>
          </cell>
          <cell r="V395" t="str">
            <v>*</v>
          </cell>
        </row>
        <row r="396">
          <cell r="G396" t="str">
            <v>DESAI AGENCIES</v>
          </cell>
          <cell r="I396">
            <v>-1348.96</v>
          </cell>
          <cell r="J396">
            <v>65000</v>
          </cell>
          <cell r="K396">
            <v>67184</v>
          </cell>
          <cell r="L396">
            <v>-3532.96</v>
          </cell>
          <cell r="N396">
            <v>-3532.96</v>
          </cell>
          <cell r="O396">
            <v>12</v>
          </cell>
          <cell r="V396" t="str">
            <v>*</v>
          </cell>
        </row>
        <row r="397">
          <cell r="G397" t="str">
            <v>RAJASTHAN HOSPITALS</v>
          </cell>
          <cell r="I397">
            <v>708.96</v>
          </cell>
          <cell r="J397">
            <v>0</v>
          </cell>
          <cell r="K397">
            <v>0</v>
          </cell>
          <cell r="L397">
            <v>708.96</v>
          </cell>
          <cell r="N397">
            <v>0</v>
          </cell>
          <cell r="O397">
            <v>12</v>
          </cell>
          <cell r="V397" t="str">
            <v>*</v>
          </cell>
        </row>
        <row r="398">
          <cell r="G398" t="str">
            <v>AVANTI SURGICO SALES</v>
          </cell>
          <cell r="I398">
            <v>0</v>
          </cell>
          <cell r="J398">
            <v>0</v>
          </cell>
          <cell r="K398">
            <v>0</v>
          </cell>
          <cell r="L398">
            <v>0</v>
          </cell>
          <cell r="N398">
            <v>0</v>
          </cell>
          <cell r="O398">
            <v>12</v>
          </cell>
          <cell r="V398" t="str">
            <v>*</v>
          </cell>
        </row>
        <row r="399">
          <cell r="G399" t="str">
            <v>KRISHNA HEART INSTITUTE</v>
          </cell>
          <cell r="I399">
            <v>0</v>
          </cell>
          <cell r="J399">
            <v>0</v>
          </cell>
          <cell r="K399">
            <v>0</v>
          </cell>
          <cell r="L399">
            <v>0</v>
          </cell>
          <cell r="N399">
            <v>0</v>
          </cell>
          <cell r="O399">
            <v>12</v>
          </cell>
          <cell r="V399" t="str">
            <v>*</v>
          </cell>
        </row>
        <row r="400">
          <cell r="G400" t="str">
            <v>NEEL CORPORATION</v>
          </cell>
          <cell r="I400">
            <v>2520</v>
          </cell>
          <cell r="J400">
            <v>0</v>
          </cell>
          <cell r="K400">
            <v>0</v>
          </cell>
          <cell r="L400">
            <v>2520</v>
          </cell>
          <cell r="N400">
            <v>0</v>
          </cell>
          <cell r="O400">
            <v>12</v>
          </cell>
          <cell r="V400" t="str">
            <v>*</v>
          </cell>
        </row>
        <row r="401">
          <cell r="G401" t="str">
            <v>DYNAMIC MARKETING HOUSE</v>
          </cell>
          <cell r="I401">
            <v>-970.01</v>
          </cell>
          <cell r="J401">
            <v>0</v>
          </cell>
          <cell r="K401">
            <v>0</v>
          </cell>
          <cell r="L401">
            <v>-970.01</v>
          </cell>
          <cell r="N401">
            <v>-970.01</v>
          </cell>
          <cell r="O401">
            <v>12</v>
          </cell>
          <cell r="V401" t="str">
            <v>*</v>
          </cell>
        </row>
        <row r="402">
          <cell r="G402" t="str">
            <v>YOGESHWAR HEALTHCARE LTD.</v>
          </cell>
          <cell r="I402">
            <v>12</v>
          </cell>
          <cell r="J402">
            <v>0</v>
          </cell>
          <cell r="K402">
            <v>0</v>
          </cell>
          <cell r="L402">
            <v>12</v>
          </cell>
          <cell r="N402">
            <v>0</v>
          </cell>
          <cell r="O402">
            <v>12</v>
          </cell>
          <cell r="V402" t="str">
            <v>*</v>
          </cell>
        </row>
        <row r="403">
          <cell r="G403" t="str">
            <v>MILLENIUM ENTERPRISE</v>
          </cell>
          <cell r="I403">
            <v>-7045.24</v>
          </cell>
          <cell r="J403">
            <v>0</v>
          </cell>
          <cell r="K403">
            <v>0</v>
          </cell>
          <cell r="L403">
            <v>-7045.24</v>
          </cell>
          <cell r="N403">
            <v>-7045.24</v>
          </cell>
          <cell r="O403">
            <v>12</v>
          </cell>
          <cell r="V403" t="str">
            <v>*</v>
          </cell>
        </row>
        <row r="404">
          <cell r="G404" t="str">
            <v>UMA SURGICAL</v>
          </cell>
          <cell r="I404">
            <v>-62664</v>
          </cell>
          <cell r="J404">
            <v>82160</v>
          </cell>
          <cell r="K404">
            <v>82400</v>
          </cell>
          <cell r="L404">
            <v>-62904</v>
          </cell>
          <cell r="N404">
            <v>-62904</v>
          </cell>
          <cell r="O404">
            <v>12</v>
          </cell>
          <cell r="V404" t="str">
            <v>*</v>
          </cell>
        </row>
        <row r="405">
          <cell r="G405" t="str">
            <v>CURE HOSPICARE INC.</v>
          </cell>
          <cell r="I405">
            <v>0</v>
          </cell>
          <cell r="J405">
            <v>547250</v>
          </cell>
          <cell r="K405">
            <v>547250</v>
          </cell>
          <cell r="L405">
            <v>0</v>
          </cell>
          <cell r="N405">
            <v>0</v>
          </cell>
          <cell r="O405">
            <v>12</v>
          </cell>
          <cell r="V405" t="str">
            <v>*</v>
          </cell>
        </row>
        <row r="406">
          <cell r="G406" t="str">
            <v>KRISHNA ENTERPRISE.</v>
          </cell>
          <cell r="I406">
            <v>-29856</v>
          </cell>
          <cell r="J406">
            <v>209026.12</v>
          </cell>
          <cell r="K406">
            <v>178000</v>
          </cell>
          <cell r="L406">
            <v>1170.1199999999999</v>
          </cell>
          <cell r="N406">
            <v>0</v>
          </cell>
          <cell r="O406">
            <v>12</v>
          </cell>
          <cell r="V406" t="str">
            <v>*</v>
          </cell>
        </row>
        <row r="407">
          <cell r="G407" t="str">
            <v>ROTOVISION INCORPORATED</v>
          </cell>
          <cell r="I407">
            <v>0</v>
          </cell>
          <cell r="J407">
            <v>297688</v>
          </cell>
          <cell r="K407">
            <v>75000</v>
          </cell>
          <cell r="L407">
            <v>222688</v>
          </cell>
          <cell r="N407">
            <v>0</v>
          </cell>
          <cell r="O407">
            <v>12</v>
          </cell>
          <cell r="V407" t="str">
            <v>*</v>
          </cell>
        </row>
        <row r="408">
          <cell r="G408" t="str">
            <v>MAHESH  PHARMACY</v>
          </cell>
          <cell r="I408">
            <v>18032.14</v>
          </cell>
          <cell r="J408">
            <v>0</v>
          </cell>
          <cell r="K408">
            <v>0</v>
          </cell>
          <cell r="L408">
            <v>18032.14</v>
          </cell>
          <cell r="N408">
            <v>0</v>
          </cell>
          <cell r="O408">
            <v>12</v>
          </cell>
          <cell r="V408" t="str">
            <v>*</v>
          </cell>
        </row>
        <row r="409">
          <cell r="G409" t="str">
            <v>V.S.ENTERPRISES</v>
          </cell>
          <cell r="I409">
            <v>-1350</v>
          </cell>
          <cell r="J409">
            <v>0</v>
          </cell>
          <cell r="K409">
            <v>0</v>
          </cell>
          <cell r="L409">
            <v>-1350</v>
          </cell>
          <cell r="N409">
            <v>-1350</v>
          </cell>
          <cell r="O409">
            <v>12</v>
          </cell>
          <cell r="V409" t="str">
            <v>*</v>
          </cell>
        </row>
        <row r="410">
          <cell r="G410" t="str">
            <v>HONEST SURGICAL COMPANY</v>
          </cell>
          <cell r="I410">
            <v>-624</v>
          </cell>
          <cell r="J410">
            <v>0</v>
          </cell>
          <cell r="K410">
            <v>0</v>
          </cell>
          <cell r="L410">
            <v>-624</v>
          </cell>
          <cell r="N410">
            <v>-624</v>
          </cell>
          <cell r="O410">
            <v>12</v>
          </cell>
          <cell r="V410" t="str">
            <v>*</v>
          </cell>
        </row>
        <row r="411">
          <cell r="G411" t="str">
            <v>PRACHI ENTERPRISES</v>
          </cell>
          <cell r="I411">
            <v>-2196</v>
          </cell>
          <cell r="J411">
            <v>185047.12</v>
          </cell>
          <cell r="K411">
            <v>199200</v>
          </cell>
          <cell r="L411">
            <v>-16348.88</v>
          </cell>
          <cell r="N411">
            <v>-16348.88</v>
          </cell>
          <cell r="O411">
            <v>12</v>
          </cell>
          <cell r="V411" t="str">
            <v>*</v>
          </cell>
        </row>
        <row r="412">
          <cell r="G412" t="str">
            <v>CENTRAL MEDICAL STORES BHILAI</v>
          </cell>
          <cell r="I412">
            <v>3150</v>
          </cell>
          <cell r="J412">
            <v>0</v>
          </cell>
          <cell r="K412">
            <v>0</v>
          </cell>
          <cell r="L412">
            <v>3150</v>
          </cell>
          <cell r="N412">
            <v>0</v>
          </cell>
          <cell r="O412">
            <v>12</v>
          </cell>
          <cell r="V412" t="str">
            <v>*</v>
          </cell>
        </row>
        <row r="413">
          <cell r="G413" t="str">
            <v>CASH SURGICALS</v>
          </cell>
          <cell r="I413">
            <v>2.56</v>
          </cell>
          <cell r="J413">
            <v>0</v>
          </cell>
          <cell r="K413">
            <v>0</v>
          </cell>
          <cell r="L413">
            <v>2.56</v>
          </cell>
          <cell r="N413">
            <v>0</v>
          </cell>
          <cell r="O413">
            <v>12</v>
          </cell>
          <cell r="V413" t="str">
            <v>*</v>
          </cell>
        </row>
        <row r="414">
          <cell r="G414" t="str">
            <v>OM CRITICAL CARE CENTRE PVT. LTD.</v>
          </cell>
          <cell r="I414">
            <v>0</v>
          </cell>
          <cell r="J414">
            <v>0</v>
          </cell>
          <cell r="K414">
            <v>0</v>
          </cell>
          <cell r="L414">
            <v>0</v>
          </cell>
          <cell r="N414">
            <v>0</v>
          </cell>
          <cell r="O414">
            <v>12</v>
          </cell>
          <cell r="V414" t="str">
            <v>*</v>
          </cell>
        </row>
        <row r="415">
          <cell r="G415" t="str">
            <v>SAI ASSOCIATES</v>
          </cell>
          <cell r="I415">
            <v>29492.92</v>
          </cell>
          <cell r="J415">
            <v>58476</v>
          </cell>
          <cell r="K415">
            <v>185750</v>
          </cell>
          <cell r="L415">
            <v>-97781.08</v>
          </cell>
          <cell r="N415">
            <v>-97781.08</v>
          </cell>
          <cell r="O415">
            <v>12</v>
          </cell>
          <cell r="V415" t="str">
            <v>*</v>
          </cell>
        </row>
        <row r="416">
          <cell r="G416" t="str">
            <v>VIMAL SURGICALS</v>
          </cell>
          <cell r="I416">
            <v>0</v>
          </cell>
          <cell r="J416">
            <v>0</v>
          </cell>
          <cell r="K416">
            <v>0</v>
          </cell>
          <cell r="L416">
            <v>0</v>
          </cell>
          <cell r="N416">
            <v>0</v>
          </cell>
          <cell r="O416">
            <v>12</v>
          </cell>
          <cell r="V416" t="str">
            <v>*</v>
          </cell>
        </row>
        <row r="417">
          <cell r="G417" t="str">
            <v>CHARAK HOSPITAL</v>
          </cell>
          <cell r="I417">
            <v>9543.5400000000009</v>
          </cell>
          <cell r="J417">
            <v>0</v>
          </cell>
          <cell r="K417">
            <v>0</v>
          </cell>
          <cell r="L417">
            <v>9543.5400000000009</v>
          </cell>
          <cell r="N417">
            <v>0</v>
          </cell>
          <cell r="O417">
            <v>12</v>
          </cell>
          <cell r="V417" t="str">
            <v>*</v>
          </cell>
        </row>
        <row r="418">
          <cell r="G418" t="str">
            <v>CHOITTHRAM HOSPITAL</v>
          </cell>
          <cell r="I418">
            <v>35195.4</v>
          </cell>
          <cell r="J418">
            <v>0</v>
          </cell>
          <cell r="K418">
            <v>0</v>
          </cell>
          <cell r="L418">
            <v>35195.4</v>
          </cell>
          <cell r="N418">
            <v>0</v>
          </cell>
          <cell r="O418">
            <v>12</v>
          </cell>
          <cell r="V418" t="str">
            <v>*</v>
          </cell>
        </row>
        <row r="419">
          <cell r="G419" t="str">
            <v>SHANTHI  MEDICOSE</v>
          </cell>
          <cell r="I419">
            <v>23419.52</v>
          </cell>
          <cell r="J419">
            <v>0</v>
          </cell>
          <cell r="K419">
            <v>0</v>
          </cell>
          <cell r="L419">
            <v>23419.52</v>
          </cell>
          <cell r="N419">
            <v>0</v>
          </cell>
          <cell r="O419">
            <v>12</v>
          </cell>
          <cell r="V419" t="str">
            <v>*</v>
          </cell>
        </row>
        <row r="420">
          <cell r="G420" t="str">
            <v>RAJNI ENTERPRISES</v>
          </cell>
          <cell r="I420">
            <v>0</v>
          </cell>
          <cell r="J420">
            <v>0</v>
          </cell>
          <cell r="K420">
            <v>0</v>
          </cell>
          <cell r="L420">
            <v>0</v>
          </cell>
          <cell r="N420">
            <v>0</v>
          </cell>
          <cell r="O420">
            <v>12</v>
          </cell>
          <cell r="V420" t="str">
            <v>*</v>
          </cell>
        </row>
        <row r="421">
          <cell r="G421" t="str">
            <v>SUPER MEDICAL DISTRIBUTORS</v>
          </cell>
          <cell r="I421">
            <v>-80</v>
          </cell>
          <cell r="J421">
            <v>0</v>
          </cell>
          <cell r="K421">
            <v>0</v>
          </cell>
          <cell r="L421">
            <v>-80</v>
          </cell>
          <cell r="N421">
            <v>-80</v>
          </cell>
          <cell r="O421">
            <v>12</v>
          </cell>
          <cell r="V421" t="str">
            <v>*</v>
          </cell>
        </row>
        <row r="422">
          <cell r="G422" t="str">
            <v>THE DIRECTOR, WANLESS HOSPITAL</v>
          </cell>
          <cell r="I422">
            <v>15489.61</v>
          </cell>
          <cell r="J422">
            <v>0</v>
          </cell>
          <cell r="K422">
            <v>0</v>
          </cell>
          <cell r="L422">
            <v>15489.61</v>
          </cell>
          <cell r="N422">
            <v>0</v>
          </cell>
          <cell r="O422">
            <v>12</v>
          </cell>
          <cell r="V422" t="str">
            <v>*</v>
          </cell>
        </row>
        <row r="423">
          <cell r="G423" t="str">
            <v>MAHALAKSHMI  HOSPITAL</v>
          </cell>
          <cell r="I423">
            <v>12751.28</v>
          </cell>
          <cell r="J423">
            <v>0</v>
          </cell>
          <cell r="K423">
            <v>0</v>
          </cell>
          <cell r="L423">
            <v>12751.28</v>
          </cell>
          <cell r="N423">
            <v>0</v>
          </cell>
          <cell r="O423">
            <v>12</v>
          </cell>
          <cell r="V423" t="str">
            <v>*</v>
          </cell>
        </row>
        <row r="424">
          <cell r="G424" t="str">
            <v>DATTA MEDICAL STORES</v>
          </cell>
          <cell r="I424">
            <v>8981.2000000000007</v>
          </cell>
          <cell r="J424">
            <v>0</v>
          </cell>
          <cell r="K424">
            <v>0</v>
          </cell>
          <cell r="L424">
            <v>8981.2000000000007</v>
          </cell>
          <cell r="N424">
            <v>0</v>
          </cell>
          <cell r="O424">
            <v>12</v>
          </cell>
          <cell r="V424" t="str">
            <v>*</v>
          </cell>
        </row>
        <row r="425">
          <cell r="G425" t="str">
            <v>ROYAL PHARMA</v>
          </cell>
          <cell r="I425">
            <v>34320</v>
          </cell>
          <cell r="J425">
            <v>0</v>
          </cell>
          <cell r="K425">
            <v>0</v>
          </cell>
          <cell r="L425">
            <v>34320</v>
          </cell>
          <cell r="N425">
            <v>0</v>
          </cell>
          <cell r="O425">
            <v>12</v>
          </cell>
          <cell r="V425" t="str">
            <v>*</v>
          </cell>
        </row>
        <row r="426">
          <cell r="G426" t="str">
            <v>P D HINDUJA HOSPITAL BOMBAY</v>
          </cell>
          <cell r="I426">
            <v>190492.94</v>
          </cell>
          <cell r="J426">
            <v>0</v>
          </cell>
          <cell r="K426">
            <v>9466.8799999999992</v>
          </cell>
          <cell r="L426">
            <v>181026.06</v>
          </cell>
          <cell r="N426">
            <v>0</v>
          </cell>
          <cell r="O426">
            <v>12</v>
          </cell>
          <cell r="V426" t="str">
            <v>*</v>
          </cell>
        </row>
        <row r="427">
          <cell r="G427" t="str">
            <v>MEDICAL RESEARCH CENTRE</v>
          </cell>
          <cell r="I427">
            <v>57638.62</v>
          </cell>
          <cell r="J427">
            <v>0</v>
          </cell>
          <cell r="K427">
            <v>0</v>
          </cell>
          <cell r="L427">
            <v>57638.62</v>
          </cell>
          <cell r="N427">
            <v>0</v>
          </cell>
          <cell r="O427">
            <v>12</v>
          </cell>
          <cell r="V427" t="str">
            <v>*</v>
          </cell>
        </row>
        <row r="428">
          <cell r="G428" t="str">
            <v>BOMBAY HOSPITAL TRUST</v>
          </cell>
          <cell r="I428">
            <v>9445</v>
          </cell>
          <cell r="J428">
            <v>0</v>
          </cell>
          <cell r="K428">
            <v>0</v>
          </cell>
          <cell r="L428">
            <v>9445</v>
          </cell>
          <cell r="N428">
            <v>0</v>
          </cell>
          <cell r="O428">
            <v>12</v>
          </cell>
          <cell r="V428" t="str">
            <v>*</v>
          </cell>
        </row>
        <row r="429">
          <cell r="G429" t="str">
            <v>PANKIT &amp; CO.</v>
          </cell>
          <cell r="I429">
            <v>-0.4</v>
          </cell>
          <cell r="J429">
            <v>0</v>
          </cell>
          <cell r="K429">
            <v>0</v>
          </cell>
          <cell r="L429">
            <v>-0.4</v>
          </cell>
          <cell r="N429">
            <v>-0.4</v>
          </cell>
          <cell r="O429">
            <v>12</v>
          </cell>
          <cell r="V429" t="str">
            <v>*</v>
          </cell>
        </row>
        <row r="430">
          <cell r="G430" t="str">
            <v>GAURAV   ENTERPRISES</v>
          </cell>
          <cell r="I430">
            <v>92851.199999999997</v>
          </cell>
          <cell r="J430">
            <v>0</v>
          </cell>
          <cell r="K430">
            <v>0</v>
          </cell>
          <cell r="L430">
            <v>92851.199999999997</v>
          </cell>
          <cell r="N430">
            <v>0</v>
          </cell>
          <cell r="O430">
            <v>12</v>
          </cell>
          <cell r="V430" t="str">
            <v>*</v>
          </cell>
        </row>
        <row r="431">
          <cell r="G431" t="str">
            <v>RAJNI ENTERPRISE</v>
          </cell>
          <cell r="I431">
            <v>-0.15</v>
          </cell>
          <cell r="J431">
            <v>218400</v>
          </cell>
          <cell r="K431">
            <v>218400</v>
          </cell>
          <cell r="L431">
            <v>-0.15</v>
          </cell>
          <cell r="N431">
            <v>-0.15</v>
          </cell>
          <cell r="O431">
            <v>12</v>
          </cell>
          <cell r="V431" t="str">
            <v>*</v>
          </cell>
        </row>
        <row r="432">
          <cell r="G432" t="str">
            <v>MEHTA TRADING CORPORATION</v>
          </cell>
          <cell r="I432">
            <v>-0.06</v>
          </cell>
          <cell r="J432">
            <v>0</v>
          </cell>
          <cell r="K432">
            <v>0</v>
          </cell>
          <cell r="L432">
            <v>-0.06</v>
          </cell>
          <cell r="N432">
            <v>-0.06</v>
          </cell>
          <cell r="O432">
            <v>12</v>
          </cell>
          <cell r="V432" t="str">
            <v>*</v>
          </cell>
        </row>
        <row r="433">
          <cell r="G433" t="str">
            <v>JASLOK HOSPITAL &amp; RESEARCH CENTRE</v>
          </cell>
          <cell r="I433">
            <v>65672.02</v>
          </cell>
          <cell r="J433">
            <v>9672.61</v>
          </cell>
          <cell r="K433">
            <v>0</v>
          </cell>
          <cell r="L433">
            <v>75344.63</v>
          </cell>
          <cell r="N433">
            <v>0</v>
          </cell>
          <cell r="O433">
            <v>12</v>
          </cell>
          <cell r="V433" t="str">
            <v>*</v>
          </cell>
        </row>
        <row r="434">
          <cell r="G434" t="str">
            <v>LTMG HOSP COLLEGE</v>
          </cell>
          <cell r="I434">
            <v>11175.95</v>
          </cell>
          <cell r="J434">
            <v>0</v>
          </cell>
          <cell r="K434">
            <v>0</v>
          </cell>
          <cell r="L434">
            <v>11175.95</v>
          </cell>
          <cell r="N434">
            <v>0</v>
          </cell>
          <cell r="O434">
            <v>12</v>
          </cell>
          <cell r="V434" t="str">
            <v>*</v>
          </cell>
        </row>
        <row r="435">
          <cell r="G435" t="str">
            <v>GOVT OF INDIA MINISTRY OF DEFE INHS ASVN</v>
          </cell>
          <cell r="I435">
            <v>164694.39999999999</v>
          </cell>
          <cell r="J435">
            <v>0</v>
          </cell>
          <cell r="K435">
            <v>0</v>
          </cell>
          <cell r="L435">
            <v>164694.39999999999</v>
          </cell>
          <cell r="N435">
            <v>0</v>
          </cell>
          <cell r="O435">
            <v>12</v>
          </cell>
          <cell r="V435" t="str">
            <v>*</v>
          </cell>
        </row>
        <row r="436">
          <cell r="G436" t="str">
            <v>UNITED SURGICALS - MUMBAI</v>
          </cell>
          <cell r="I436">
            <v>28552.97</v>
          </cell>
          <cell r="J436">
            <v>38448</v>
          </cell>
          <cell r="K436">
            <v>0</v>
          </cell>
          <cell r="L436">
            <v>67000.97</v>
          </cell>
          <cell r="N436">
            <v>0</v>
          </cell>
          <cell r="O436">
            <v>12</v>
          </cell>
          <cell r="V436" t="str">
            <v>*</v>
          </cell>
        </row>
        <row r="437">
          <cell r="G437" t="str">
            <v>S  K  ENTERPRISES</v>
          </cell>
          <cell r="I437">
            <v>0</v>
          </cell>
          <cell r="J437">
            <v>0</v>
          </cell>
          <cell r="K437">
            <v>0</v>
          </cell>
          <cell r="L437">
            <v>0</v>
          </cell>
          <cell r="N437">
            <v>0</v>
          </cell>
          <cell r="O437">
            <v>12</v>
          </cell>
          <cell r="V437" t="str">
            <v>*</v>
          </cell>
        </row>
        <row r="438">
          <cell r="G438" t="str">
            <v>SIR HURKISONDAS  NURROTUMDAS HOSPITAL</v>
          </cell>
          <cell r="I438">
            <v>4100.0200000000004</v>
          </cell>
          <cell r="J438">
            <v>0</v>
          </cell>
          <cell r="K438">
            <v>0</v>
          </cell>
          <cell r="L438">
            <v>4100.0200000000004</v>
          </cell>
          <cell r="N438">
            <v>0</v>
          </cell>
          <cell r="O438">
            <v>12</v>
          </cell>
          <cell r="V438" t="str">
            <v>*</v>
          </cell>
        </row>
        <row r="439">
          <cell r="G439" t="str">
            <v>TATA MEMORIAL HOSPITAL</v>
          </cell>
          <cell r="I439">
            <v>239951.5</v>
          </cell>
          <cell r="J439">
            <v>0</v>
          </cell>
          <cell r="K439">
            <v>0</v>
          </cell>
          <cell r="L439">
            <v>239951.5</v>
          </cell>
          <cell r="N439">
            <v>0</v>
          </cell>
          <cell r="O439">
            <v>12</v>
          </cell>
          <cell r="V439" t="str">
            <v>*</v>
          </cell>
        </row>
        <row r="440">
          <cell r="G440" t="str">
            <v>HOECHST MARRION RUSSOLE LIMITED</v>
          </cell>
          <cell r="I440">
            <v>340124.69</v>
          </cell>
          <cell r="J440">
            <v>0</v>
          </cell>
          <cell r="K440">
            <v>0</v>
          </cell>
          <cell r="L440">
            <v>340124.69</v>
          </cell>
          <cell r="N440">
            <v>0</v>
          </cell>
          <cell r="O440">
            <v>12</v>
          </cell>
          <cell r="V440" t="str">
            <v>*</v>
          </cell>
        </row>
        <row r="441">
          <cell r="G441" t="str">
            <v>SURGI PHARMA (S.P.ENTERPRISE)</v>
          </cell>
          <cell r="I441">
            <v>-2195.92</v>
          </cell>
          <cell r="J441">
            <v>0</v>
          </cell>
          <cell r="K441">
            <v>0</v>
          </cell>
          <cell r="L441">
            <v>-2195.92</v>
          </cell>
          <cell r="N441">
            <v>-2195.92</v>
          </cell>
          <cell r="O441">
            <v>12</v>
          </cell>
          <cell r="V441" t="str">
            <v>*</v>
          </cell>
        </row>
        <row r="442">
          <cell r="G442" t="str">
            <v>JAGDISH CHEDDHA</v>
          </cell>
          <cell r="I442">
            <v>48150.11</v>
          </cell>
          <cell r="J442">
            <v>0</v>
          </cell>
          <cell r="K442">
            <v>0</v>
          </cell>
          <cell r="L442">
            <v>48150.11</v>
          </cell>
          <cell r="N442">
            <v>0</v>
          </cell>
          <cell r="O442">
            <v>12</v>
          </cell>
          <cell r="V442" t="str">
            <v>*</v>
          </cell>
        </row>
        <row r="443">
          <cell r="G443" t="str">
            <v>RAJNI ENTERPRISE (BANK GUARANTEE)</v>
          </cell>
          <cell r="I443">
            <v>3274993.62</v>
          </cell>
          <cell r="J443">
            <v>2437261.5</v>
          </cell>
          <cell r="K443">
            <v>2157629</v>
          </cell>
          <cell r="L443">
            <v>3554626.12</v>
          </cell>
          <cell r="N443">
            <v>0</v>
          </cell>
          <cell r="O443">
            <v>12</v>
          </cell>
          <cell r="V443" t="str">
            <v>*</v>
          </cell>
        </row>
        <row r="444">
          <cell r="G444" t="str">
            <v>SAMARTH HOSPITAL</v>
          </cell>
          <cell r="I444">
            <v>0</v>
          </cell>
          <cell r="J444">
            <v>0</v>
          </cell>
          <cell r="K444">
            <v>0</v>
          </cell>
          <cell r="L444">
            <v>0</v>
          </cell>
          <cell r="N444">
            <v>0</v>
          </cell>
          <cell r="O444">
            <v>12</v>
          </cell>
          <cell r="V444" t="str">
            <v>*</v>
          </cell>
        </row>
        <row r="445">
          <cell r="G445" t="str">
            <v>MAHATMA GANDHI MISSION (NEW BOMBAY HOSP.)</v>
          </cell>
          <cell r="I445">
            <v>0</v>
          </cell>
          <cell r="J445">
            <v>0</v>
          </cell>
          <cell r="K445">
            <v>0</v>
          </cell>
          <cell r="L445">
            <v>0</v>
          </cell>
          <cell r="N445">
            <v>0</v>
          </cell>
          <cell r="O445">
            <v>12</v>
          </cell>
          <cell r="V445" t="str">
            <v>*</v>
          </cell>
        </row>
        <row r="446">
          <cell r="G446" t="str">
            <v>RANE HOSPITAL</v>
          </cell>
          <cell r="I446">
            <v>-2000</v>
          </cell>
          <cell r="J446">
            <v>0</v>
          </cell>
          <cell r="K446">
            <v>0</v>
          </cell>
          <cell r="L446">
            <v>-2000</v>
          </cell>
          <cell r="N446">
            <v>-2000</v>
          </cell>
          <cell r="O446">
            <v>12</v>
          </cell>
          <cell r="V446" t="str">
            <v>*</v>
          </cell>
        </row>
        <row r="447">
          <cell r="G447" t="str">
            <v>S.K.SHARMA &amp; COMPANY</v>
          </cell>
          <cell r="I447">
            <v>0</v>
          </cell>
          <cell r="J447">
            <v>96316.64</v>
          </cell>
          <cell r="K447">
            <v>96316.64</v>
          </cell>
          <cell r="L447">
            <v>0</v>
          </cell>
          <cell r="N447">
            <v>0</v>
          </cell>
          <cell r="O447">
            <v>12</v>
          </cell>
          <cell r="V447" t="str">
            <v>*</v>
          </cell>
        </row>
        <row r="448">
          <cell r="G448" t="str">
            <v>H R J SURGICALS</v>
          </cell>
          <cell r="I448">
            <v>0</v>
          </cell>
          <cell r="J448">
            <v>0</v>
          </cell>
          <cell r="K448">
            <v>0</v>
          </cell>
          <cell r="L448">
            <v>0</v>
          </cell>
          <cell r="N448">
            <v>0</v>
          </cell>
          <cell r="O448">
            <v>12</v>
          </cell>
          <cell r="V448" t="str">
            <v>*</v>
          </cell>
        </row>
        <row r="449">
          <cell r="G449" t="str">
            <v>EDIFICE CORPORATION</v>
          </cell>
          <cell r="I449">
            <v>-189.28</v>
          </cell>
          <cell r="J449">
            <v>313395.65999999997</v>
          </cell>
          <cell r="K449">
            <v>151395.66</v>
          </cell>
          <cell r="L449">
            <v>161810.72</v>
          </cell>
          <cell r="N449">
            <v>0</v>
          </cell>
          <cell r="O449">
            <v>12</v>
          </cell>
          <cell r="V449" t="str">
            <v>*</v>
          </cell>
        </row>
        <row r="450">
          <cell r="G450" t="str">
            <v>SUPERINTENDENT (CAMA) &amp; ALBLES HOSPITAL</v>
          </cell>
          <cell r="I450">
            <v>-5200</v>
          </cell>
          <cell r="J450">
            <v>19000</v>
          </cell>
          <cell r="K450">
            <v>0</v>
          </cell>
          <cell r="L450">
            <v>13800</v>
          </cell>
          <cell r="N450">
            <v>0</v>
          </cell>
          <cell r="O450">
            <v>12</v>
          </cell>
          <cell r="V450" t="str">
            <v>*</v>
          </cell>
        </row>
        <row r="451">
          <cell r="G451" t="str">
            <v>B.A.R.C. HOSPITAL</v>
          </cell>
          <cell r="I451">
            <v>33519.199999999997</v>
          </cell>
          <cell r="J451">
            <v>0</v>
          </cell>
          <cell r="K451">
            <v>0</v>
          </cell>
          <cell r="L451">
            <v>33519.199999999997</v>
          </cell>
          <cell r="N451">
            <v>0</v>
          </cell>
          <cell r="O451">
            <v>12</v>
          </cell>
          <cell r="V451" t="str">
            <v>*</v>
          </cell>
        </row>
        <row r="452">
          <cell r="G452" t="str">
            <v>BREACH CANDY HOSPITAL</v>
          </cell>
          <cell r="I452">
            <v>180400</v>
          </cell>
          <cell r="J452">
            <v>0</v>
          </cell>
          <cell r="K452">
            <v>0</v>
          </cell>
          <cell r="L452">
            <v>180400</v>
          </cell>
          <cell r="N452">
            <v>0</v>
          </cell>
          <cell r="O452">
            <v>12</v>
          </cell>
          <cell r="V452" t="str">
            <v>*</v>
          </cell>
        </row>
        <row r="453">
          <cell r="G453" t="str">
            <v>RAMAKRISHNA MISSION HOSPITAL</v>
          </cell>
          <cell r="I453">
            <v>0</v>
          </cell>
          <cell r="J453">
            <v>0</v>
          </cell>
          <cell r="K453">
            <v>0</v>
          </cell>
          <cell r="L453">
            <v>0</v>
          </cell>
          <cell r="N453">
            <v>0</v>
          </cell>
          <cell r="O453">
            <v>12</v>
          </cell>
          <cell r="V453" t="str">
            <v>*</v>
          </cell>
        </row>
        <row r="454">
          <cell r="G454" t="str">
            <v>HOLY FAMILY HOSPITALS</v>
          </cell>
          <cell r="I454">
            <v>0</v>
          </cell>
          <cell r="J454">
            <v>0</v>
          </cell>
          <cell r="K454">
            <v>0</v>
          </cell>
          <cell r="L454">
            <v>0</v>
          </cell>
          <cell r="N454">
            <v>0</v>
          </cell>
          <cell r="O454">
            <v>12</v>
          </cell>
          <cell r="V454" t="str">
            <v>*</v>
          </cell>
        </row>
        <row r="455">
          <cell r="G455" t="str">
            <v>SHUSHRUSHA CITIZEN CO-OP HOSPITAL LTD.</v>
          </cell>
          <cell r="I455">
            <v>26700</v>
          </cell>
          <cell r="J455">
            <v>0</v>
          </cell>
          <cell r="K455">
            <v>0</v>
          </cell>
          <cell r="L455">
            <v>26700</v>
          </cell>
          <cell r="N455">
            <v>0</v>
          </cell>
          <cell r="O455">
            <v>12</v>
          </cell>
          <cell r="V455" t="str">
            <v>*</v>
          </cell>
        </row>
        <row r="456">
          <cell r="G456" t="str">
            <v>PHADKE HOSPITAL</v>
          </cell>
          <cell r="I456">
            <v>-8843.9</v>
          </cell>
          <cell r="J456">
            <v>0</v>
          </cell>
          <cell r="K456">
            <v>0</v>
          </cell>
          <cell r="L456">
            <v>-8843.9</v>
          </cell>
          <cell r="N456">
            <v>-8843.9</v>
          </cell>
          <cell r="O456">
            <v>12</v>
          </cell>
          <cell r="V456" t="str">
            <v>*</v>
          </cell>
        </row>
        <row r="457">
          <cell r="G457" t="str">
            <v>RAJ ORTHOPAEDIC HOSPITAL</v>
          </cell>
          <cell r="I457">
            <v>0</v>
          </cell>
          <cell r="J457">
            <v>0</v>
          </cell>
          <cell r="K457">
            <v>0</v>
          </cell>
          <cell r="L457">
            <v>0</v>
          </cell>
          <cell r="N457">
            <v>0</v>
          </cell>
          <cell r="O457">
            <v>12</v>
          </cell>
          <cell r="V457" t="str">
            <v>*</v>
          </cell>
        </row>
        <row r="458">
          <cell r="G458" t="str">
            <v>SIR J J GROUP OF HOSPITALS</v>
          </cell>
          <cell r="I458">
            <v>18242.8</v>
          </cell>
          <cell r="J458">
            <v>0</v>
          </cell>
          <cell r="K458">
            <v>0</v>
          </cell>
          <cell r="L458">
            <v>18242.8</v>
          </cell>
          <cell r="N458">
            <v>0</v>
          </cell>
          <cell r="O458">
            <v>12</v>
          </cell>
          <cell r="V458" t="str">
            <v>*</v>
          </cell>
        </row>
        <row r="459">
          <cell r="G459" t="str">
            <v>SUPREME SUPPLIERS</v>
          </cell>
          <cell r="I459">
            <v>0</v>
          </cell>
          <cell r="J459">
            <v>62400</v>
          </cell>
          <cell r="K459">
            <v>62400</v>
          </cell>
          <cell r="L459">
            <v>0</v>
          </cell>
          <cell r="N459">
            <v>0</v>
          </cell>
          <cell r="O459">
            <v>12</v>
          </cell>
          <cell r="V459" t="str">
            <v>*</v>
          </cell>
        </row>
        <row r="460">
          <cell r="G460" t="str">
            <v>EMPIRE CHEMISTS</v>
          </cell>
          <cell r="I460">
            <v>-123.27</v>
          </cell>
          <cell r="J460">
            <v>0</v>
          </cell>
          <cell r="K460">
            <v>0</v>
          </cell>
          <cell r="L460">
            <v>-123.27</v>
          </cell>
          <cell r="N460">
            <v>-123.27</v>
          </cell>
          <cell r="O460">
            <v>12</v>
          </cell>
          <cell r="V460" t="str">
            <v>*</v>
          </cell>
        </row>
        <row r="461">
          <cell r="G461" t="str">
            <v>NAYAN TRADE CORPORATION</v>
          </cell>
          <cell r="I461">
            <v>0</v>
          </cell>
          <cell r="J461">
            <v>0</v>
          </cell>
          <cell r="K461">
            <v>0</v>
          </cell>
          <cell r="L461">
            <v>0</v>
          </cell>
          <cell r="N461">
            <v>0</v>
          </cell>
          <cell r="O461">
            <v>12</v>
          </cell>
          <cell r="V461" t="str">
            <v>*</v>
          </cell>
        </row>
        <row r="462">
          <cell r="G462" t="str">
            <v>DR. SANDEEP DIWAN</v>
          </cell>
          <cell r="I462">
            <v>0.01</v>
          </cell>
          <cell r="J462">
            <v>0</v>
          </cell>
          <cell r="K462">
            <v>0</v>
          </cell>
          <cell r="L462">
            <v>0.01</v>
          </cell>
          <cell r="N462">
            <v>0</v>
          </cell>
          <cell r="O462">
            <v>12</v>
          </cell>
          <cell r="V462" t="str">
            <v>*</v>
          </cell>
        </row>
        <row r="463">
          <cell r="G463" t="str">
            <v>HIRA PHARMA DISTRIBUTORS PVT.LTD</v>
          </cell>
          <cell r="I463">
            <v>93.6</v>
          </cell>
          <cell r="J463">
            <v>0</v>
          </cell>
          <cell r="K463">
            <v>0</v>
          </cell>
          <cell r="L463">
            <v>93.6</v>
          </cell>
          <cell r="N463">
            <v>0</v>
          </cell>
          <cell r="O463">
            <v>12</v>
          </cell>
          <cell r="V463" t="str">
            <v>*</v>
          </cell>
        </row>
        <row r="464">
          <cell r="G464" t="str">
            <v>UNIVAL SURGICAL TRADERS</v>
          </cell>
          <cell r="I464">
            <v>-10311.17</v>
          </cell>
          <cell r="J464">
            <v>20088</v>
          </cell>
          <cell r="K464">
            <v>20088</v>
          </cell>
          <cell r="L464">
            <v>-10311.17</v>
          </cell>
          <cell r="N464">
            <v>-10311.17</v>
          </cell>
          <cell r="O464">
            <v>12</v>
          </cell>
          <cell r="V464" t="str">
            <v>*</v>
          </cell>
        </row>
        <row r="465">
          <cell r="G465" t="str">
            <v>CHETANA FOUNDATION</v>
          </cell>
          <cell r="I465">
            <v>-0.66</v>
          </cell>
          <cell r="J465">
            <v>0</v>
          </cell>
          <cell r="K465">
            <v>0</v>
          </cell>
          <cell r="L465">
            <v>-0.66</v>
          </cell>
          <cell r="N465">
            <v>-0.66</v>
          </cell>
          <cell r="O465">
            <v>12</v>
          </cell>
          <cell r="V465" t="str">
            <v>*</v>
          </cell>
        </row>
        <row r="466">
          <cell r="G466" t="str">
            <v>PRINCE ALI KHAN HOSPITAL</v>
          </cell>
          <cell r="I466">
            <v>14706.03</v>
          </cell>
          <cell r="J466">
            <v>0</v>
          </cell>
          <cell r="K466">
            <v>0</v>
          </cell>
          <cell r="L466">
            <v>14706.03</v>
          </cell>
          <cell r="N466">
            <v>0</v>
          </cell>
          <cell r="O466">
            <v>12</v>
          </cell>
          <cell r="V466" t="str">
            <v>*</v>
          </cell>
        </row>
        <row r="467">
          <cell r="G467" t="str">
            <v>HEELING TOUCH</v>
          </cell>
          <cell r="I467">
            <v>0</v>
          </cell>
          <cell r="J467">
            <v>0</v>
          </cell>
          <cell r="K467">
            <v>0</v>
          </cell>
          <cell r="L467">
            <v>0</v>
          </cell>
          <cell r="N467">
            <v>0</v>
          </cell>
          <cell r="O467">
            <v>12</v>
          </cell>
          <cell r="V467" t="str">
            <v>*</v>
          </cell>
        </row>
        <row r="468">
          <cell r="G468" t="str">
            <v>V.RAJKOTIA &amp; CO.</v>
          </cell>
          <cell r="I468">
            <v>-10.4</v>
          </cell>
          <cell r="J468">
            <v>0</v>
          </cell>
          <cell r="K468">
            <v>0</v>
          </cell>
          <cell r="L468">
            <v>-10.4</v>
          </cell>
          <cell r="N468">
            <v>-10.4</v>
          </cell>
          <cell r="O468">
            <v>12</v>
          </cell>
          <cell r="V468" t="str">
            <v>*</v>
          </cell>
        </row>
        <row r="469">
          <cell r="G469" t="str">
            <v>HOLY SPIRIT HOSPITAL</v>
          </cell>
          <cell r="I469">
            <v>0</v>
          </cell>
          <cell r="J469">
            <v>0</v>
          </cell>
          <cell r="K469">
            <v>0</v>
          </cell>
          <cell r="L469">
            <v>0</v>
          </cell>
          <cell r="N469">
            <v>0</v>
          </cell>
          <cell r="O469">
            <v>12</v>
          </cell>
          <cell r="V469" t="str">
            <v>*</v>
          </cell>
        </row>
        <row r="470">
          <cell r="G470" t="str">
            <v>SHRIMATI SUNITADEVI SINGHANIA MED. RES. CENTRE</v>
          </cell>
          <cell r="I470">
            <v>0</v>
          </cell>
          <cell r="J470">
            <v>0</v>
          </cell>
          <cell r="K470">
            <v>0</v>
          </cell>
          <cell r="L470">
            <v>0</v>
          </cell>
          <cell r="N470">
            <v>0</v>
          </cell>
          <cell r="O470">
            <v>12</v>
          </cell>
          <cell r="V470" t="str">
            <v>*</v>
          </cell>
        </row>
        <row r="471">
          <cell r="G471" t="str">
            <v>PRABHA SURGICALS</v>
          </cell>
          <cell r="I471">
            <v>0</v>
          </cell>
          <cell r="J471">
            <v>241388</v>
          </cell>
          <cell r="K471">
            <v>345158</v>
          </cell>
          <cell r="L471">
            <v>-103770</v>
          </cell>
          <cell r="N471">
            <v>-103770</v>
          </cell>
          <cell r="O471">
            <v>12</v>
          </cell>
          <cell r="V471" t="str">
            <v>*</v>
          </cell>
        </row>
        <row r="472">
          <cell r="G472" t="str">
            <v>KRISHNA CARDIAC CARE CENTRE</v>
          </cell>
          <cell r="I472">
            <v>88000</v>
          </cell>
          <cell r="J472">
            <v>0</v>
          </cell>
          <cell r="K472">
            <v>88000</v>
          </cell>
          <cell r="L472">
            <v>0</v>
          </cell>
          <cell r="N472">
            <v>0</v>
          </cell>
          <cell r="O472">
            <v>12</v>
          </cell>
          <cell r="V472" t="str">
            <v>*</v>
          </cell>
        </row>
        <row r="473">
          <cell r="G473" t="str">
            <v>METCO SCIENTIFIC INDUSTRIES</v>
          </cell>
          <cell r="I473">
            <v>0</v>
          </cell>
          <cell r="J473">
            <v>0</v>
          </cell>
          <cell r="K473">
            <v>0</v>
          </cell>
          <cell r="L473">
            <v>0</v>
          </cell>
          <cell r="N473">
            <v>0</v>
          </cell>
          <cell r="O473">
            <v>12</v>
          </cell>
          <cell r="V473" t="str">
            <v>*</v>
          </cell>
        </row>
        <row r="474">
          <cell r="G474" t="str">
            <v>MEHTA SURGICAL EMPORIUM</v>
          </cell>
          <cell r="I474">
            <v>0</v>
          </cell>
          <cell r="J474">
            <v>0</v>
          </cell>
          <cell r="K474">
            <v>0</v>
          </cell>
          <cell r="L474">
            <v>0</v>
          </cell>
          <cell r="N474">
            <v>0</v>
          </cell>
          <cell r="O474">
            <v>12</v>
          </cell>
          <cell r="V474" t="str">
            <v>*</v>
          </cell>
        </row>
        <row r="475">
          <cell r="G475" t="str">
            <v>SAKHI GROUP</v>
          </cell>
          <cell r="I475">
            <v>0</v>
          </cell>
          <cell r="J475">
            <v>0</v>
          </cell>
          <cell r="K475">
            <v>0</v>
          </cell>
          <cell r="L475">
            <v>0</v>
          </cell>
          <cell r="N475">
            <v>0</v>
          </cell>
          <cell r="O475">
            <v>12</v>
          </cell>
          <cell r="V475" t="str">
            <v>*</v>
          </cell>
        </row>
        <row r="476">
          <cell r="G476" t="str">
            <v>THE MUSLIM AMBULANCE SOCIETY MATERNITY AND NURSING HOME</v>
          </cell>
          <cell r="I476">
            <v>0</v>
          </cell>
          <cell r="J476">
            <v>0</v>
          </cell>
          <cell r="K476">
            <v>0</v>
          </cell>
          <cell r="L476">
            <v>0</v>
          </cell>
          <cell r="N476">
            <v>0</v>
          </cell>
          <cell r="O476">
            <v>12</v>
          </cell>
          <cell r="V476" t="str">
            <v>*</v>
          </cell>
        </row>
        <row r="477">
          <cell r="G477" t="str">
            <v>VAIBHAV SURGICALS</v>
          </cell>
          <cell r="I477">
            <v>0</v>
          </cell>
          <cell r="J477">
            <v>0</v>
          </cell>
          <cell r="K477">
            <v>0</v>
          </cell>
          <cell r="L477">
            <v>0</v>
          </cell>
          <cell r="N477">
            <v>0</v>
          </cell>
          <cell r="O477">
            <v>12</v>
          </cell>
          <cell r="V477" t="str">
            <v>*</v>
          </cell>
        </row>
        <row r="478">
          <cell r="G478" t="str">
            <v>MEDICARE ENTERPRISES</v>
          </cell>
          <cell r="I478">
            <v>52800</v>
          </cell>
          <cell r="J478">
            <v>0</v>
          </cell>
          <cell r="K478">
            <v>52800</v>
          </cell>
          <cell r="L478">
            <v>0</v>
          </cell>
          <cell r="N478">
            <v>0</v>
          </cell>
          <cell r="O478">
            <v>12</v>
          </cell>
          <cell r="V478" t="str">
            <v>*</v>
          </cell>
        </row>
        <row r="479">
          <cell r="G479" t="str">
            <v>M/S JOHL ENTERPRISES</v>
          </cell>
          <cell r="I479">
            <v>0</v>
          </cell>
          <cell r="J479">
            <v>609591.1</v>
          </cell>
          <cell r="K479">
            <v>300000</v>
          </cell>
          <cell r="L479">
            <v>309591.09999999998</v>
          </cell>
          <cell r="N479">
            <v>0</v>
          </cell>
          <cell r="O479">
            <v>12</v>
          </cell>
          <cell r="V479" t="str">
            <v>*</v>
          </cell>
        </row>
        <row r="480">
          <cell r="G480" t="str">
            <v>D.Z. PATEL (RAMOL/LONDON) CARDIO. CENTRE</v>
          </cell>
          <cell r="I480">
            <v>-0.01</v>
          </cell>
          <cell r="J480">
            <v>0</v>
          </cell>
          <cell r="K480">
            <v>0</v>
          </cell>
          <cell r="L480">
            <v>-0.01</v>
          </cell>
          <cell r="N480">
            <v>-0.01</v>
          </cell>
          <cell r="O480">
            <v>12</v>
          </cell>
          <cell r="V480" t="str">
            <v>*</v>
          </cell>
        </row>
        <row r="481">
          <cell r="G481" t="str">
            <v>AMTREX DISTRIBUTORS</v>
          </cell>
          <cell r="I481">
            <v>-1034.9000000000001</v>
          </cell>
          <cell r="J481">
            <v>155950</v>
          </cell>
          <cell r="K481">
            <v>251200</v>
          </cell>
          <cell r="L481">
            <v>-96284.9</v>
          </cell>
          <cell r="N481">
            <v>-96284.9</v>
          </cell>
          <cell r="O481">
            <v>12</v>
          </cell>
          <cell r="V481" t="str">
            <v>*</v>
          </cell>
        </row>
        <row r="482">
          <cell r="G482" t="str">
            <v>RAHUL ENTERPRISES,</v>
          </cell>
          <cell r="I482">
            <v>-15.12</v>
          </cell>
          <cell r="J482">
            <v>0</v>
          </cell>
          <cell r="K482">
            <v>0</v>
          </cell>
          <cell r="L482">
            <v>-15.12</v>
          </cell>
          <cell r="N482">
            <v>-15.12</v>
          </cell>
          <cell r="O482">
            <v>12</v>
          </cell>
          <cell r="V482" t="str">
            <v>*</v>
          </cell>
        </row>
        <row r="483">
          <cell r="G483" t="str">
            <v>RAJEBAHADUR HEART FOUNDATION PVT. LTD.</v>
          </cell>
          <cell r="I483">
            <v>0.18</v>
          </cell>
          <cell r="J483">
            <v>0</v>
          </cell>
          <cell r="K483">
            <v>0</v>
          </cell>
          <cell r="L483">
            <v>0.18</v>
          </cell>
          <cell r="N483">
            <v>0</v>
          </cell>
          <cell r="O483">
            <v>12</v>
          </cell>
          <cell r="V483" t="str">
            <v>*</v>
          </cell>
        </row>
        <row r="484">
          <cell r="G484" t="str">
            <v>SHREE SAMARTH RISHIKESH HOSPITAL</v>
          </cell>
          <cell r="I484">
            <v>0</v>
          </cell>
          <cell r="J484">
            <v>0</v>
          </cell>
          <cell r="K484">
            <v>0</v>
          </cell>
          <cell r="L484">
            <v>0</v>
          </cell>
          <cell r="N484">
            <v>0</v>
          </cell>
          <cell r="O484">
            <v>12</v>
          </cell>
          <cell r="V484" t="str">
            <v>*</v>
          </cell>
        </row>
        <row r="485">
          <cell r="G485" t="str">
            <v>HEALING TOUCH ANGIOGRAPHY &amp; CARD. SURG. CENTRE PVT. LTD.</v>
          </cell>
          <cell r="I485">
            <v>518999.96</v>
          </cell>
          <cell r="J485">
            <v>229000</v>
          </cell>
          <cell r="K485">
            <v>747999.96</v>
          </cell>
          <cell r="L485">
            <v>0</v>
          </cell>
          <cell r="N485">
            <v>0</v>
          </cell>
          <cell r="O485">
            <v>12</v>
          </cell>
          <cell r="V485" t="str">
            <v>*</v>
          </cell>
        </row>
        <row r="486">
          <cell r="G486" t="str">
            <v>CHAITAINYA ENTERPRISES</v>
          </cell>
          <cell r="I486">
            <v>5245.44</v>
          </cell>
          <cell r="J486">
            <v>26000</v>
          </cell>
          <cell r="K486">
            <v>31348</v>
          </cell>
          <cell r="L486">
            <v>-102.56</v>
          </cell>
          <cell r="N486">
            <v>-102.56</v>
          </cell>
          <cell r="O486">
            <v>12</v>
          </cell>
          <cell r="V486" t="str">
            <v>*</v>
          </cell>
        </row>
        <row r="487">
          <cell r="G487" t="str">
            <v>PIONEER DIST. PANJI</v>
          </cell>
          <cell r="I487">
            <v>15851.4</v>
          </cell>
          <cell r="J487">
            <v>0</v>
          </cell>
          <cell r="K487">
            <v>0</v>
          </cell>
          <cell r="L487">
            <v>15851.4</v>
          </cell>
          <cell r="N487">
            <v>0</v>
          </cell>
          <cell r="O487">
            <v>12</v>
          </cell>
          <cell r="V487" t="str">
            <v>*</v>
          </cell>
        </row>
        <row r="488">
          <cell r="G488" t="str">
            <v>THE DEAN</v>
          </cell>
          <cell r="I488">
            <v>0</v>
          </cell>
          <cell r="J488">
            <v>0</v>
          </cell>
          <cell r="K488">
            <v>0</v>
          </cell>
          <cell r="L488">
            <v>0</v>
          </cell>
          <cell r="N488">
            <v>0</v>
          </cell>
          <cell r="O488">
            <v>12</v>
          </cell>
          <cell r="V488" t="str">
            <v>*</v>
          </cell>
        </row>
        <row r="489">
          <cell r="G489" t="str">
            <v>BHAGWATI MEDICAL AGENCY</v>
          </cell>
          <cell r="I489">
            <v>0</v>
          </cell>
          <cell r="J489">
            <v>0</v>
          </cell>
          <cell r="K489">
            <v>0</v>
          </cell>
          <cell r="L489">
            <v>0</v>
          </cell>
          <cell r="N489">
            <v>0</v>
          </cell>
          <cell r="O489">
            <v>12</v>
          </cell>
          <cell r="V489" t="str">
            <v>*</v>
          </cell>
        </row>
        <row r="490">
          <cell r="G490" t="str">
            <v>MEDICAL SUPERINTENDENT JEHANGIR HOSPITAL</v>
          </cell>
          <cell r="I490">
            <v>24708.98</v>
          </cell>
          <cell r="J490">
            <v>0</v>
          </cell>
          <cell r="K490">
            <v>0</v>
          </cell>
          <cell r="L490">
            <v>24708.98</v>
          </cell>
          <cell r="N490">
            <v>0</v>
          </cell>
          <cell r="O490">
            <v>12</v>
          </cell>
          <cell r="V490" t="str">
            <v>*</v>
          </cell>
        </row>
        <row r="491">
          <cell r="G491" t="str">
            <v>KANCHAN DRUGS PVT LTD</v>
          </cell>
          <cell r="I491">
            <v>157578.14000000001</v>
          </cell>
          <cell r="J491">
            <v>0</v>
          </cell>
          <cell r="K491">
            <v>0</v>
          </cell>
          <cell r="L491">
            <v>157578.14000000001</v>
          </cell>
          <cell r="N491">
            <v>0</v>
          </cell>
          <cell r="O491">
            <v>12</v>
          </cell>
          <cell r="V491" t="str">
            <v>*</v>
          </cell>
        </row>
        <row r="492">
          <cell r="G492" t="str">
            <v>KANCHAN DRUGS PVT LTD  (URALI)</v>
          </cell>
          <cell r="I492">
            <v>59999.8</v>
          </cell>
          <cell r="J492">
            <v>0</v>
          </cell>
          <cell r="K492">
            <v>0</v>
          </cell>
          <cell r="L492">
            <v>59999.8</v>
          </cell>
          <cell r="N492">
            <v>0</v>
          </cell>
          <cell r="O492">
            <v>12</v>
          </cell>
          <cell r="V492" t="str">
            <v>*</v>
          </cell>
        </row>
        <row r="493">
          <cell r="G493" t="str">
            <v>MAHARASHTRA MEDICAL RESEARCH SOCIETY</v>
          </cell>
          <cell r="I493">
            <v>25411.74</v>
          </cell>
          <cell r="J493">
            <v>0</v>
          </cell>
          <cell r="K493">
            <v>0</v>
          </cell>
          <cell r="L493">
            <v>25411.74</v>
          </cell>
          <cell r="N493">
            <v>0</v>
          </cell>
          <cell r="O493">
            <v>12</v>
          </cell>
          <cell r="V493" t="str">
            <v>*</v>
          </cell>
        </row>
        <row r="494">
          <cell r="G494" t="str">
            <v>ARMED FORCES MEDICAL COLLEGE</v>
          </cell>
          <cell r="I494">
            <v>145600</v>
          </cell>
          <cell r="J494">
            <v>0</v>
          </cell>
          <cell r="K494">
            <v>0</v>
          </cell>
          <cell r="L494">
            <v>145600</v>
          </cell>
          <cell r="N494">
            <v>0</v>
          </cell>
          <cell r="O494">
            <v>12</v>
          </cell>
          <cell r="V494" t="str">
            <v>*</v>
          </cell>
        </row>
        <row r="495">
          <cell r="G495" t="str">
            <v>POONA MEDICAL FOUDATION</v>
          </cell>
          <cell r="I495">
            <v>0</v>
          </cell>
          <cell r="J495">
            <v>0</v>
          </cell>
          <cell r="K495">
            <v>0</v>
          </cell>
          <cell r="L495">
            <v>0</v>
          </cell>
          <cell r="N495">
            <v>0</v>
          </cell>
          <cell r="O495">
            <v>12</v>
          </cell>
          <cell r="V495" t="str">
            <v>*</v>
          </cell>
        </row>
        <row r="496">
          <cell r="G496" t="str">
            <v>SHREE MEDICAL FOUNDATION (PRAYAG HP)</v>
          </cell>
          <cell r="I496">
            <v>-0.03</v>
          </cell>
          <cell r="J496">
            <v>0</v>
          </cell>
          <cell r="K496">
            <v>0</v>
          </cell>
          <cell r="L496">
            <v>-0.03</v>
          </cell>
          <cell r="N496">
            <v>-0.03</v>
          </cell>
          <cell r="O496">
            <v>12</v>
          </cell>
          <cell r="V496" t="str">
            <v>*</v>
          </cell>
        </row>
        <row r="497">
          <cell r="G497" t="str">
            <v>INSTITUTE OF TOXICOLOGICAL STUDIES</v>
          </cell>
          <cell r="I497">
            <v>-200</v>
          </cell>
          <cell r="J497">
            <v>0</v>
          </cell>
          <cell r="K497">
            <v>0</v>
          </cell>
          <cell r="L497">
            <v>-200</v>
          </cell>
          <cell r="N497">
            <v>-200</v>
          </cell>
          <cell r="O497">
            <v>12</v>
          </cell>
          <cell r="V497" t="str">
            <v>*</v>
          </cell>
        </row>
        <row r="498">
          <cell r="G498" t="str">
            <v>THE MEDICAL SUPERINTENDENT K.E.M. HOSPITAL</v>
          </cell>
          <cell r="I498">
            <v>16674.080000000002</v>
          </cell>
          <cell r="J498">
            <v>0</v>
          </cell>
          <cell r="K498">
            <v>0</v>
          </cell>
          <cell r="L498">
            <v>16674.080000000002</v>
          </cell>
          <cell r="N498">
            <v>0</v>
          </cell>
          <cell r="O498">
            <v>12</v>
          </cell>
          <cell r="V498" t="str">
            <v>*</v>
          </cell>
        </row>
        <row r="499">
          <cell r="G499" t="str">
            <v>THE MEDICAL SUPERINTENDENT RATNA HOSPITAL</v>
          </cell>
          <cell r="I499">
            <v>0</v>
          </cell>
          <cell r="J499">
            <v>0</v>
          </cell>
          <cell r="K499">
            <v>0</v>
          </cell>
          <cell r="L499">
            <v>0</v>
          </cell>
          <cell r="N499">
            <v>0</v>
          </cell>
          <cell r="O499">
            <v>12</v>
          </cell>
          <cell r="V499" t="str">
            <v>*</v>
          </cell>
        </row>
        <row r="500">
          <cell r="G500" t="str">
            <v>RATNA MEMORIAL HOSPITAL</v>
          </cell>
          <cell r="I500">
            <v>0</v>
          </cell>
          <cell r="J500">
            <v>0</v>
          </cell>
          <cell r="K500">
            <v>0</v>
          </cell>
          <cell r="L500">
            <v>0</v>
          </cell>
          <cell r="N500">
            <v>0</v>
          </cell>
          <cell r="O500">
            <v>12</v>
          </cell>
          <cell r="V500" t="str">
            <v>*</v>
          </cell>
        </row>
        <row r="501">
          <cell r="G501" t="str">
            <v>DR. A.W. KALANTRE</v>
          </cell>
          <cell r="I501">
            <v>0</v>
          </cell>
          <cell r="J501">
            <v>0</v>
          </cell>
          <cell r="K501">
            <v>0</v>
          </cell>
          <cell r="L501">
            <v>0</v>
          </cell>
          <cell r="N501">
            <v>0</v>
          </cell>
          <cell r="O501">
            <v>12</v>
          </cell>
          <cell r="V501" t="str">
            <v>*</v>
          </cell>
        </row>
        <row r="502">
          <cell r="G502" t="str">
            <v>N.M.WADIA HOSPITAL</v>
          </cell>
          <cell r="I502">
            <v>0.01</v>
          </cell>
          <cell r="J502">
            <v>0</v>
          </cell>
          <cell r="K502">
            <v>0</v>
          </cell>
          <cell r="L502">
            <v>0.01</v>
          </cell>
          <cell r="N502">
            <v>0</v>
          </cell>
          <cell r="O502">
            <v>12</v>
          </cell>
          <cell r="V502" t="str">
            <v>*</v>
          </cell>
        </row>
        <row r="503">
          <cell r="G503" t="str">
            <v>DR. SHAISHNAV CLINIC</v>
          </cell>
          <cell r="I503">
            <v>0</v>
          </cell>
          <cell r="J503">
            <v>0</v>
          </cell>
          <cell r="K503">
            <v>0</v>
          </cell>
          <cell r="L503">
            <v>0</v>
          </cell>
          <cell r="N503">
            <v>0</v>
          </cell>
          <cell r="O503">
            <v>12</v>
          </cell>
          <cell r="V503" t="str">
            <v>*</v>
          </cell>
        </row>
        <row r="504">
          <cell r="G504" t="str">
            <v>DR. D.Y. PATIL HOSPITAL &amp; RESEARCH CENTRE</v>
          </cell>
          <cell r="I504">
            <v>0</v>
          </cell>
          <cell r="J504">
            <v>0</v>
          </cell>
          <cell r="K504">
            <v>0</v>
          </cell>
          <cell r="L504">
            <v>0</v>
          </cell>
          <cell r="N504">
            <v>0</v>
          </cell>
          <cell r="O504">
            <v>12</v>
          </cell>
          <cell r="V504" t="str">
            <v>*</v>
          </cell>
        </row>
        <row r="505">
          <cell r="G505" t="str">
            <v>ELMED</v>
          </cell>
          <cell r="I505">
            <v>0</v>
          </cell>
          <cell r="J505">
            <v>92240</v>
          </cell>
          <cell r="K505">
            <v>92240</v>
          </cell>
          <cell r="L505">
            <v>0</v>
          </cell>
          <cell r="N505">
            <v>0</v>
          </cell>
          <cell r="O505">
            <v>12</v>
          </cell>
          <cell r="V505" t="str">
            <v>*</v>
          </cell>
        </row>
        <row r="506">
          <cell r="G506" t="str">
            <v>JAGTAP HOSPITAL</v>
          </cell>
          <cell r="I506">
            <v>0</v>
          </cell>
          <cell r="J506">
            <v>99000</v>
          </cell>
          <cell r="K506">
            <v>99000</v>
          </cell>
          <cell r="L506">
            <v>0</v>
          </cell>
          <cell r="N506">
            <v>0</v>
          </cell>
          <cell r="O506">
            <v>12</v>
          </cell>
          <cell r="V506" t="str">
            <v>*</v>
          </cell>
        </row>
        <row r="507">
          <cell r="G507" t="str">
            <v>FAIRDEAL  AGENCIES</v>
          </cell>
          <cell r="I507">
            <v>14052.5</v>
          </cell>
          <cell r="J507">
            <v>0</v>
          </cell>
          <cell r="K507">
            <v>0</v>
          </cell>
          <cell r="L507">
            <v>14052.5</v>
          </cell>
          <cell r="N507">
            <v>0</v>
          </cell>
          <cell r="O507">
            <v>12</v>
          </cell>
          <cell r="V507" t="str">
            <v>*</v>
          </cell>
        </row>
        <row r="508">
          <cell r="G508" t="str">
            <v>BECHTEL INTERNATIONAL INC.</v>
          </cell>
          <cell r="I508">
            <v>0</v>
          </cell>
          <cell r="J508">
            <v>0</v>
          </cell>
          <cell r="K508">
            <v>0</v>
          </cell>
          <cell r="L508">
            <v>0</v>
          </cell>
          <cell r="N508">
            <v>0</v>
          </cell>
          <cell r="O508">
            <v>12</v>
          </cell>
          <cell r="V508" t="str">
            <v>*</v>
          </cell>
        </row>
        <row r="509">
          <cell r="G509" t="str">
            <v>BAGREE ENTERPRISE RAIPUR,</v>
          </cell>
          <cell r="I509">
            <v>-18862.580000000002</v>
          </cell>
          <cell r="J509">
            <v>149911.82</v>
          </cell>
          <cell r="K509">
            <v>131911.82</v>
          </cell>
          <cell r="L509">
            <v>-862.58</v>
          </cell>
          <cell r="N509">
            <v>-862.58</v>
          </cell>
          <cell r="O509">
            <v>12</v>
          </cell>
          <cell r="V509" t="str">
            <v>*</v>
          </cell>
        </row>
        <row r="510">
          <cell r="G510" t="str">
            <v>ASHWINI SAHAKARI RUGNALAYA &amp; REC. CEN. NORTH</v>
          </cell>
          <cell r="I510">
            <v>-1000</v>
          </cell>
          <cell r="J510">
            <v>0</v>
          </cell>
          <cell r="K510">
            <v>0</v>
          </cell>
          <cell r="L510">
            <v>-1000</v>
          </cell>
          <cell r="N510">
            <v>-1000</v>
          </cell>
          <cell r="O510">
            <v>12</v>
          </cell>
          <cell r="V510" t="str">
            <v>*</v>
          </cell>
        </row>
        <row r="511">
          <cell r="G511" t="str">
            <v>SHREE MAHAVIR HEALTH &amp; MED. RELIEF SOC.</v>
          </cell>
          <cell r="I511">
            <v>0</v>
          </cell>
          <cell r="J511">
            <v>0</v>
          </cell>
          <cell r="K511">
            <v>0</v>
          </cell>
          <cell r="L511">
            <v>0</v>
          </cell>
          <cell r="N511">
            <v>0</v>
          </cell>
          <cell r="O511">
            <v>12</v>
          </cell>
          <cell r="V511" t="str">
            <v>*</v>
          </cell>
        </row>
        <row r="512">
          <cell r="G512" t="str">
            <v>HEALING HANDS HOSPITAL</v>
          </cell>
          <cell r="I512">
            <v>0</v>
          </cell>
          <cell r="J512">
            <v>0</v>
          </cell>
          <cell r="K512">
            <v>0</v>
          </cell>
          <cell r="L512">
            <v>0</v>
          </cell>
          <cell r="N512">
            <v>0</v>
          </cell>
          <cell r="O512">
            <v>12</v>
          </cell>
          <cell r="V512" t="str">
            <v>*</v>
          </cell>
        </row>
        <row r="513">
          <cell r="G513" t="str">
            <v>PARMITA TRADING CO. LTD</v>
          </cell>
          <cell r="I513">
            <v>-1166.4000000000001</v>
          </cell>
          <cell r="J513">
            <v>0</v>
          </cell>
          <cell r="K513">
            <v>0</v>
          </cell>
          <cell r="L513">
            <v>-1166.4000000000001</v>
          </cell>
          <cell r="N513">
            <v>-1166.4000000000001</v>
          </cell>
          <cell r="O513">
            <v>12</v>
          </cell>
          <cell r="V513" t="str">
            <v>*</v>
          </cell>
        </row>
        <row r="514">
          <cell r="G514" t="str">
            <v>IMPEX SPEEDWAYS</v>
          </cell>
          <cell r="I514">
            <v>0</v>
          </cell>
          <cell r="J514">
            <v>0</v>
          </cell>
          <cell r="K514">
            <v>0</v>
          </cell>
          <cell r="L514">
            <v>0</v>
          </cell>
          <cell r="N514">
            <v>0</v>
          </cell>
          <cell r="O514">
            <v>12</v>
          </cell>
          <cell r="V514" t="str">
            <v>*</v>
          </cell>
        </row>
        <row r="515">
          <cell r="G515" t="str">
            <v>PROVISION FOR DOUBTFUL DEBTS - 3RD PARTY</v>
          </cell>
          <cell r="H515" t="str">
            <v>Less: Provision for Doubtful Debts</v>
          </cell>
          <cell r="I515">
            <v>-8093766</v>
          </cell>
          <cell r="J515">
            <v>0</v>
          </cell>
          <cell r="K515">
            <v>0</v>
          </cell>
          <cell r="L515">
            <v>-8093766</v>
          </cell>
          <cell r="N515">
            <v>-8093766</v>
          </cell>
          <cell r="O515" t="str">
            <v>Z</v>
          </cell>
          <cell r="V515" t="str">
            <v>*</v>
          </cell>
        </row>
        <row r="516">
          <cell r="G516" t="str">
            <v>B.BRAUN MEDICAL IND. SDN. BHD.</v>
          </cell>
          <cell r="H516" t="str">
            <v>Due from Group Cos.</v>
          </cell>
          <cell r="I516">
            <v>325004.5</v>
          </cell>
          <cell r="J516">
            <v>0</v>
          </cell>
          <cell r="K516">
            <v>0</v>
          </cell>
          <cell r="L516">
            <v>338173.5</v>
          </cell>
          <cell r="N516">
            <v>11312658.149999999</v>
          </cell>
          <cell r="O516">
            <v>13</v>
          </cell>
          <cell r="V516" t="str">
            <v>*</v>
          </cell>
        </row>
        <row r="517">
          <cell r="G517" t="str">
            <v>B.BRAUN MEDICAL SUPPLIES SDN.BHD</v>
          </cell>
          <cell r="I517">
            <v>141853.76000000001</v>
          </cell>
          <cell r="J517">
            <v>0</v>
          </cell>
          <cell r="K517">
            <v>0</v>
          </cell>
          <cell r="L517">
            <v>166257.76</v>
          </cell>
          <cell r="O517">
            <v>13</v>
          </cell>
          <cell r="V517" t="str">
            <v>*</v>
          </cell>
        </row>
        <row r="518">
          <cell r="G518" t="str">
            <v>B.BRAUN SURGICAL SDN. BHD.</v>
          </cell>
          <cell r="I518">
            <v>57281</v>
          </cell>
          <cell r="J518">
            <v>160410</v>
          </cell>
          <cell r="K518">
            <v>57281</v>
          </cell>
          <cell r="L518">
            <v>160670</v>
          </cell>
          <cell r="O518">
            <v>13</v>
          </cell>
          <cell r="V518" t="str">
            <v>*</v>
          </cell>
        </row>
        <row r="519">
          <cell r="G519" t="str">
            <v>B.BRAUN NEEDLES INDUSTRIES</v>
          </cell>
          <cell r="I519">
            <v>1082003.56</v>
          </cell>
          <cell r="J519">
            <v>270555</v>
          </cell>
          <cell r="K519">
            <v>0</v>
          </cell>
          <cell r="L519">
            <v>1395415.56</v>
          </cell>
          <cell r="O519">
            <v>13</v>
          </cell>
          <cell r="V519" t="str">
            <v>*</v>
          </cell>
        </row>
        <row r="520">
          <cell r="G520" t="str">
            <v>B.BRAUN PRECISION ENG. SDN.BHD</v>
          </cell>
          <cell r="I520">
            <v>1077255</v>
          </cell>
          <cell r="J520">
            <v>0</v>
          </cell>
          <cell r="K520">
            <v>0</v>
          </cell>
          <cell r="L520">
            <v>1130864</v>
          </cell>
          <cell r="O520">
            <v>13</v>
          </cell>
          <cell r="V520" t="str">
            <v>*</v>
          </cell>
        </row>
        <row r="521">
          <cell r="G521" t="str">
            <v>B.BRAUN INTERNATIONAL PTE. LTD.</v>
          </cell>
          <cell r="I521">
            <v>47578</v>
          </cell>
          <cell r="J521">
            <v>0</v>
          </cell>
          <cell r="K521">
            <v>7209</v>
          </cell>
          <cell r="L521">
            <v>41506</v>
          </cell>
          <cell r="O521">
            <v>13</v>
          </cell>
          <cell r="V521" t="str">
            <v>*</v>
          </cell>
        </row>
        <row r="522">
          <cell r="G522" t="str">
            <v>B.BRAUN INTERNATIONAL PTE. LTD.</v>
          </cell>
          <cell r="I522">
            <v>118162.5</v>
          </cell>
          <cell r="J522">
            <v>0</v>
          </cell>
          <cell r="K522">
            <v>0</v>
          </cell>
          <cell r="L522">
            <v>115000.5</v>
          </cell>
          <cell r="O522">
            <v>13</v>
          </cell>
          <cell r="V522" t="str">
            <v>*</v>
          </cell>
        </row>
        <row r="523">
          <cell r="G523" t="str">
            <v>B.BRAUN MELSUNGEN AG.</v>
          </cell>
          <cell r="I523">
            <v>2091557.73</v>
          </cell>
          <cell r="J523">
            <v>199822</v>
          </cell>
          <cell r="K523">
            <v>79945.960000000006</v>
          </cell>
          <cell r="L523">
            <v>2273808.77</v>
          </cell>
          <cell r="O523">
            <v>13</v>
          </cell>
          <cell r="V523" t="str">
            <v>*</v>
          </cell>
        </row>
        <row r="524">
          <cell r="G524" t="str">
            <v>AESCULAP AG &amp; CO.KG - TUTTLINGEN</v>
          </cell>
          <cell r="I524">
            <v>4615592.68</v>
          </cell>
          <cell r="J524">
            <v>4621174.4800000004</v>
          </cell>
          <cell r="K524">
            <v>5062006.22</v>
          </cell>
          <cell r="L524">
            <v>4192089.94</v>
          </cell>
          <cell r="O524">
            <v>13</v>
          </cell>
          <cell r="V524" t="str">
            <v>*</v>
          </cell>
        </row>
        <row r="525">
          <cell r="G525" t="str">
            <v>AESCULAP AG &amp; CO. KG - MELSUNGEN</v>
          </cell>
          <cell r="I525">
            <v>45661.22</v>
          </cell>
          <cell r="J525">
            <v>43683</v>
          </cell>
          <cell r="K525">
            <v>89421.48</v>
          </cell>
          <cell r="L525">
            <v>-86.78</v>
          </cell>
          <cell r="O525">
            <v>13</v>
          </cell>
          <cell r="V525" t="str">
            <v>*</v>
          </cell>
        </row>
        <row r="526">
          <cell r="G526" t="str">
            <v>B.BRAUN MEDICAL S.A.FRANCE</v>
          </cell>
          <cell r="I526">
            <v>22128.75</v>
          </cell>
          <cell r="J526">
            <v>0</v>
          </cell>
          <cell r="K526">
            <v>0</v>
          </cell>
          <cell r="L526">
            <v>19234.75</v>
          </cell>
          <cell r="O526">
            <v>13</v>
          </cell>
          <cell r="V526" t="str">
            <v>*</v>
          </cell>
        </row>
        <row r="527">
          <cell r="G527" t="str">
            <v>B.BRAUN SURGICAL S.A. SPAIN</v>
          </cell>
          <cell r="I527">
            <v>200922</v>
          </cell>
          <cell r="J527">
            <v>769609</v>
          </cell>
          <cell r="K527">
            <v>0</v>
          </cell>
          <cell r="L527">
            <v>981336</v>
          </cell>
          <cell r="O527">
            <v>13</v>
          </cell>
          <cell r="V527" t="str">
            <v>*</v>
          </cell>
        </row>
        <row r="528">
          <cell r="G528" t="str">
            <v>B.BRAUN MEDICAL LIMITED,U.K.</v>
          </cell>
          <cell r="I528">
            <v>262700.79999999999</v>
          </cell>
          <cell r="J528">
            <v>376344</v>
          </cell>
          <cell r="K528">
            <v>635104.52</v>
          </cell>
          <cell r="L528">
            <v>3940.28</v>
          </cell>
          <cell r="O528">
            <v>13</v>
          </cell>
          <cell r="V528" t="str">
            <v>*</v>
          </cell>
        </row>
        <row r="529">
          <cell r="G529" t="str">
            <v>B.BRAUN MEDICAL INC.</v>
          </cell>
          <cell r="I529">
            <v>76262.87</v>
          </cell>
          <cell r="J529">
            <v>7209</v>
          </cell>
          <cell r="K529">
            <v>0</v>
          </cell>
          <cell r="L529">
            <v>87980.87</v>
          </cell>
          <cell r="O529">
            <v>13</v>
          </cell>
          <cell r="V529" t="str">
            <v>*</v>
          </cell>
        </row>
        <row r="530">
          <cell r="G530" t="str">
            <v>ATRIUM MEDICAL CORP.</v>
          </cell>
          <cell r="I530">
            <v>93997</v>
          </cell>
          <cell r="J530">
            <v>0</v>
          </cell>
          <cell r="K530">
            <v>0</v>
          </cell>
          <cell r="L530">
            <v>97115</v>
          </cell>
          <cell r="O530">
            <v>13</v>
          </cell>
          <cell r="V530" t="str">
            <v>*</v>
          </cell>
        </row>
        <row r="531">
          <cell r="G531" t="str">
            <v>B.BRAUN MEDICAL IND. SDN. BHD.</v>
          </cell>
          <cell r="I531">
            <v>0</v>
          </cell>
          <cell r="J531">
            <v>0</v>
          </cell>
          <cell r="K531">
            <v>0</v>
          </cell>
          <cell r="L531">
            <v>0</v>
          </cell>
          <cell r="O531">
            <v>13</v>
          </cell>
          <cell r="V531" t="str">
            <v>*</v>
          </cell>
        </row>
        <row r="532">
          <cell r="G532" t="str">
            <v>B.BRAUN PHARMACEUTICAL IND. S/B</v>
          </cell>
          <cell r="I532">
            <v>555000</v>
          </cell>
          <cell r="J532">
            <v>0</v>
          </cell>
          <cell r="K532">
            <v>500000</v>
          </cell>
          <cell r="L532">
            <v>55000</v>
          </cell>
          <cell r="O532">
            <v>13</v>
          </cell>
          <cell r="V532" t="str">
            <v>*</v>
          </cell>
        </row>
        <row r="533">
          <cell r="G533" t="str">
            <v>B.BRAUN HANOI PHARMACEUTICALS CO.</v>
          </cell>
          <cell r="I533">
            <v>180912</v>
          </cell>
          <cell r="J533">
            <v>0</v>
          </cell>
          <cell r="K533">
            <v>0</v>
          </cell>
          <cell r="L533">
            <v>180912</v>
          </cell>
          <cell r="O533">
            <v>13</v>
          </cell>
          <cell r="V533" t="str">
            <v>*</v>
          </cell>
        </row>
        <row r="534">
          <cell r="G534" t="str">
            <v>B.BRAUN MELSUNGEN AG.</v>
          </cell>
          <cell r="I534">
            <v>73440</v>
          </cell>
          <cell r="J534">
            <v>0</v>
          </cell>
          <cell r="K534">
            <v>0</v>
          </cell>
          <cell r="L534">
            <v>73440</v>
          </cell>
          <cell r="O534">
            <v>13</v>
          </cell>
          <cell r="V534" t="str">
            <v>*</v>
          </cell>
        </row>
        <row r="535">
          <cell r="G535" t="str">
            <v>B.BRAUN MEDICAL AG. SWITZERLAND</v>
          </cell>
          <cell r="I535">
            <v>0</v>
          </cell>
          <cell r="J535">
            <v>0</v>
          </cell>
          <cell r="K535">
            <v>0</v>
          </cell>
          <cell r="L535">
            <v>0</v>
          </cell>
          <cell r="O535">
            <v>13</v>
          </cell>
          <cell r="V535" t="str">
            <v>*</v>
          </cell>
        </row>
        <row r="536">
          <cell r="G536" t="str">
            <v>MODVAT RECEIVABLE -RG 23 PART II</v>
          </cell>
          <cell r="H536" t="str">
            <v>Modvat RG23-Part II</v>
          </cell>
          <cell r="I536">
            <v>74512</v>
          </cell>
          <cell r="J536">
            <v>0</v>
          </cell>
          <cell r="K536">
            <v>0</v>
          </cell>
          <cell r="L536">
            <v>74512</v>
          </cell>
          <cell r="N536">
            <v>74512</v>
          </cell>
          <cell r="O536" t="str">
            <v>z</v>
          </cell>
          <cell r="U536">
            <v>502403</v>
          </cell>
          <cell r="V536" t="str">
            <v>*</v>
          </cell>
        </row>
        <row r="537">
          <cell r="G537" t="str">
            <v>DEPOSIT IN P.L.A. A/C</v>
          </cell>
          <cell r="H537" t="str">
            <v>Deposit in PLA</v>
          </cell>
          <cell r="I537">
            <v>3592</v>
          </cell>
          <cell r="J537">
            <v>0</v>
          </cell>
          <cell r="K537">
            <v>0</v>
          </cell>
          <cell r="L537">
            <v>3592</v>
          </cell>
          <cell r="N537">
            <v>3592</v>
          </cell>
          <cell r="O537" t="str">
            <v>z</v>
          </cell>
          <cell r="V537" t="str">
            <v>*</v>
          </cell>
        </row>
        <row r="538">
          <cell r="G538" t="str">
            <v>REFUNDABLE DUTY A/C</v>
          </cell>
          <cell r="H538" t="str">
            <v>Refundable Duty A/c</v>
          </cell>
          <cell r="I538">
            <v>424299</v>
          </cell>
          <cell r="J538">
            <v>0</v>
          </cell>
          <cell r="K538">
            <v>0</v>
          </cell>
          <cell r="L538">
            <v>424299</v>
          </cell>
          <cell r="N538">
            <v>424299</v>
          </cell>
          <cell r="O538" t="str">
            <v>z</v>
          </cell>
          <cell r="V538" t="str">
            <v>*</v>
          </cell>
        </row>
        <row r="539">
          <cell r="G539" t="str">
            <v>FESTIWAL ADVANCES</v>
          </cell>
          <cell r="H539" t="str">
            <v>Festival Advance</v>
          </cell>
          <cell r="I539">
            <v>51800</v>
          </cell>
          <cell r="J539">
            <v>0</v>
          </cell>
          <cell r="K539">
            <v>600</v>
          </cell>
          <cell r="L539">
            <v>51200</v>
          </cell>
          <cell r="N539">
            <v>51200</v>
          </cell>
          <cell r="O539" t="str">
            <v>z</v>
          </cell>
          <cell r="U539">
            <v>51200</v>
          </cell>
          <cell r="V539" t="str">
            <v>*</v>
          </cell>
        </row>
        <row r="540">
          <cell r="G540" t="str">
            <v>TOUR ADVANCES</v>
          </cell>
          <cell r="I540">
            <v>0</v>
          </cell>
          <cell r="J540">
            <v>15532</v>
          </cell>
          <cell r="K540">
            <v>15532</v>
          </cell>
          <cell r="L540">
            <v>0</v>
          </cell>
          <cell r="N540">
            <v>0</v>
          </cell>
          <cell r="O540" t="str">
            <v>z</v>
          </cell>
          <cell r="U540">
            <v>130325</v>
          </cell>
          <cell r="V540" t="str">
            <v>*</v>
          </cell>
        </row>
        <row r="541">
          <cell r="G541" t="str">
            <v>LALIT KUMAR SETH</v>
          </cell>
          <cell r="I541">
            <v>0</v>
          </cell>
          <cell r="J541">
            <v>57990</v>
          </cell>
          <cell r="K541">
            <v>57990</v>
          </cell>
          <cell r="L541">
            <v>0</v>
          </cell>
          <cell r="N541">
            <v>0</v>
          </cell>
          <cell r="O541" t="str">
            <v>z</v>
          </cell>
          <cell r="V541" t="str">
            <v>*</v>
          </cell>
        </row>
        <row r="542">
          <cell r="G542" t="str">
            <v>V. LAKSHMIPATHY</v>
          </cell>
          <cell r="I542">
            <v>0</v>
          </cell>
          <cell r="J542">
            <v>0</v>
          </cell>
          <cell r="K542">
            <v>0</v>
          </cell>
          <cell r="L542">
            <v>0</v>
          </cell>
          <cell r="N542">
            <v>0</v>
          </cell>
          <cell r="O542" t="str">
            <v>z</v>
          </cell>
          <cell r="V542" t="str">
            <v>*</v>
          </cell>
        </row>
        <row r="543">
          <cell r="G543" t="str">
            <v>ASHISH K. MATTU</v>
          </cell>
          <cell r="I543">
            <v>0</v>
          </cell>
          <cell r="J543">
            <v>0</v>
          </cell>
          <cell r="K543">
            <v>0</v>
          </cell>
          <cell r="L543">
            <v>0</v>
          </cell>
          <cell r="N543">
            <v>0</v>
          </cell>
          <cell r="O543" t="str">
            <v>z</v>
          </cell>
          <cell r="V543" t="str">
            <v>*</v>
          </cell>
        </row>
        <row r="544">
          <cell r="G544" t="str">
            <v>MAHITOSH BHATNAGAR</v>
          </cell>
          <cell r="I544">
            <v>0</v>
          </cell>
          <cell r="J544">
            <v>11748</v>
          </cell>
          <cell r="K544">
            <v>11748</v>
          </cell>
          <cell r="L544">
            <v>0</v>
          </cell>
          <cell r="N544">
            <v>0</v>
          </cell>
          <cell r="O544" t="str">
            <v>z</v>
          </cell>
          <cell r="V544" t="str">
            <v>*</v>
          </cell>
        </row>
        <row r="545">
          <cell r="G545" t="str">
            <v>S. A. JOHNSON</v>
          </cell>
          <cell r="I545">
            <v>9500</v>
          </cell>
          <cell r="J545">
            <v>11476</v>
          </cell>
          <cell r="K545">
            <v>10977</v>
          </cell>
          <cell r="L545">
            <v>9999</v>
          </cell>
          <cell r="N545">
            <v>9999</v>
          </cell>
          <cell r="O545" t="str">
            <v>z</v>
          </cell>
          <cell r="V545" t="str">
            <v>*</v>
          </cell>
        </row>
        <row r="546">
          <cell r="G546" t="str">
            <v>RAJENDER S. GOLAN</v>
          </cell>
          <cell r="I546">
            <v>0</v>
          </cell>
          <cell r="J546">
            <v>8485</v>
          </cell>
          <cell r="K546">
            <v>8485</v>
          </cell>
          <cell r="L546">
            <v>0</v>
          </cell>
          <cell r="N546">
            <v>0</v>
          </cell>
          <cell r="O546" t="str">
            <v>z</v>
          </cell>
          <cell r="V546" t="str">
            <v>*</v>
          </cell>
        </row>
        <row r="547">
          <cell r="G547" t="str">
            <v>BHAVESH B. PANDYA</v>
          </cell>
          <cell r="I547">
            <v>0</v>
          </cell>
          <cell r="J547">
            <v>0</v>
          </cell>
          <cell r="K547">
            <v>0</v>
          </cell>
          <cell r="L547">
            <v>0</v>
          </cell>
          <cell r="N547">
            <v>0</v>
          </cell>
          <cell r="O547" t="str">
            <v>z</v>
          </cell>
          <cell r="V547" t="str">
            <v>*</v>
          </cell>
        </row>
        <row r="548">
          <cell r="G548" t="str">
            <v>PRATIBHA  SHIRSALE</v>
          </cell>
          <cell r="I548">
            <v>0</v>
          </cell>
          <cell r="J548">
            <v>0</v>
          </cell>
          <cell r="K548">
            <v>0</v>
          </cell>
          <cell r="L548">
            <v>0</v>
          </cell>
          <cell r="N548">
            <v>0</v>
          </cell>
          <cell r="O548" t="str">
            <v>z</v>
          </cell>
          <cell r="V548" t="str">
            <v>*</v>
          </cell>
        </row>
        <row r="549">
          <cell r="G549" t="str">
            <v>LALIT P.  JADE</v>
          </cell>
          <cell r="I549">
            <v>0</v>
          </cell>
          <cell r="J549">
            <v>17470</v>
          </cell>
          <cell r="K549">
            <v>0</v>
          </cell>
          <cell r="L549">
            <v>17470</v>
          </cell>
          <cell r="N549">
            <v>17470</v>
          </cell>
          <cell r="O549" t="str">
            <v>z</v>
          </cell>
          <cell r="V549" t="str">
            <v>*</v>
          </cell>
        </row>
        <row r="550">
          <cell r="G550" t="str">
            <v>MANISH DESHMUKH</v>
          </cell>
          <cell r="I550">
            <v>0</v>
          </cell>
          <cell r="J550">
            <v>0</v>
          </cell>
          <cell r="K550">
            <v>0</v>
          </cell>
          <cell r="L550">
            <v>0</v>
          </cell>
          <cell r="N550">
            <v>0</v>
          </cell>
          <cell r="O550" t="str">
            <v>z</v>
          </cell>
          <cell r="V550" t="str">
            <v>*</v>
          </cell>
        </row>
        <row r="551">
          <cell r="G551" t="str">
            <v>NITISH SHARMA</v>
          </cell>
          <cell r="I551">
            <v>0</v>
          </cell>
          <cell r="J551">
            <v>0</v>
          </cell>
          <cell r="K551">
            <v>0</v>
          </cell>
          <cell r="L551">
            <v>0</v>
          </cell>
          <cell r="N551">
            <v>0</v>
          </cell>
          <cell r="O551" t="str">
            <v>z</v>
          </cell>
          <cell r="V551" t="str">
            <v>*</v>
          </cell>
        </row>
        <row r="552">
          <cell r="G552" t="str">
            <v>PRAKASH CHANDRA MISHRA</v>
          </cell>
          <cell r="I552">
            <v>0</v>
          </cell>
          <cell r="J552">
            <v>2090</v>
          </cell>
          <cell r="K552">
            <v>2090</v>
          </cell>
          <cell r="L552">
            <v>0</v>
          </cell>
          <cell r="N552">
            <v>0</v>
          </cell>
          <cell r="O552" t="str">
            <v>z</v>
          </cell>
          <cell r="V552" t="str">
            <v>*</v>
          </cell>
        </row>
        <row r="553">
          <cell r="G553" t="str">
            <v>SATISH K. PALRECHA</v>
          </cell>
          <cell r="I553">
            <v>0</v>
          </cell>
          <cell r="J553">
            <v>6470</v>
          </cell>
          <cell r="K553">
            <v>6470</v>
          </cell>
          <cell r="L553">
            <v>0</v>
          </cell>
          <cell r="N553">
            <v>0</v>
          </cell>
          <cell r="O553" t="str">
            <v>z</v>
          </cell>
          <cell r="V553" t="str">
            <v>*</v>
          </cell>
        </row>
        <row r="554">
          <cell r="G554" t="str">
            <v>AMIT KUMAR SETHI</v>
          </cell>
          <cell r="I554">
            <v>0</v>
          </cell>
          <cell r="J554">
            <v>5898</v>
          </cell>
          <cell r="K554">
            <v>5898</v>
          </cell>
          <cell r="L554">
            <v>0</v>
          </cell>
          <cell r="N554">
            <v>0</v>
          </cell>
          <cell r="O554" t="str">
            <v>z</v>
          </cell>
          <cell r="V554" t="str">
            <v>*</v>
          </cell>
        </row>
        <row r="555">
          <cell r="G555" t="str">
            <v>URVASHI SINGH</v>
          </cell>
          <cell r="I555">
            <v>0</v>
          </cell>
          <cell r="J555">
            <v>2030</v>
          </cell>
          <cell r="K555">
            <v>2030</v>
          </cell>
          <cell r="L555">
            <v>0</v>
          </cell>
          <cell r="N555">
            <v>0</v>
          </cell>
          <cell r="O555" t="str">
            <v>z</v>
          </cell>
          <cell r="V555" t="str">
            <v>*</v>
          </cell>
        </row>
        <row r="556">
          <cell r="G556" t="str">
            <v>KAUSHIK BHATTACHARYA</v>
          </cell>
          <cell r="I556">
            <v>0</v>
          </cell>
          <cell r="J556">
            <v>5244</v>
          </cell>
          <cell r="K556">
            <v>5244</v>
          </cell>
          <cell r="L556">
            <v>0</v>
          </cell>
          <cell r="N556">
            <v>0</v>
          </cell>
          <cell r="O556" t="str">
            <v>z</v>
          </cell>
          <cell r="V556" t="str">
            <v>*</v>
          </cell>
        </row>
        <row r="557">
          <cell r="G557" t="str">
            <v>NIRMAL CHANDRA BANIK</v>
          </cell>
          <cell r="I557">
            <v>0</v>
          </cell>
          <cell r="J557">
            <v>19502</v>
          </cell>
          <cell r="K557">
            <v>19502</v>
          </cell>
          <cell r="L557">
            <v>0</v>
          </cell>
          <cell r="N557">
            <v>0</v>
          </cell>
          <cell r="O557" t="str">
            <v>z</v>
          </cell>
          <cell r="V557" t="str">
            <v>*</v>
          </cell>
        </row>
        <row r="558">
          <cell r="G558" t="str">
            <v>ATANU MAJUMDAR</v>
          </cell>
          <cell r="I558">
            <v>0</v>
          </cell>
          <cell r="J558">
            <v>7030</v>
          </cell>
          <cell r="K558">
            <v>7030</v>
          </cell>
          <cell r="L558">
            <v>0</v>
          </cell>
          <cell r="N558">
            <v>0</v>
          </cell>
          <cell r="O558" t="str">
            <v>z</v>
          </cell>
          <cell r="V558" t="str">
            <v>*</v>
          </cell>
        </row>
        <row r="559">
          <cell r="G559" t="str">
            <v>KINGSHOOK MALLIK</v>
          </cell>
          <cell r="I559">
            <v>0</v>
          </cell>
          <cell r="J559">
            <v>5212</v>
          </cell>
          <cell r="K559">
            <v>5212</v>
          </cell>
          <cell r="L559">
            <v>0</v>
          </cell>
          <cell r="N559">
            <v>0</v>
          </cell>
          <cell r="O559" t="str">
            <v>z</v>
          </cell>
          <cell r="V559" t="str">
            <v>*</v>
          </cell>
        </row>
        <row r="560">
          <cell r="G560" t="str">
            <v>SOMNATH MAJUMDAR</v>
          </cell>
          <cell r="I560">
            <v>0</v>
          </cell>
          <cell r="J560">
            <v>0</v>
          </cell>
          <cell r="K560">
            <v>0</v>
          </cell>
          <cell r="L560">
            <v>0</v>
          </cell>
          <cell r="N560">
            <v>0</v>
          </cell>
          <cell r="O560" t="str">
            <v>z</v>
          </cell>
          <cell r="V560" t="str">
            <v>*</v>
          </cell>
        </row>
        <row r="561">
          <cell r="G561" t="str">
            <v>ANAND IYER</v>
          </cell>
          <cell r="I561">
            <v>0</v>
          </cell>
          <cell r="J561">
            <v>12489</v>
          </cell>
          <cell r="K561">
            <v>2489</v>
          </cell>
          <cell r="L561">
            <v>10000</v>
          </cell>
          <cell r="N561">
            <v>10000</v>
          </cell>
          <cell r="O561" t="str">
            <v>z</v>
          </cell>
          <cell r="V561" t="str">
            <v>*</v>
          </cell>
        </row>
        <row r="562">
          <cell r="G562" t="str">
            <v>MANOJ KUMARAR MISHRA</v>
          </cell>
          <cell r="I562">
            <v>0</v>
          </cell>
          <cell r="J562">
            <v>0</v>
          </cell>
          <cell r="K562">
            <v>0</v>
          </cell>
          <cell r="L562">
            <v>0</v>
          </cell>
          <cell r="N562">
            <v>0</v>
          </cell>
          <cell r="O562" t="str">
            <v>z</v>
          </cell>
          <cell r="V562" t="str">
            <v>*</v>
          </cell>
        </row>
        <row r="563">
          <cell r="G563" t="str">
            <v>NILESH CHANDAN</v>
          </cell>
          <cell r="I563">
            <v>0</v>
          </cell>
          <cell r="J563">
            <v>0</v>
          </cell>
          <cell r="K563">
            <v>0</v>
          </cell>
          <cell r="L563">
            <v>0</v>
          </cell>
          <cell r="N563">
            <v>0</v>
          </cell>
          <cell r="O563" t="str">
            <v>z</v>
          </cell>
          <cell r="V563" t="str">
            <v>*</v>
          </cell>
        </row>
        <row r="564">
          <cell r="G564" t="str">
            <v>ANITA TOMAR</v>
          </cell>
          <cell r="I564">
            <v>0</v>
          </cell>
          <cell r="J564">
            <v>0</v>
          </cell>
          <cell r="K564">
            <v>0</v>
          </cell>
          <cell r="L564">
            <v>0</v>
          </cell>
          <cell r="N564">
            <v>0</v>
          </cell>
          <cell r="O564" t="str">
            <v>z</v>
          </cell>
          <cell r="V564" t="str">
            <v>*</v>
          </cell>
        </row>
        <row r="565">
          <cell r="G565" t="str">
            <v>PRASHANT TRIVEDI</v>
          </cell>
          <cell r="I565">
            <v>0</v>
          </cell>
          <cell r="J565">
            <v>9337</v>
          </cell>
          <cell r="K565">
            <v>9337</v>
          </cell>
          <cell r="L565">
            <v>0</v>
          </cell>
          <cell r="N565">
            <v>0</v>
          </cell>
          <cell r="O565" t="str">
            <v>z</v>
          </cell>
          <cell r="V565" t="str">
            <v>*</v>
          </cell>
        </row>
        <row r="566">
          <cell r="G566" t="str">
            <v>ANAND APTE</v>
          </cell>
          <cell r="I566">
            <v>37706</v>
          </cell>
          <cell r="J566">
            <v>0</v>
          </cell>
          <cell r="K566">
            <v>37706</v>
          </cell>
          <cell r="L566">
            <v>0</v>
          </cell>
          <cell r="N566">
            <v>0</v>
          </cell>
          <cell r="O566" t="str">
            <v>z</v>
          </cell>
          <cell r="V566" t="str">
            <v>*</v>
          </cell>
        </row>
        <row r="567">
          <cell r="G567" t="str">
            <v>MANOJ KUMAR- PATNA</v>
          </cell>
          <cell r="I567">
            <v>0</v>
          </cell>
          <cell r="J567">
            <v>0</v>
          </cell>
          <cell r="K567">
            <v>0</v>
          </cell>
          <cell r="L567">
            <v>0</v>
          </cell>
          <cell r="N567">
            <v>0</v>
          </cell>
          <cell r="O567" t="str">
            <v>z</v>
          </cell>
          <cell r="V567" t="str">
            <v>*</v>
          </cell>
        </row>
        <row r="568">
          <cell r="G568" t="str">
            <v>NILIMA PARKAR</v>
          </cell>
          <cell r="I568">
            <v>0</v>
          </cell>
          <cell r="J568">
            <v>0</v>
          </cell>
          <cell r="K568">
            <v>0</v>
          </cell>
          <cell r="L568">
            <v>0</v>
          </cell>
          <cell r="N568">
            <v>0</v>
          </cell>
          <cell r="O568" t="str">
            <v>z</v>
          </cell>
          <cell r="V568" t="str">
            <v>*</v>
          </cell>
        </row>
        <row r="569">
          <cell r="G569" t="str">
            <v>SANTOSH SAWANT</v>
          </cell>
          <cell r="I569">
            <v>0</v>
          </cell>
          <cell r="J569">
            <v>6972</v>
          </cell>
          <cell r="K569">
            <v>6972</v>
          </cell>
          <cell r="L569">
            <v>0</v>
          </cell>
          <cell r="N569">
            <v>0</v>
          </cell>
          <cell r="O569" t="str">
            <v>z</v>
          </cell>
          <cell r="V569" t="str">
            <v>*</v>
          </cell>
        </row>
        <row r="570">
          <cell r="G570" t="str">
            <v>INDRANIL MUKHERJEE</v>
          </cell>
          <cell r="I570">
            <v>0</v>
          </cell>
          <cell r="J570">
            <v>0</v>
          </cell>
          <cell r="K570">
            <v>0</v>
          </cell>
          <cell r="L570">
            <v>0</v>
          </cell>
          <cell r="N570">
            <v>0</v>
          </cell>
          <cell r="O570" t="str">
            <v>z</v>
          </cell>
          <cell r="V570" t="str">
            <v>*</v>
          </cell>
        </row>
        <row r="571">
          <cell r="G571" t="str">
            <v>JACOB PAYRA</v>
          </cell>
          <cell r="I571">
            <v>0</v>
          </cell>
          <cell r="J571">
            <v>0</v>
          </cell>
          <cell r="K571">
            <v>0</v>
          </cell>
          <cell r="L571">
            <v>0</v>
          </cell>
          <cell r="N571">
            <v>0</v>
          </cell>
          <cell r="O571" t="str">
            <v>z</v>
          </cell>
          <cell r="V571" t="str">
            <v>*</v>
          </cell>
        </row>
        <row r="572">
          <cell r="G572" t="str">
            <v>AVTAR SINGH MADAN</v>
          </cell>
          <cell r="I572">
            <v>0</v>
          </cell>
          <cell r="J572">
            <v>12394</v>
          </cell>
          <cell r="K572">
            <v>12394</v>
          </cell>
          <cell r="L572">
            <v>0</v>
          </cell>
          <cell r="N572">
            <v>0</v>
          </cell>
          <cell r="O572" t="str">
            <v>z</v>
          </cell>
          <cell r="V572" t="str">
            <v>*</v>
          </cell>
        </row>
        <row r="573">
          <cell r="G573" t="str">
            <v>SUNIL GULATI</v>
          </cell>
          <cell r="I573">
            <v>0</v>
          </cell>
          <cell r="J573">
            <v>2672</v>
          </cell>
          <cell r="K573">
            <v>2672</v>
          </cell>
          <cell r="L573">
            <v>0</v>
          </cell>
          <cell r="N573">
            <v>0</v>
          </cell>
          <cell r="O573" t="str">
            <v>z</v>
          </cell>
          <cell r="V573" t="str">
            <v>*</v>
          </cell>
        </row>
        <row r="574">
          <cell r="G574" t="str">
            <v>K. RAVI SHANKAR</v>
          </cell>
          <cell r="I574">
            <v>18673</v>
          </cell>
          <cell r="J574">
            <v>0</v>
          </cell>
          <cell r="K574">
            <v>18673</v>
          </cell>
          <cell r="L574">
            <v>0</v>
          </cell>
          <cell r="N574">
            <v>0</v>
          </cell>
          <cell r="O574" t="str">
            <v>z</v>
          </cell>
          <cell r="V574" t="str">
            <v>*</v>
          </cell>
        </row>
        <row r="575">
          <cell r="G575" t="str">
            <v>RAVINDRA K. GUPTA</v>
          </cell>
          <cell r="I575">
            <v>0</v>
          </cell>
          <cell r="J575">
            <v>0</v>
          </cell>
          <cell r="K575">
            <v>0</v>
          </cell>
          <cell r="L575">
            <v>0</v>
          </cell>
          <cell r="N575">
            <v>0</v>
          </cell>
          <cell r="O575" t="str">
            <v>z</v>
          </cell>
          <cell r="V575" t="str">
            <v>*</v>
          </cell>
        </row>
        <row r="576">
          <cell r="G576" t="str">
            <v>SUMAN CHAKRAVARTY</v>
          </cell>
          <cell r="I576">
            <v>0</v>
          </cell>
          <cell r="J576">
            <v>15572</v>
          </cell>
          <cell r="K576">
            <v>15572</v>
          </cell>
          <cell r="L576">
            <v>0</v>
          </cell>
          <cell r="N576">
            <v>0</v>
          </cell>
          <cell r="O576" t="str">
            <v>z</v>
          </cell>
          <cell r="V576" t="str">
            <v>*</v>
          </cell>
        </row>
        <row r="577">
          <cell r="G577" t="str">
            <v>CHENTHAMARAKSHAN A. S.</v>
          </cell>
          <cell r="I577">
            <v>0</v>
          </cell>
          <cell r="J577">
            <v>23930</v>
          </cell>
          <cell r="K577">
            <v>23930</v>
          </cell>
          <cell r="L577">
            <v>0</v>
          </cell>
          <cell r="N577">
            <v>0</v>
          </cell>
          <cell r="O577" t="str">
            <v>z</v>
          </cell>
          <cell r="V577" t="str">
            <v>*</v>
          </cell>
        </row>
        <row r="578">
          <cell r="G578" t="str">
            <v>SUBRAMANYA K. R.</v>
          </cell>
          <cell r="I578">
            <v>0</v>
          </cell>
          <cell r="J578">
            <v>0</v>
          </cell>
          <cell r="K578">
            <v>0</v>
          </cell>
          <cell r="L578">
            <v>0</v>
          </cell>
          <cell r="N578">
            <v>0</v>
          </cell>
          <cell r="O578" t="str">
            <v>z</v>
          </cell>
          <cell r="V578" t="str">
            <v>*</v>
          </cell>
        </row>
        <row r="579">
          <cell r="G579" t="str">
            <v>MANOJ KUMAR G. S.</v>
          </cell>
          <cell r="I579">
            <v>0</v>
          </cell>
          <cell r="J579">
            <v>0</v>
          </cell>
          <cell r="K579">
            <v>0</v>
          </cell>
          <cell r="L579">
            <v>0</v>
          </cell>
          <cell r="N579">
            <v>0</v>
          </cell>
          <cell r="O579" t="str">
            <v>z</v>
          </cell>
          <cell r="V579" t="str">
            <v>*</v>
          </cell>
        </row>
        <row r="580">
          <cell r="G580" t="str">
            <v>AARTI K.SUVARNA</v>
          </cell>
          <cell r="I580">
            <v>0</v>
          </cell>
          <cell r="J580">
            <v>25133</v>
          </cell>
          <cell r="K580">
            <v>0</v>
          </cell>
          <cell r="L580">
            <v>25133</v>
          </cell>
          <cell r="N580">
            <v>25133</v>
          </cell>
          <cell r="O580" t="str">
            <v>z</v>
          </cell>
          <cell r="V580" t="str">
            <v>*</v>
          </cell>
        </row>
        <row r="581">
          <cell r="G581" t="str">
            <v>K. R. SESHADRI</v>
          </cell>
          <cell r="I581">
            <v>0</v>
          </cell>
          <cell r="J581">
            <v>3376</v>
          </cell>
          <cell r="K581">
            <v>3376</v>
          </cell>
          <cell r="L581">
            <v>0</v>
          </cell>
          <cell r="N581">
            <v>0</v>
          </cell>
          <cell r="O581" t="str">
            <v>z</v>
          </cell>
          <cell r="V581" t="str">
            <v>*</v>
          </cell>
        </row>
        <row r="582">
          <cell r="G582" t="str">
            <v>ARUP KUMAR DAS</v>
          </cell>
          <cell r="I582">
            <v>0</v>
          </cell>
          <cell r="J582">
            <v>0</v>
          </cell>
          <cell r="K582">
            <v>0</v>
          </cell>
          <cell r="L582">
            <v>0</v>
          </cell>
          <cell r="N582">
            <v>0</v>
          </cell>
          <cell r="O582" t="str">
            <v>z</v>
          </cell>
          <cell r="V582" t="str">
            <v>*</v>
          </cell>
        </row>
        <row r="583">
          <cell r="G583" t="str">
            <v>B. BALAKRISHANAN</v>
          </cell>
          <cell r="I583">
            <v>0</v>
          </cell>
          <cell r="J583">
            <v>0</v>
          </cell>
          <cell r="K583">
            <v>0</v>
          </cell>
          <cell r="L583">
            <v>0</v>
          </cell>
          <cell r="N583">
            <v>0</v>
          </cell>
          <cell r="O583" t="str">
            <v>z</v>
          </cell>
          <cell r="V583" t="str">
            <v>*</v>
          </cell>
        </row>
        <row r="584">
          <cell r="G584" t="str">
            <v>PAWAN KUMAR PANDEY</v>
          </cell>
          <cell r="I584">
            <v>0</v>
          </cell>
          <cell r="J584">
            <v>13912</v>
          </cell>
          <cell r="K584">
            <v>13912</v>
          </cell>
          <cell r="L584">
            <v>0</v>
          </cell>
          <cell r="N584">
            <v>0</v>
          </cell>
          <cell r="O584" t="str">
            <v>z</v>
          </cell>
          <cell r="V584" t="str">
            <v>*</v>
          </cell>
        </row>
        <row r="585">
          <cell r="G585" t="str">
            <v>PRADEEP PANDITA</v>
          </cell>
          <cell r="I585">
            <v>0</v>
          </cell>
          <cell r="J585">
            <v>0</v>
          </cell>
          <cell r="K585">
            <v>0</v>
          </cell>
          <cell r="L585">
            <v>0</v>
          </cell>
          <cell r="N585">
            <v>0</v>
          </cell>
          <cell r="O585" t="str">
            <v>z</v>
          </cell>
          <cell r="V585" t="str">
            <v>*</v>
          </cell>
        </row>
        <row r="586">
          <cell r="G586" t="str">
            <v>VISHAL KATKAR</v>
          </cell>
          <cell r="I586">
            <v>0</v>
          </cell>
          <cell r="J586">
            <v>13641</v>
          </cell>
          <cell r="K586">
            <v>13641</v>
          </cell>
          <cell r="L586">
            <v>0</v>
          </cell>
          <cell r="N586">
            <v>0</v>
          </cell>
          <cell r="O586" t="str">
            <v>z</v>
          </cell>
          <cell r="V586" t="str">
            <v>*</v>
          </cell>
        </row>
        <row r="587">
          <cell r="G587" t="str">
            <v>SAJID KHAN</v>
          </cell>
          <cell r="I587">
            <v>0</v>
          </cell>
          <cell r="J587">
            <v>12556</v>
          </cell>
          <cell r="K587">
            <v>12556</v>
          </cell>
          <cell r="L587">
            <v>0</v>
          </cell>
          <cell r="N587">
            <v>0</v>
          </cell>
          <cell r="O587" t="str">
            <v>z</v>
          </cell>
          <cell r="V587" t="str">
            <v>*</v>
          </cell>
        </row>
        <row r="588">
          <cell r="G588" t="str">
            <v>G. V. R. TAGORE</v>
          </cell>
          <cell r="I588">
            <v>0</v>
          </cell>
          <cell r="J588">
            <v>0</v>
          </cell>
          <cell r="K588">
            <v>0</v>
          </cell>
          <cell r="L588">
            <v>0</v>
          </cell>
          <cell r="N588">
            <v>0</v>
          </cell>
          <cell r="O588" t="str">
            <v>z</v>
          </cell>
          <cell r="V588" t="str">
            <v>*</v>
          </cell>
        </row>
        <row r="589">
          <cell r="G589" t="str">
            <v>MAHESH KUMAR KHISTY</v>
          </cell>
          <cell r="I589">
            <v>5000</v>
          </cell>
          <cell r="J589">
            <v>10093</v>
          </cell>
          <cell r="K589">
            <v>5093</v>
          </cell>
          <cell r="L589">
            <v>10000</v>
          </cell>
          <cell r="N589">
            <v>10000</v>
          </cell>
          <cell r="O589" t="str">
            <v>z</v>
          </cell>
          <cell r="V589" t="str">
            <v>*</v>
          </cell>
        </row>
        <row r="590">
          <cell r="G590" t="str">
            <v>DELEEP KACHROO</v>
          </cell>
          <cell r="I590">
            <v>0</v>
          </cell>
          <cell r="J590">
            <v>0</v>
          </cell>
          <cell r="K590">
            <v>0</v>
          </cell>
          <cell r="L590">
            <v>0</v>
          </cell>
          <cell r="N590">
            <v>0</v>
          </cell>
          <cell r="O590" t="str">
            <v>z</v>
          </cell>
          <cell r="V590" t="str">
            <v>*</v>
          </cell>
        </row>
        <row r="591">
          <cell r="G591" t="str">
            <v>RAKESH BRAHMBHATT</v>
          </cell>
          <cell r="I591">
            <v>0</v>
          </cell>
          <cell r="J591">
            <v>7766</v>
          </cell>
          <cell r="K591">
            <v>7766</v>
          </cell>
          <cell r="L591">
            <v>0</v>
          </cell>
          <cell r="N591">
            <v>0</v>
          </cell>
          <cell r="O591" t="str">
            <v>z</v>
          </cell>
          <cell r="V591" t="str">
            <v>*</v>
          </cell>
        </row>
        <row r="592">
          <cell r="G592" t="str">
            <v>PARTHA BARUAH</v>
          </cell>
          <cell r="I592">
            <v>0</v>
          </cell>
          <cell r="J592">
            <v>4467</v>
          </cell>
          <cell r="K592">
            <v>4467</v>
          </cell>
          <cell r="L592">
            <v>0</v>
          </cell>
          <cell r="N592">
            <v>0</v>
          </cell>
          <cell r="O592" t="str">
            <v>z</v>
          </cell>
          <cell r="V592" t="str">
            <v>*</v>
          </cell>
        </row>
        <row r="593">
          <cell r="G593" t="str">
            <v>ACHUTHA PRAKASH A. J.</v>
          </cell>
          <cell r="I593">
            <v>0</v>
          </cell>
          <cell r="J593">
            <v>0</v>
          </cell>
          <cell r="K593">
            <v>0</v>
          </cell>
          <cell r="L593">
            <v>0</v>
          </cell>
          <cell r="N593">
            <v>0</v>
          </cell>
          <cell r="O593" t="str">
            <v>z</v>
          </cell>
          <cell r="V593" t="str">
            <v>*</v>
          </cell>
        </row>
        <row r="594">
          <cell r="G594" t="str">
            <v>DR. KAILASH SHARMA</v>
          </cell>
          <cell r="I594">
            <v>-13538</v>
          </cell>
          <cell r="J594">
            <v>0</v>
          </cell>
          <cell r="K594">
            <v>0</v>
          </cell>
          <cell r="L594">
            <v>-13538</v>
          </cell>
          <cell r="N594">
            <v>-13538</v>
          </cell>
          <cell r="O594" t="str">
            <v>z</v>
          </cell>
          <cell r="V594" t="str">
            <v>*</v>
          </cell>
        </row>
        <row r="595">
          <cell r="G595" t="str">
            <v>DIPANKAR DAS</v>
          </cell>
          <cell r="I595">
            <v>0</v>
          </cell>
          <cell r="J595">
            <v>0</v>
          </cell>
          <cell r="K595">
            <v>0</v>
          </cell>
          <cell r="L595">
            <v>0</v>
          </cell>
          <cell r="N595">
            <v>0</v>
          </cell>
          <cell r="O595" t="str">
            <v>z</v>
          </cell>
          <cell r="V595" t="str">
            <v>*</v>
          </cell>
        </row>
        <row r="596">
          <cell r="G596" t="str">
            <v>RAJINDER SINGH</v>
          </cell>
          <cell r="I596">
            <v>0</v>
          </cell>
          <cell r="J596">
            <v>0</v>
          </cell>
          <cell r="K596">
            <v>0</v>
          </cell>
          <cell r="L596">
            <v>0</v>
          </cell>
          <cell r="N596">
            <v>0</v>
          </cell>
          <cell r="O596" t="str">
            <v>z</v>
          </cell>
          <cell r="V596" t="str">
            <v>*</v>
          </cell>
        </row>
        <row r="597">
          <cell r="G597" t="str">
            <v>NITIN N. RODE</v>
          </cell>
          <cell r="I597">
            <v>6000</v>
          </cell>
          <cell r="J597">
            <v>12244</v>
          </cell>
          <cell r="K597">
            <v>15244</v>
          </cell>
          <cell r="L597">
            <v>3000</v>
          </cell>
          <cell r="N597">
            <v>3000</v>
          </cell>
          <cell r="O597" t="str">
            <v>z</v>
          </cell>
          <cell r="V597" t="str">
            <v>*</v>
          </cell>
        </row>
        <row r="598">
          <cell r="G598" t="str">
            <v>HEMANT MOHITE</v>
          </cell>
          <cell r="I598">
            <v>0</v>
          </cell>
          <cell r="J598">
            <v>7000</v>
          </cell>
          <cell r="K598">
            <v>0</v>
          </cell>
          <cell r="L598">
            <v>7000</v>
          </cell>
          <cell r="N598">
            <v>7000</v>
          </cell>
          <cell r="O598" t="str">
            <v>z</v>
          </cell>
          <cell r="V598" t="str">
            <v>*</v>
          </cell>
        </row>
        <row r="599">
          <cell r="G599" t="str">
            <v>RAJESH HUDDAR</v>
          </cell>
          <cell r="I599">
            <v>63145</v>
          </cell>
          <cell r="J599">
            <v>460</v>
          </cell>
          <cell r="K599">
            <v>52212</v>
          </cell>
          <cell r="L599">
            <v>11393</v>
          </cell>
          <cell r="N599">
            <v>11393</v>
          </cell>
          <cell r="O599" t="str">
            <v>z</v>
          </cell>
          <cell r="V599" t="str">
            <v>*</v>
          </cell>
        </row>
        <row r="600">
          <cell r="G600" t="str">
            <v>YOGESH LAKHANI</v>
          </cell>
          <cell r="I600">
            <v>10000</v>
          </cell>
          <cell r="J600">
            <v>0</v>
          </cell>
          <cell r="K600">
            <v>10000</v>
          </cell>
          <cell r="L600">
            <v>0</v>
          </cell>
          <cell r="N600">
            <v>0</v>
          </cell>
          <cell r="O600" t="str">
            <v>z</v>
          </cell>
          <cell r="V600" t="str">
            <v>*</v>
          </cell>
        </row>
        <row r="601">
          <cell r="G601" t="str">
            <v>RAJU KAUL</v>
          </cell>
          <cell r="I601">
            <v>0</v>
          </cell>
          <cell r="J601">
            <v>0</v>
          </cell>
          <cell r="K601">
            <v>0</v>
          </cell>
          <cell r="L601">
            <v>0</v>
          </cell>
          <cell r="N601">
            <v>0</v>
          </cell>
          <cell r="O601" t="str">
            <v>z</v>
          </cell>
          <cell r="V601" t="str">
            <v>*</v>
          </cell>
        </row>
        <row r="602">
          <cell r="G602" t="str">
            <v>R. RAMESH</v>
          </cell>
          <cell r="I602">
            <v>0</v>
          </cell>
          <cell r="J602">
            <v>0</v>
          </cell>
          <cell r="K602">
            <v>0</v>
          </cell>
          <cell r="L602">
            <v>0</v>
          </cell>
          <cell r="N602">
            <v>0</v>
          </cell>
          <cell r="O602" t="str">
            <v>z</v>
          </cell>
          <cell r="V602" t="str">
            <v>*</v>
          </cell>
        </row>
        <row r="603">
          <cell r="G603" t="str">
            <v>BIJAY PHILIP</v>
          </cell>
          <cell r="I603">
            <v>0</v>
          </cell>
          <cell r="J603">
            <v>3104</v>
          </cell>
          <cell r="K603">
            <v>3104</v>
          </cell>
          <cell r="L603">
            <v>0</v>
          </cell>
          <cell r="N603">
            <v>0</v>
          </cell>
          <cell r="O603" t="str">
            <v>z</v>
          </cell>
          <cell r="V603" t="str">
            <v>*</v>
          </cell>
        </row>
        <row r="604">
          <cell r="G604" t="str">
            <v>NASER AHMED</v>
          </cell>
          <cell r="I604">
            <v>0</v>
          </cell>
          <cell r="J604">
            <v>6131</v>
          </cell>
          <cell r="K604">
            <v>6131</v>
          </cell>
          <cell r="L604">
            <v>0</v>
          </cell>
          <cell r="N604">
            <v>0</v>
          </cell>
          <cell r="O604" t="str">
            <v>z</v>
          </cell>
          <cell r="V604" t="str">
            <v>*</v>
          </cell>
        </row>
        <row r="605">
          <cell r="G605" t="str">
            <v>SANJAY SAXENA</v>
          </cell>
          <cell r="I605">
            <v>0</v>
          </cell>
          <cell r="J605">
            <v>17139</v>
          </cell>
          <cell r="K605">
            <v>17139</v>
          </cell>
          <cell r="L605">
            <v>0</v>
          </cell>
          <cell r="N605">
            <v>0</v>
          </cell>
          <cell r="O605" t="str">
            <v>z</v>
          </cell>
          <cell r="V605" t="str">
            <v>*</v>
          </cell>
        </row>
        <row r="606">
          <cell r="G606" t="str">
            <v>MURUGAN G. S.</v>
          </cell>
          <cell r="I606">
            <v>0</v>
          </cell>
          <cell r="J606">
            <v>0</v>
          </cell>
          <cell r="K606">
            <v>0</v>
          </cell>
          <cell r="L606">
            <v>0</v>
          </cell>
          <cell r="N606">
            <v>0</v>
          </cell>
          <cell r="O606" t="str">
            <v>z</v>
          </cell>
          <cell r="V606" t="str">
            <v>*</v>
          </cell>
        </row>
        <row r="607">
          <cell r="G607" t="str">
            <v>MOHAN PAWAR</v>
          </cell>
          <cell r="I607">
            <v>6400</v>
          </cell>
          <cell r="J607">
            <v>5000</v>
          </cell>
          <cell r="K607">
            <v>14738</v>
          </cell>
          <cell r="L607">
            <v>-3338</v>
          </cell>
          <cell r="N607">
            <v>-3338</v>
          </cell>
          <cell r="O607" t="str">
            <v>z</v>
          </cell>
          <cell r="V607" t="str">
            <v>*</v>
          </cell>
        </row>
        <row r="608">
          <cell r="G608" t="str">
            <v>SEEMA SURYA</v>
          </cell>
          <cell r="I608">
            <v>0</v>
          </cell>
          <cell r="J608">
            <v>0</v>
          </cell>
          <cell r="K608">
            <v>0</v>
          </cell>
          <cell r="L608">
            <v>0</v>
          </cell>
          <cell r="N608">
            <v>0</v>
          </cell>
          <cell r="O608" t="str">
            <v>z</v>
          </cell>
          <cell r="V608" t="str">
            <v>*</v>
          </cell>
        </row>
        <row r="609">
          <cell r="G609" t="str">
            <v>GIRISH CHAUDHARY</v>
          </cell>
          <cell r="I609">
            <v>0</v>
          </cell>
          <cell r="J609">
            <v>0</v>
          </cell>
          <cell r="K609">
            <v>0</v>
          </cell>
          <cell r="L609">
            <v>0</v>
          </cell>
          <cell r="N609">
            <v>0</v>
          </cell>
          <cell r="O609" t="str">
            <v>z</v>
          </cell>
          <cell r="V609" t="str">
            <v>*</v>
          </cell>
        </row>
        <row r="610">
          <cell r="G610" t="str">
            <v>MANOJIT GUPTA</v>
          </cell>
          <cell r="I610">
            <v>0</v>
          </cell>
          <cell r="J610">
            <v>3675</v>
          </cell>
          <cell r="K610">
            <v>3675</v>
          </cell>
          <cell r="L610">
            <v>0</v>
          </cell>
          <cell r="N610">
            <v>0</v>
          </cell>
          <cell r="O610" t="str">
            <v>z</v>
          </cell>
          <cell r="V610" t="str">
            <v>*</v>
          </cell>
        </row>
        <row r="611">
          <cell r="G611" t="str">
            <v>CHETAN ANAND</v>
          </cell>
          <cell r="I611">
            <v>0</v>
          </cell>
          <cell r="J611">
            <v>0</v>
          </cell>
          <cell r="K611">
            <v>0</v>
          </cell>
          <cell r="L611">
            <v>0</v>
          </cell>
          <cell r="N611">
            <v>0</v>
          </cell>
          <cell r="O611" t="str">
            <v>z</v>
          </cell>
          <cell r="V611" t="str">
            <v>*</v>
          </cell>
        </row>
        <row r="612">
          <cell r="G612" t="str">
            <v>RAMESH MENON</v>
          </cell>
          <cell r="I612">
            <v>12846</v>
          </cell>
          <cell r="J612">
            <v>0</v>
          </cell>
          <cell r="K612">
            <v>12846</v>
          </cell>
          <cell r="L612">
            <v>0</v>
          </cell>
          <cell r="N612">
            <v>0</v>
          </cell>
          <cell r="O612" t="str">
            <v>z</v>
          </cell>
          <cell r="V612" t="str">
            <v>*</v>
          </cell>
        </row>
        <row r="613">
          <cell r="G613" t="str">
            <v>SUDEB KALYAN DAS</v>
          </cell>
          <cell r="I613">
            <v>0</v>
          </cell>
          <cell r="J613">
            <v>0</v>
          </cell>
          <cell r="K613">
            <v>0</v>
          </cell>
          <cell r="L613">
            <v>0</v>
          </cell>
          <cell r="N613">
            <v>0</v>
          </cell>
          <cell r="O613" t="str">
            <v>z</v>
          </cell>
          <cell r="V613" t="str">
            <v>*</v>
          </cell>
        </row>
        <row r="614">
          <cell r="G614" t="str">
            <v>JABY P. ISSAC</v>
          </cell>
          <cell r="I614">
            <v>0</v>
          </cell>
          <cell r="J614">
            <v>0</v>
          </cell>
          <cell r="K614">
            <v>0</v>
          </cell>
          <cell r="L614">
            <v>0</v>
          </cell>
          <cell r="N614">
            <v>0</v>
          </cell>
          <cell r="O614" t="str">
            <v>z</v>
          </cell>
          <cell r="V614" t="str">
            <v>*</v>
          </cell>
        </row>
        <row r="615">
          <cell r="G615" t="str">
            <v>MANINDAR SINGH</v>
          </cell>
          <cell r="I615">
            <v>10000</v>
          </cell>
          <cell r="J615">
            <v>15847</v>
          </cell>
          <cell r="K615">
            <v>11847</v>
          </cell>
          <cell r="L615">
            <v>14000</v>
          </cell>
          <cell r="N615">
            <v>14000</v>
          </cell>
          <cell r="O615" t="str">
            <v>z</v>
          </cell>
          <cell r="V615" t="str">
            <v>*</v>
          </cell>
        </row>
        <row r="616">
          <cell r="G616" t="str">
            <v>JOBY ISSAC</v>
          </cell>
          <cell r="I616">
            <v>0</v>
          </cell>
          <cell r="J616">
            <v>0</v>
          </cell>
          <cell r="K616">
            <v>0</v>
          </cell>
          <cell r="L616">
            <v>0</v>
          </cell>
          <cell r="N616">
            <v>0</v>
          </cell>
          <cell r="O616" t="str">
            <v>z</v>
          </cell>
          <cell r="V616" t="str">
            <v>*</v>
          </cell>
        </row>
        <row r="617">
          <cell r="G617" t="str">
            <v>V.K. SHRIVASTAVA</v>
          </cell>
          <cell r="I617">
            <v>0</v>
          </cell>
          <cell r="J617">
            <v>0</v>
          </cell>
          <cell r="K617">
            <v>0</v>
          </cell>
          <cell r="L617">
            <v>0</v>
          </cell>
          <cell r="N617">
            <v>0</v>
          </cell>
          <cell r="O617" t="str">
            <v>z</v>
          </cell>
          <cell r="V617" t="str">
            <v>*</v>
          </cell>
        </row>
        <row r="618">
          <cell r="G618" t="str">
            <v>RONY BANNERJEE</v>
          </cell>
          <cell r="I618">
            <v>39840</v>
          </cell>
          <cell r="J618">
            <v>17877</v>
          </cell>
          <cell r="K618">
            <v>44507</v>
          </cell>
          <cell r="L618">
            <v>13210</v>
          </cell>
          <cell r="N618">
            <v>13210</v>
          </cell>
          <cell r="O618" t="str">
            <v>z</v>
          </cell>
          <cell r="V618" t="str">
            <v>*</v>
          </cell>
        </row>
        <row r="619">
          <cell r="G619" t="str">
            <v>R. SUNDAR RAJAN</v>
          </cell>
          <cell r="I619">
            <v>0</v>
          </cell>
          <cell r="J619">
            <v>6351</v>
          </cell>
          <cell r="K619">
            <v>6351</v>
          </cell>
          <cell r="L619">
            <v>0</v>
          </cell>
          <cell r="N619">
            <v>0</v>
          </cell>
          <cell r="O619" t="str">
            <v>z</v>
          </cell>
          <cell r="V619" t="str">
            <v>*</v>
          </cell>
        </row>
        <row r="620">
          <cell r="G620" t="str">
            <v>MURLI KRISHNA KUMBURU</v>
          </cell>
          <cell r="I620">
            <v>0</v>
          </cell>
          <cell r="J620">
            <v>5677</v>
          </cell>
          <cell r="K620">
            <v>5677</v>
          </cell>
          <cell r="L620">
            <v>0</v>
          </cell>
          <cell r="N620">
            <v>0</v>
          </cell>
          <cell r="O620" t="str">
            <v>z</v>
          </cell>
          <cell r="V620" t="str">
            <v>*</v>
          </cell>
        </row>
        <row r="621">
          <cell r="G621" t="str">
            <v>AVINASH DUBEY</v>
          </cell>
          <cell r="I621">
            <v>0</v>
          </cell>
          <cell r="J621">
            <v>15550</v>
          </cell>
          <cell r="K621">
            <v>15550</v>
          </cell>
          <cell r="L621">
            <v>0</v>
          </cell>
          <cell r="N621">
            <v>0</v>
          </cell>
          <cell r="O621" t="str">
            <v>z</v>
          </cell>
          <cell r="V621" t="str">
            <v>*</v>
          </cell>
        </row>
        <row r="622">
          <cell r="G622" t="str">
            <v>SUJEET SHINDE</v>
          </cell>
          <cell r="I622">
            <v>0</v>
          </cell>
          <cell r="J622">
            <v>4434</v>
          </cell>
          <cell r="K622">
            <v>4434</v>
          </cell>
          <cell r="L622">
            <v>0</v>
          </cell>
          <cell r="N622">
            <v>0</v>
          </cell>
          <cell r="O622" t="str">
            <v>z</v>
          </cell>
          <cell r="V622" t="str">
            <v>*</v>
          </cell>
        </row>
        <row r="623">
          <cell r="G623" t="str">
            <v>NILESH NABAR</v>
          </cell>
          <cell r="I623">
            <v>0</v>
          </cell>
          <cell r="J623">
            <v>0</v>
          </cell>
          <cell r="K623">
            <v>0</v>
          </cell>
          <cell r="L623">
            <v>0</v>
          </cell>
          <cell r="N623">
            <v>0</v>
          </cell>
          <cell r="O623" t="str">
            <v>z</v>
          </cell>
          <cell r="V623" t="str">
            <v>*</v>
          </cell>
        </row>
        <row r="624">
          <cell r="G624" t="str">
            <v>HARI OM</v>
          </cell>
          <cell r="I624">
            <v>0</v>
          </cell>
          <cell r="J624">
            <v>3839</v>
          </cell>
          <cell r="K624">
            <v>3839</v>
          </cell>
          <cell r="L624">
            <v>0</v>
          </cell>
          <cell r="N624">
            <v>0</v>
          </cell>
          <cell r="O624" t="str">
            <v>z</v>
          </cell>
          <cell r="V624" t="str">
            <v>*</v>
          </cell>
        </row>
        <row r="625">
          <cell r="G625" t="str">
            <v>A. K. SINHA</v>
          </cell>
          <cell r="I625">
            <v>0</v>
          </cell>
          <cell r="J625">
            <v>0</v>
          </cell>
          <cell r="K625">
            <v>0</v>
          </cell>
          <cell r="L625">
            <v>0</v>
          </cell>
          <cell r="N625">
            <v>0</v>
          </cell>
          <cell r="O625" t="str">
            <v>z</v>
          </cell>
          <cell r="V625" t="str">
            <v>*</v>
          </cell>
        </row>
        <row r="626">
          <cell r="G626" t="str">
            <v>NEVILLE CARVALHO</v>
          </cell>
          <cell r="I626">
            <v>0</v>
          </cell>
          <cell r="J626">
            <v>11408</v>
          </cell>
          <cell r="K626">
            <v>1408</v>
          </cell>
          <cell r="L626">
            <v>10000</v>
          </cell>
          <cell r="N626">
            <v>10000</v>
          </cell>
          <cell r="O626" t="str">
            <v>z</v>
          </cell>
          <cell r="V626" t="str">
            <v>*</v>
          </cell>
        </row>
        <row r="627">
          <cell r="G627" t="str">
            <v>ROHIT NARAYANAN</v>
          </cell>
          <cell r="I627">
            <v>0</v>
          </cell>
          <cell r="J627">
            <v>0</v>
          </cell>
          <cell r="K627">
            <v>0</v>
          </cell>
          <cell r="L627">
            <v>0</v>
          </cell>
          <cell r="N627">
            <v>0</v>
          </cell>
          <cell r="O627" t="str">
            <v>z</v>
          </cell>
          <cell r="V627" t="str">
            <v>*</v>
          </cell>
        </row>
        <row r="628">
          <cell r="G628" t="str">
            <v>ARUN PEER</v>
          </cell>
          <cell r="I628">
            <v>0</v>
          </cell>
          <cell r="J628">
            <v>3190</v>
          </cell>
          <cell r="K628">
            <v>3190</v>
          </cell>
          <cell r="L628">
            <v>0</v>
          </cell>
          <cell r="N628">
            <v>0</v>
          </cell>
          <cell r="O628" t="str">
            <v>z</v>
          </cell>
          <cell r="V628" t="str">
            <v>*</v>
          </cell>
        </row>
        <row r="629">
          <cell r="G629" t="str">
            <v>DIPENDRA SINGH</v>
          </cell>
          <cell r="I629">
            <v>0</v>
          </cell>
          <cell r="J629">
            <v>3795</v>
          </cell>
          <cell r="K629">
            <v>3795</v>
          </cell>
          <cell r="L629">
            <v>0</v>
          </cell>
          <cell r="N629">
            <v>0</v>
          </cell>
          <cell r="O629" t="str">
            <v>z</v>
          </cell>
          <cell r="V629" t="str">
            <v>*</v>
          </cell>
        </row>
        <row r="630">
          <cell r="G630" t="str">
            <v>ARUNAVA DEB</v>
          </cell>
          <cell r="I630">
            <v>0</v>
          </cell>
          <cell r="J630">
            <v>0</v>
          </cell>
          <cell r="K630">
            <v>0</v>
          </cell>
          <cell r="L630">
            <v>0</v>
          </cell>
          <cell r="N630">
            <v>0</v>
          </cell>
          <cell r="O630" t="str">
            <v>z</v>
          </cell>
          <cell r="V630" t="str">
            <v>*</v>
          </cell>
        </row>
        <row r="631">
          <cell r="G631" t="str">
            <v>SANTANU GHOSH</v>
          </cell>
          <cell r="I631">
            <v>0</v>
          </cell>
          <cell r="J631">
            <v>0</v>
          </cell>
          <cell r="K631">
            <v>0</v>
          </cell>
          <cell r="L631">
            <v>0</v>
          </cell>
          <cell r="N631">
            <v>0</v>
          </cell>
          <cell r="O631" t="str">
            <v>z</v>
          </cell>
          <cell r="V631" t="str">
            <v>*</v>
          </cell>
        </row>
        <row r="632">
          <cell r="G632" t="str">
            <v>PATHIK PANDYA</v>
          </cell>
          <cell r="I632">
            <v>0</v>
          </cell>
          <cell r="J632">
            <v>7778</v>
          </cell>
          <cell r="K632">
            <v>7778</v>
          </cell>
          <cell r="L632">
            <v>0</v>
          </cell>
          <cell r="N632">
            <v>0</v>
          </cell>
          <cell r="O632" t="str">
            <v>z</v>
          </cell>
          <cell r="V632" t="str">
            <v>*</v>
          </cell>
        </row>
        <row r="633">
          <cell r="G633" t="str">
            <v>SANJAY RAJPAL</v>
          </cell>
          <cell r="I633">
            <v>0</v>
          </cell>
          <cell r="J633">
            <v>13740</v>
          </cell>
          <cell r="K633">
            <v>13740</v>
          </cell>
          <cell r="L633">
            <v>0</v>
          </cell>
          <cell r="N633">
            <v>0</v>
          </cell>
          <cell r="O633" t="str">
            <v>z</v>
          </cell>
          <cell r="V633" t="str">
            <v>*</v>
          </cell>
        </row>
        <row r="634">
          <cell r="G634" t="str">
            <v>DESH DEEPAK BHADAURIA</v>
          </cell>
          <cell r="I634">
            <v>0</v>
          </cell>
          <cell r="J634">
            <v>23349</v>
          </cell>
          <cell r="K634">
            <v>23349</v>
          </cell>
          <cell r="L634">
            <v>0</v>
          </cell>
          <cell r="N634">
            <v>0</v>
          </cell>
          <cell r="O634" t="str">
            <v>z</v>
          </cell>
          <cell r="V634" t="str">
            <v>*</v>
          </cell>
        </row>
        <row r="635">
          <cell r="G635" t="str">
            <v>PRABHUSHARAN LAMBA</v>
          </cell>
          <cell r="I635">
            <v>-8004</v>
          </cell>
          <cell r="J635">
            <v>0</v>
          </cell>
          <cell r="K635">
            <v>0</v>
          </cell>
          <cell r="L635">
            <v>-8004</v>
          </cell>
          <cell r="N635">
            <v>-8004</v>
          </cell>
          <cell r="O635" t="str">
            <v>z</v>
          </cell>
          <cell r="V635" t="str">
            <v>*</v>
          </cell>
        </row>
        <row r="636">
          <cell r="G636" t="str">
            <v>ARNAB BASUMALLIK</v>
          </cell>
          <cell r="I636">
            <v>0</v>
          </cell>
          <cell r="J636">
            <v>7193</v>
          </cell>
          <cell r="K636">
            <v>7193</v>
          </cell>
          <cell r="L636">
            <v>0</v>
          </cell>
          <cell r="N636">
            <v>0</v>
          </cell>
          <cell r="O636" t="str">
            <v>z</v>
          </cell>
          <cell r="V636" t="str">
            <v>*</v>
          </cell>
        </row>
        <row r="637">
          <cell r="G637" t="str">
            <v>SUDHIR SHANKAR</v>
          </cell>
          <cell r="I637">
            <v>0</v>
          </cell>
          <cell r="J637">
            <v>0</v>
          </cell>
          <cell r="K637">
            <v>0</v>
          </cell>
          <cell r="L637">
            <v>0</v>
          </cell>
          <cell r="N637">
            <v>0</v>
          </cell>
          <cell r="O637" t="str">
            <v>z</v>
          </cell>
          <cell r="V637" t="str">
            <v>*</v>
          </cell>
        </row>
        <row r="638">
          <cell r="G638" t="str">
            <v>SUMAN SARKAR</v>
          </cell>
          <cell r="I638">
            <v>0</v>
          </cell>
          <cell r="J638">
            <v>2440</v>
          </cell>
          <cell r="K638">
            <v>2440</v>
          </cell>
          <cell r="L638">
            <v>0</v>
          </cell>
          <cell r="N638">
            <v>0</v>
          </cell>
          <cell r="O638" t="str">
            <v>z</v>
          </cell>
          <cell r="V638" t="str">
            <v>*</v>
          </cell>
        </row>
        <row r="639">
          <cell r="G639" t="str">
            <v>SHOBHIT TANDON</v>
          </cell>
          <cell r="I639">
            <v>0</v>
          </cell>
          <cell r="J639">
            <v>15191</v>
          </cell>
          <cell r="K639">
            <v>15191</v>
          </cell>
          <cell r="L639">
            <v>0</v>
          </cell>
          <cell r="N639">
            <v>0</v>
          </cell>
          <cell r="O639" t="str">
            <v>z</v>
          </cell>
          <cell r="V639" t="str">
            <v>*</v>
          </cell>
        </row>
        <row r="640">
          <cell r="G640" t="str">
            <v>RAKESH ARORA</v>
          </cell>
          <cell r="I640">
            <v>0</v>
          </cell>
          <cell r="J640">
            <v>0</v>
          </cell>
          <cell r="K640">
            <v>0</v>
          </cell>
          <cell r="L640">
            <v>0</v>
          </cell>
          <cell r="N640">
            <v>0</v>
          </cell>
          <cell r="O640" t="str">
            <v>z</v>
          </cell>
          <cell r="V640" t="str">
            <v>*</v>
          </cell>
        </row>
        <row r="641">
          <cell r="G641" t="str">
            <v>SUNITA NAIK</v>
          </cell>
          <cell r="I641">
            <v>0</v>
          </cell>
          <cell r="J641">
            <v>2645</v>
          </cell>
          <cell r="K641">
            <v>2645</v>
          </cell>
          <cell r="L641">
            <v>0</v>
          </cell>
          <cell r="N641">
            <v>0</v>
          </cell>
          <cell r="O641" t="str">
            <v>z</v>
          </cell>
          <cell r="V641" t="str">
            <v>*</v>
          </cell>
        </row>
        <row r="642">
          <cell r="G642" t="str">
            <v>D. MAHENDER REDDY</v>
          </cell>
          <cell r="I642">
            <v>0</v>
          </cell>
          <cell r="J642">
            <v>2685</v>
          </cell>
          <cell r="K642">
            <v>2685</v>
          </cell>
          <cell r="L642">
            <v>0</v>
          </cell>
          <cell r="N642">
            <v>0</v>
          </cell>
          <cell r="O642" t="str">
            <v>z</v>
          </cell>
          <cell r="V642" t="str">
            <v>*</v>
          </cell>
        </row>
        <row r="643">
          <cell r="G643" t="str">
            <v>SARVANAN SWAMI</v>
          </cell>
          <cell r="I643">
            <v>32484</v>
          </cell>
          <cell r="J643">
            <v>12813</v>
          </cell>
          <cell r="K643">
            <v>35297</v>
          </cell>
          <cell r="L643">
            <v>10000</v>
          </cell>
          <cell r="N643">
            <v>10000</v>
          </cell>
          <cell r="O643" t="str">
            <v>z</v>
          </cell>
          <cell r="V643" t="str">
            <v>*</v>
          </cell>
        </row>
        <row r="644">
          <cell r="G644" t="str">
            <v>RAJESH BHINGARDE</v>
          </cell>
          <cell r="I644">
            <v>4000</v>
          </cell>
          <cell r="J644">
            <v>0</v>
          </cell>
          <cell r="K644">
            <v>0</v>
          </cell>
          <cell r="L644">
            <v>4000</v>
          </cell>
          <cell r="N644">
            <v>4000</v>
          </cell>
          <cell r="O644" t="str">
            <v>z</v>
          </cell>
          <cell r="V644" t="str">
            <v>*</v>
          </cell>
        </row>
        <row r="645">
          <cell r="G645" t="str">
            <v>RAKESH KOUL</v>
          </cell>
          <cell r="I645">
            <v>0</v>
          </cell>
          <cell r="J645">
            <v>0</v>
          </cell>
          <cell r="K645">
            <v>0</v>
          </cell>
          <cell r="L645">
            <v>0</v>
          </cell>
          <cell r="N645">
            <v>0</v>
          </cell>
          <cell r="O645" t="str">
            <v>z</v>
          </cell>
          <cell r="V645" t="str">
            <v>*</v>
          </cell>
        </row>
        <row r="646">
          <cell r="G646" t="str">
            <v>NAGENDRAN S.</v>
          </cell>
          <cell r="I646">
            <v>0</v>
          </cell>
          <cell r="J646">
            <v>5251</v>
          </cell>
          <cell r="K646">
            <v>5251</v>
          </cell>
          <cell r="L646">
            <v>0</v>
          </cell>
          <cell r="N646">
            <v>0</v>
          </cell>
          <cell r="O646" t="str">
            <v>z</v>
          </cell>
          <cell r="V646" t="str">
            <v>*</v>
          </cell>
        </row>
        <row r="647">
          <cell r="G647" t="str">
            <v>GHANSHYAM MITTAL</v>
          </cell>
          <cell r="I647">
            <v>0</v>
          </cell>
          <cell r="J647">
            <v>0</v>
          </cell>
          <cell r="K647">
            <v>0</v>
          </cell>
          <cell r="L647">
            <v>0</v>
          </cell>
          <cell r="N647">
            <v>0</v>
          </cell>
          <cell r="O647" t="str">
            <v>z</v>
          </cell>
          <cell r="V647" t="str">
            <v>*</v>
          </cell>
        </row>
        <row r="648">
          <cell r="G648" t="str">
            <v>AMIT MADAN</v>
          </cell>
          <cell r="I648">
            <v>0</v>
          </cell>
          <cell r="J648">
            <v>0</v>
          </cell>
          <cell r="K648">
            <v>0</v>
          </cell>
          <cell r="L648">
            <v>0</v>
          </cell>
          <cell r="N648">
            <v>0</v>
          </cell>
          <cell r="O648" t="str">
            <v>z</v>
          </cell>
          <cell r="V648" t="str">
            <v>*</v>
          </cell>
        </row>
        <row r="649">
          <cell r="G649" t="str">
            <v>GEORGE THOMAS</v>
          </cell>
          <cell r="I649">
            <v>0</v>
          </cell>
          <cell r="J649">
            <v>4662</v>
          </cell>
          <cell r="K649">
            <v>4662</v>
          </cell>
          <cell r="L649">
            <v>0</v>
          </cell>
          <cell r="N649">
            <v>0</v>
          </cell>
          <cell r="O649" t="str">
            <v>z</v>
          </cell>
          <cell r="V649" t="str">
            <v>*</v>
          </cell>
        </row>
        <row r="650">
          <cell r="G650" t="str">
            <v>SUBHASH K.</v>
          </cell>
          <cell r="I650">
            <v>0</v>
          </cell>
          <cell r="J650">
            <v>4251</v>
          </cell>
          <cell r="K650">
            <v>4251</v>
          </cell>
          <cell r="L650">
            <v>0</v>
          </cell>
          <cell r="N650">
            <v>0</v>
          </cell>
          <cell r="O650" t="str">
            <v>z</v>
          </cell>
          <cell r="V650" t="str">
            <v>*</v>
          </cell>
        </row>
        <row r="651">
          <cell r="G651" t="str">
            <v>UTTAM ROY</v>
          </cell>
          <cell r="I651">
            <v>0</v>
          </cell>
          <cell r="J651">
            <v>11099</v>
          </cell>
          <cell r="K651">
            <v>11099</v>
          </cell>
          <cell r="L651">
            <v>0</v>
          </cell>
          <cell r="N651">
            <v>0</v>
          </cell>
          <cell r="O651" t="str">
            <v>z</v>
          </cell>
          <cell r="V651" t="str">
            <v>*</v>
          </cell>
        </row>
        <row r="652">
          <cell r="G652" t="str">
            <v>RAJINDER KAU</v>
          </cell>
          <cell r="I652">
            <v>0</v>
          </cell>
          <cell r="J652">
            <v>0</v>
          </cell>
          <cell r="K652">
            <v>0</v>
          </cell>
          <cell r="L652">
            <v>0</v>
          </cell>
          <cell r="N652">
            <v>0</v>
          </cell>
          <cell r="O652" t="str">
            <v>z</v>
          </cell>
          <cell r="V652" t="str">
            <v>*</v>
          </cell>
        </row>
        <row r="653">
          <cell r="G653" t="str">
            <v>ALAK K. GUHA</v>
          </cell>
          <cell r="I653">
            <v>0</v>
          </cell>
          <cell r="J653">
            <v>29116</v>
          </cell>
          <cell r="K653">
            <v>29116</v>
          </cell>
          <cell r="L653">
            <v>0</v>
          </cell>
          <cell r="N653">
            <v>0</v>
          </cell>
          <cell r="O653" t="str">
            <v>z</v>
          </cell>
          <cell r="V653" t="str">
            <v>*</v>
          </cell>
        </row>
        <row r="654">
          <cell r="G654" t="str">
            <v>KRISHNA CHELLAPPA</v>
          </cell>
          <cell r="I654">
            <v>0</v>
          </cell>
          <cell r="J654">
            <v>20727</v>
          </cell>
          <cell r="K654">
            <v>20727</v>
          </cell>
          <cell r="L654">
            <v>0</v>
          </cell>
          <cell r="N654">
            <v>0</v>
          </cell>
          <cell r="O654" t="str">
            <v>z</v>
          </cell>
          <cell r="V654" t="str">
            <v>*</v>
          </cell>
        </row>
        <row r="655">
          <cell r="G655" t="str">
            <v>SUNIL K. SINGH</v>
          </cell>
          <cell r="I655">
            <v>0</v>
          </cell>
          <cell r="J655">
            <v>8153</v>
          </cell>
          <cell r="K655">
            <v>8153</v>
          </cell>
          <cell r="L655">
            <v>0</v>
          </cell>
          <cell r="N655">
            <v>0</v>
          </cell>
          <cell r="O655" t="str">
            <v>z</v>
          </cell>
          <cell r="V655" t="str">
            <v>*</v>
          </cell>
        </row>
        <row r="656">
          <cell r="G656" t="str">
            <v>ARUN VARGHESE</v>
          </cell>
          <cell r="I656">
            <v>0</v>
          </cell>
          <cell r="J656">
            <v>7054</v>
          </cell>
          <cell r="K656">
            <v>7054</v>
          </cell>
          <cell r="L656">
            <v>0</v>
          </cell>
          <cell r="N656">
            <v>0</v>
          </cell>
          <cell r="O656" t="str">
            <v>z</v>
          </cell>
          <cell r="V656" t="str">
            <v>*</v>
          </cell>
        </row>
        <row r="657">
          <cell r="G657" t="str">
            <v>GURUPRASAD RAO</v>
          </cell>
          <cell r="I657">
            <v>0</v>
          </cell>
          <cell r="J657">
            <v>3857</v>
          </cell>
          <cell r="K657">
            <v>3857</v>
          </cell>
          <cell r="L657">
            <v>0</v>
          </cell>
          <cell r="N657">
            <v>0</v>
          </cell>
          <cell r="O657" t="str">
            <v>z</v>
          </cell>
          <cell r="V657" t="str">
            <v>*</v>
          </cell>
        </row>
        <row r="658">
          <cell r="G658" t="str">
            <v>ANAD SUBRAMANIAN</v>
          </cell>
          <cell r="I658">
            <v>-10538</v>
          </cell>
          <cell r="J658">
            <v>14487</v>
          </cell>
          <cell r="K658">
            <v>3949</v>
          </cell>
          <cell r="L658">
            <v>0</v>
          </cell>
          <cell r="N658">
            <v>0</v>
          </cell>
          <cell r="O658" t="str">
            <v>z</v>
          </cell>
          <cell r="V658" t="str">
            <v>*</v>
          </cell>
        </row>
        <row r="659">
          <cell r="G659" t="str">
            <v>AMIT ADHIKARY</v>
          </cell>
          <cell r="I659">
            <v>0</v>
          </cell>
          <cell r="J659">
            <v>0</v>
          </cell>
          <cell r="K659">
            <v>0</v>
          </cell>
          <cell r="L659">
            <v>0</v>
          </cell>
          <cell r="N659">
            <v>0</v>
          </cell>
          <cell r="O659" t="str">
            <v>z</v>
          </cell>
          <cell r="V659" t="str">
            <v>*</v>
          </cell>
        </row>
        <row r="660">
          <cell r="G660" t="str">
            <v>LAKSHMANA MURTHYKOTA</v>
          </cell>
          <cell r="I660">
            <v>0</v>
          </cell>
          <cell r="J660">
            <v>8666</v>
          </cell>
          <cell r="K660">
            <v>8666</v>
          </cell>
          <cell r="L660">
            <v>0</v>
          </cell>
          <cell r="N660">
            <v>0</v>
          </cell>
          <cell r="O660" t="str">
            <v>z</v>
          </cell>
          <cell r="V660" t="str">
            <v>*</v>
          </cell>
        </row>
        <row r="661">
          <cell r="G661" t="str">
            <v>DATTATRAY HEGDE</v>
          </cell>
          <cell r="I661">
            <v>5000</v>
          </cell>
          <cell r="J661">
            <v>0</v>
          </cell>
          <cell r="K661">
            <v>0</v>
          </cell>
          <cell r="L661">
            <v>5000</v>
          </cell>
          <cell r="N661">
            <v>5000</v>
          </cell>
          <cell r="O661" t="str">
            <v>z</v>
          </cell>
          <cell r="V661" t="str">
            <v>*</v>
          </cell>
        </row>
        <row r="662">
          <cell r="G662" t="str">
            <v>KRISHNA PRASAD RAVULA</v>
          </cell>
          <cell r="I662">
            <v>0</v>
          </cell>
          <cell r="J662">
            <v>0</v>
          </cell>
          <cell r="K662">
            <v>0</v>
          </cell>
          <cell r="L662">
            <v>0</v>
          </cell>
          <cell r="N662">
            <v>0</v>
          </cell>
          <cell r="O662" t="str">
            <v>z</v>
          </cell>
          <cell r="V662" t="str">
            <v>*</v>
          </cell>
        </row>
        <row r="663">
          <cell r="G663" t="str">
            <v>J. NOBLE ANBUNESAN</v>
          </cell>
          <cell r="I663">
            <v>0</v>
          </cell>
          <cell r="J663">
            <v>0</v>
          </cell>
          <cell r="K663">
            <v>0</v>
          </cell>
          <cell r="L663">
            <v>0</v>
          </cell>
          <cell r="N663">
            <v>0</v>
          </cell>
          <cell r="O663" t="str">
            <v>z</v>
          </cell>
          <cell r="V663" t="str">
            <v>*</v>
          </cell>
        </row>
        <row r="664">
          <cell r="G664" t="str">
            <v>E. PREMKUMAR</v>
          </cell>
          <cell r="I664">
            <v>0</v>
          </cell>
          <cell r="J664">
            <v>7842</v>
          </cell>
          <cell r="K664">
            <v>7842</v>
          </cell>
          <cell r="L664">
            <v>0</v>
          </cell>
          <cell r="N664">
            <v>0</v>
          </cell>
          <cell r="O664" t="str">
            <v>z</v>
          </cell>
          <cell r="V664" t="str">
            <v>*</v>
          </cell>
        </row>
        <row r="665">
          <cell r="G665" t="str">
            <v>MAINAK CHAKRABORTY</v>
          </cell>
          <cell r="I665">
            <v>0</v>
          </cell>
          <cell r="J665">
            <v>2328</v>
          </cell>
          <cell r="K665">
            <v>2328</v>
          </cell>
          <cell r="L665">
            <v>0</v>
          </cell>
          <cell r="N665">
            <v>0</v>
          </cell>
          <cell r="O665" t="str">
            <v>z</v>
          </cell>
          <cell r="V665" t="str">
            <v>*</v>
          </cell>
        </row>
        <row r="666">
          <cell r="G666" t="str">
            <v>ASHIM SIKDER</v>
          </cell>
          <cell r="I666">
            <v>0</v>
          </cell>
          <cell r="J666">
            <v>3080</v>
          </cell>
          <cell r="K666">
            <v>3080</v>
          </cell>
          <cell r="L666">
            <v>0</v>
          </cell>
          <cell r="N666">
            <v>0</v>
          </cell>
          <cell r="O666" t="str">
            <v>z</v>
          </cell>
          <cell r="V666" t="str">
            <v>*</v>
          </cell>
        </row>
        <row r="667">
          <cell r="G667" t="str">
            <v>SUDDHASHIL CHATTERJEE</v>
          </cell>
          <cell r="I667">
            <v>0</v>
          </cell>
          <cell r="J667">
            <v>4636</v>
          </cell>
          <cell r="K667">
            <v>4636</v>
          </cell>
          <cell r="L667">
            <v>0</v>
          </cell>
          <cell r="N667">
            <v>0</v>
          </cell>
          <cell r="O667" t="str">
            <v>z</v>
          </cell>
          <cell r="V667" t="str">
            <v>*</v>
          </cell>
        </row>
        <row r="668">
          <cell r="G668" t="str">
            <v>SAMUEL WANKHEDE</v>
          </cell>
          <cell r="I668">
            <v>0</v>
          </cell>
          <cell r="J668">
            <v>0</v>
          </cell>
          <cell r="K668">
            <v>0</v>
          </cell>
          <cell r="L668">
            <v>0</v>
          </cell>
          <cell r="N668">
            <v>0</v>
          </cell>
          <cell r="O668" t="str">
            <v>z</v>
          </cell>
          <cell r="V668" t="str">
            <v>*</v>
          </cell>
        </row>
        <row r="669">
          <cell r="G669" t="str">
            <v>B. RAVICHANDRAN</v>
          </cell>
          <cell r="I669">
            <v>0</v>
          </cell>
          <cell r="J669">
            <v>5000</v>
          </cell>
          <cell r="K669">
            <v>0</v>
          </cell>
          <cell r="L669">
            <v>5000</v>
          </cell>
          <cell r="N669">
            <v>5000</v>
          </cell>
          <cell r="O669" t="str">
            <v>z</v>
          </cell>
          <cell r="V669" t="str">
            <v>*</v>
          </cell>
        </row>
        <row r="670">
          <cell r="G670" t="str">
            <v>LALIT KUMAR SETH</v>
          </cell>
          <cell r="I670">
            <v>0</v>
          </cell>
          <cell r="J670">
            <v>0</v>
          </cell>
          <cell r="K670">
            <v>0</v>
          </cell>
          <cell r="L670">
            <v>0</v>
          </cell>
          <cell r="N670">
            <v>0</v>
          </cell>
          <cell r="O670" t="str">
            <v>z</v>
          </cell>
          <cell r="U670">
            <v>68246</v>
          </cell>
          <cell r="V670" t="str">
            <v>*</v>
          </cell>
        </row>
        <row r="671">
          <cell r="G671" t="str">
            <v>PRAKASH CHANDRA MISHRA</v>
          </cell>
          <cell r="I671">
            <v>2000</v>
          </cell>
          <cell r="J671">
            <v>0</v>
          </cell>
          <cell r="K671">
            <v>0</v>
          </cell>
          <cell r="L671">
            <v>2000</v>
          </cell>
          <cell r="N671">
            <v>2000</v>
          </cell>
          <cell r="O671" t="str">
            <v>z</v>
          </cell>
          <cell r="V671" t="str">
            <v>*</v>
          </cell>
        </row>
        <row r="672">
          <cell r="G672" t="str">
            <v>SATISH K. PALRECHA</v>
          </cell>
          <cell r="I672">
            <v>0</v>
          </cell>
          <cell r="J672">
            <v>0</v>
          </cell>
          <cell r="K672">
            <v>0</v>
          </cell>
          <cell r="L672">
            <v>0</v>
          </cell>
          <cell r="N672">
            <v>0</v>
          </cell>
          <cell r="O672" t="str">
            <v>z</v>
          </cell>
          <cell r="V672" t="str">
            <v>*</v>
          </cell>
        </row>
        <row r="673">
          <cell r="G673" t="str">
            <v>ANAND IYER</v>
          </cell>
          <cell r="I673">
            <v>0</v>
          </cell>
          <cell r="J673">
            <v>0</v>
          </cell>
          <cell r="K673">
            <v>0</v>
          </cell>
          <cell r="L673">
            <v>0</v>
          </cell>
          <cell r="N673">
            <v>0</v>
          </cell>
          <cell r="O673" t="str">
            <v>z</v>
          </cell>
          <cell r="V673" t="str">
            <v>*</v>
          </cell>
        </row>
        <row r="674">
          <cell r="G674" t="str">
            <v>DEEPALI  CHAUBAL</v>
          </cell>
          <cell r="I674">
            <v>0</v>
          </cell>
          <cell r="J674">
            <v>0</v>
          </cell>
          <cell r="K674">
            <v>0</v>
          </cell>
          <cell r="L674">
            <v>0</v>
          </cell>
          <cell r="N674">
            <v>0</v>
          </cell>
          <cell r="O674" t="str">
            <v>z</v>
          </cell>
          <cell r="V674" t="str">
            <v>*</v>
          </cell>
        </row>
        <row r="675">
          <cell r="G675" t="str">
            <v>INDRANIL MUKHERJEE</v>
          </cell>
          <cell r="I675">
            <v>0</v>
          </cell>
          <cell r="J675">
            <v>0</v>
          </cell>
          <cell r="K675">
            <v>0</v>
          </cell>
          <cell r="L675">
            <v>0</v>
          </cell>
          <cell r="N675">
            <v>0</v>
          </cell>
          <cell r="O675" t="str">
            <v>z</v>
          </cell>
          <cell r="V675" t="str">
            <v>*</v>
          </cell>
        </row>
        <row r="676">
          <cell r="G676" t="str">
            <v>ANAND TAUKARI</v>
          </cell>
          <cell r="I676">
            <v>0</v>
          </cell>
          <cell r="J676">
            <v>0</v>
          </cell>
          <cell r="K676">
            <v>0</v>
          </cell>
          <cell r="L676">
            <v>0</v>
          </cell>
          <cell r="N676">
            <v>0</v>
          </cell>
          <cell r="O676" t="str">
            <v>z</v>
          </cell>
          <cell r="V676" t="str">
            <v>*</v>
          </cell>
        </row>
        <row r="677">
          <cell r="G677" t="str">
            <v>ARUP KUMAR DAS</v>
          </cell>
          <cell r="I677">
            <v>0</v>
          </cell>
          <cell r="J677">
            <v>15000</v>
          </cell>
          <cell r="K677">
            <v>0</v>
          </cell>
          <cell r="L677">
            <v>15000</v>
          </cell>
          <cell r="N677">
            <v>15000</v>
          </cell>
          <cell r="O677" t="str">
            <v>z</v>
          </cell>
          <cell r="V677" t="str">
            <v>*</v>
          </cell>
        </row>
        <row r="678">
          <cell r="G678" t="str">
            <v>B. BALAKRISHANAN</v>
          </cell>
          <cell r="I678">
            <v>-7754</v>
          </cell>
          <cell r="J678">
            <v>0</v>
          </cell>
          <cell r="K678">
            <v>0</v>
          </cell>
          <cell r="L678">
            <v>-7754</v>
          </cell>
          <cell r="N678">
            <v>-7754</v>
          </cell>
          <cell r="O678" t="str">
            <v>z</v>
          </cell>
          <cell r="V678" t="str">
            <v>*</v>
          </cell>
        </row>
        <row r="679">
          <cell r="G679" t="str">
            <v>M. SUDHAKAR MADDIRALA</v>
          </cell>
          <cell r="I679">
            <v>2000</v>
          </cell>
          <cell r="J679">
            <v>0</v>
          </cell>
          <cell r="K679">
            <v>0</v>
          </cell>
          <cell r="L679">
            <v>2000</v>
          </cell>
          <cell r="N679">
            <v>2000</v>
          </cell>
          <cell r="O679" t="str">
            <v>z</v>
          </cell>
          <cell r="V679" t="str">
            <v>*</v>
          </cell>
        </row>
        <row r="680">
          <cell r="G680" t="str">
            <v>G. V. R. TAGORE</v>
          </cell>
          <cell r="I680">
            <v>0</v>
          </cell>
          <cell r="J680">
            <v>2000</v>
          </cell>
          <cell r="K680">
            <v>0</v>
          </cell>
          <cell r="L680">
            <v>2000</v>
          </cell>
          <cell r="N680">
            <v>2000</v>
          </cell>
          <cell r="O680" t="str">
            <v>z</v>
          </cell>
          <cell r="V680" t="str">
            <v>*</v>
          </cell>
        </row>
        <row r="681">
          <cell r="G681" t="str">
            <v>DR. KAILASH SHARMA</v>
          </cell>
          <cell r="I681">
            <v>0</v>
          </cell>
          <cell r="J681">
            <v>5000</v>
          </cell>
          <cell r="K681">
            <v>0</v>
          </cell>
          <cell r="L681">
            <v>5000</v>
          </cell>
          <cell r="N681">
            <v>5000</v>
          </cell>
          <cell r="O681" t="str">
            <v>z</v>
          </cell>
          <cell r="V681" t="str">
            <v>*</v>
          </cell>
        </row>
        <row r="682">
          <cell r="G682" t="str">
            <v>N. HARITHEERTHAM</v>
          </cell>
          <cell r="I682">
            <v>0</v>
          </cell>
          <cell r="J682">
            <v>0</v>
          </cell>
          <cell r="K682">
            <v>0</v>
          </cell>
          <cell r="L682">
            <v>0</v>
          </cell>
          <cell r="N682">
            <v>0</v>
          </cell>
          <cell r="O682" t="str">
            <v>z</v>
          </cell>
          <cell r="V682" t="str">
            <v>*</v>
          </cell>
        </row>
        <row r="683">
          <cell r="G683" t="str">
            <v>RAJINDER SINGH</v>
          </cell>
          <cell r="I683">
            <v>0</v>
          </cell>
          <cell r="J683">
            <v>0</v>
          </cell>
          <cell r="K683">
            <v>0</v>
          </cell>
          <cell r="L683">
            <v>0</v>
          </cell>
          <cell r="N683">
            <v>0</v>
          </cell>
          <cell r="O683" t="str">
            <v>z</v>
          </cell>
          <cell r="V683" t="str">
            <v>*</v>
          </cell>
        </row>
        <row r="684">
          <cell r="G684" t="str">
            <v>P.K. CHANDA</v>
          </cell>
          <cell r="I684">
            <v>-2080</v>
          </cell>
          <cell r="J684">
            <v>2080</v>
          </cell>
          <cell r="K684">
            <v>0</v>
          </cell>
          <cell r="L684">
            <v>0</v>
          </cell>
          <cell r="N684">
            <v>0</v>
          </cell>
          <cell r="O684" t="str">
            <v>z</v>
          </cell>
          <cell r="V684" t="str">
            <v>*</v>
          </cell>
        </row>
        <row r="685">
          <cell r="G685" t="str">
            <v>RAJESH HUDDAR</v>
          </cell>
          <cell r="I685">
            <v>30000</v>
          </cell>
          <cell r="J685">
            <v>0</v>
          </cell>
          <cell r="K685">
            <v>30000</v>
          </cell>
          <cell r="L685">
            <v>0</v>
          </cell>
          <cell r="N685">
            <v>0</v>
          </cell>
          <cell r="O685" t="str">
            <v>z</v>
          </cell>
          <cell r="V685" t="str">
            <v>*</v>
          </cell>
        </row>
        <row r="686">
          <cell r="G686" t="str">
            <v>RAMESH MENON</v>
          </cell>
          <cell r="I686">
            <v>1500</v>
          </cell>
          <cell r="J686">
            <v>0</v>
          </cell>
          <cell r="K686">
            <v>1500</v>
          </cell>
          <cell r="L686">
            <v>0</v>
          </cell>
          <cell r="N686">
            <v>0</v>
          </cell>
          <cell r="O686" t="str">
            <v>z</v>
          </cell>
          <cell r="V686" t="str">
            <v>*</v>
          </cell>
        </row>
        <row r="687">
          <cell r="G687" t="str">
            <v>NEVILLE CARVALHO</v>
          </cell>
          <cell r="I687">
            <v>0</v>
          </cell>
          <cell r="J687">
            <v>0</v>
          </cell>
          <cell r="K687">
            <v>0</v>
          </cell>
          <cell r="L687">
            <v>0</v>
          </cell>
          <cell r="N687">
            <v>0</v>
          </cell>
          <cell r="O687" t="str">
            <v>z</v>
          </cell>
          <cell r="V687" t="str">
            <v>*</v>
          </cell>
        </row>
        <row r="688">
          <cell r="G688" t="str">
            <v>ROHIT NARAYANAN</v>
          </cell>
          <cell r="I688">
            <v>0</v>
          </cell>
          <cell r="J688">
            <v>2000</v>
          </cell>
          <cell r="K688">
            <v>0</v>
          </cell>
          <cell r="L688">
            <v>2000</v>
          </cell>
          <cell r="N688">
            <v>2000</v>
          </cell>
          <cell r="O688" t="str">
            <v>z</v>
          </cell>
          <cell r="V688" t="str">
            <v>*</v>
          </cell>
        </row>
        <row r="689">
          <cell r="G689" t="str">
            <v>SANTANU GHOSH</v>
          </cell>
          <cell r="I689">
            <v>0</v>
          </cell>
          <cell r="J689">
            <v>10000</v>
          </cell>
          <cell r="K689">
            <v>0</v>
          </cell>
          <cell r="L689">
            <v>10000</v>
          </cell>
          <cell r="N689">
            <v>10000</v>
          </cell>
          <cell r="O689" t="str">
            <v>z</v>
          </cell>
          <cell r="V689" t="str">
            <v>*</v>
          </cell>
        </row>
        <row r="690">
          <cell r="G690" t="str">
            <v>PRABHUSHARAN LAMBA</v>
          </cell>
          <cell r="I690">
            <v>0</v>
          </cell>
          <cell r="J690">
            <v>10000</v>
          </cell>
          <cell r="K690">
            <v>0</v>
          </cell>
          <cell r="L690">
            <v>10000</v>
          </cell>
          <cell r="N690">
            <v>10000</v>
          </cell>
          <cell r="O690" t="str">
            <v>z</v>
          </cell>
          <cell r="V690" t="str">
            <v>*</v>
          </cell>
        </row>
        <row r="691">
          <cell r="G691" t="str">
            <v>RAKESH ARORA</v>
          </cell>
          <cell r="I691">
            <v>0</v>
          </cell>
          <cell r="J691">
            <v>2000</v>
          </cell>
          <cell r="K691">
            <v>0</v>
          </cell>
          <cell r="L691">
            <v>2000</v>
          </cell>
          <cell r="N691">
            <v>2000</v>
          </cell>
          <cell r="O691" t="str">
            <v>z</v>
          </cell>
          <cell r="V691" t="str">
            <v>*</v>
          </cell>
        </row>
        <row r="692">
          <cell r="G692" t="str">
            <v>SUNITA NAIK</v>
          </cell>
          <cell r="I692">
            <v>0</v>
          </cell>
          <cell r="J692">
            <v>2000</v>
          </cell>
          <cell r="K692">
            <v>0</v>
          </cell>
          <cell r="L692">
            <v>2000</v>
          </cell>
          <cell r="N692">
            <v>2000</v>
          </cell>
          <cell r="O692" t="str">
            <v>z</v>
          </cell>
          <cell r="V692" t="str">
            <v>*</v>
          </cell>
        </row>
        <row r="693">
          <cell r="G693" t="str">
            <v>RAJESH BHINGARDE</v>
          </cell>
          <cell r="I693">
            <v>0</v>
          </cell>
          <cell r="J693">
            <v>2000</v>
          </cell>
          <cell r="K693">
            <v>0</v>
          </cell>
          <cell r="L693">
            <v>2000</v>
          </cell>
          <cell r="N693">
            <v>2000</v>
          </cell>
          <cell r="O693" t="str">
            <v>z</v>
          </cell>
          <cell r="V693" t="str">
            <v>*</v>
          </cell>
        </row>
        <row r="694">
          <cell r="G694" t="str">
            <v>RAJIV R. SINGH</v>
          </cell>
          <cell r="I694">
            <v>0</v>
          </cell>
          <cell r="J694">
            <v>2000</v>
          </cell>
          <cell r="K694">
            <v>0</v>
          </cell>
          <cell r="L694">
            <v>2000</v>
          </cell>
          <cell r="N694">
            <v>2000</v>
          </cell>
          <cell r="O694" t="str">
            <v>z</v>
          </cell>
          <cell r="V694" t="str">
            <v>*</v>
          </cell>
        </row>
        <row r="695">
          <cell r="G695" t="str">
            <v>RAJINDER KAU</v>
          </cell>
          <cell r="I695">
            <v>0</v>
          </cell>
          <cell r="J695">
            <v>2000</v>
          </cell>
          <cell r="K695">
            <v>0</v>
          </cell>
          <cell r="L695">
            <v>2000</v>
          </cell>
          <cell r="N695">
            <v>2000</v>
          </cell>
          <cell r="O695" t="str">
            <v>z</v>
          </cell>
          <cell r="V695" t="str">
            <v>*</v>
          </cell>
        </row>
        <row r="696">
          <cell r="G696" t="str">
            <v>SAMUEL WANKHEDE</v>
          </cell>
          <cell r="I696">
            <v>0</v>
          </cell>
          <cell r="J696">
            <v>4000</v>
          </cell>
          <cell r="K696">
            <v>0</v>
          </cell>
          <cell r="L696">
            <v>4000</v>
          </cell>
          <cell r="N696">
            <v>4000</v>
          </cell>
          <cell r="O696" t="str">
            <v>z</v>
          </cell>
          <cell r="V696" t="str">
            <v>*</v>
          </cell>
        </row>
        <row r="697">
          <cell r="G697" t="str">
            <v>OTHER ADVANCES TO EMPLOYEES</v>
          </cell>
          <cell r="I697">
            <v>6500</v>
          </cell>
          <cell r="J697">
            <v>12000</v>
          </cell>
          <cell r="K697">
            <v>4500</v>
          </cell>
          <cell r="L697">
            <v>14000</v>
          </cell>
          <cell r="N697">
            <v>14000</v>
          </cell>
          <cell r="O697" t="str">
            <v>z</v>
          </cell>
          <cell r="V697" t="str">
            <v>*</v>
          </cell>
        </row>
        <row r="698">
          <cell r="G698" t="str">
            <v>INSURANCE BENEFITS &amp; DAMAGE CLAIMS</v>
          </cell>
          <cell r="H698" t="str">
            <v>Insurance Benefit Damage &amp; Claim</v>
          </cell>
          <cell r="I698">
            <v>278060</v>
          </cell>
          <cell r="J698">
            <v>18135.05</v>
          </cell>
          <cell r="K698">
            <v>282520</v>
          </cell>
          <cell r="L698">
            <v>13675.05</v>
          </cell>
          <cell r="N698">
            <v>13675.05</v>
          </cell>
          <cell r="O698" t="str">
            <v>z</v>
          </cell>
          <cell r="U698">
            <v>13675.05</v>
          </cell>
          <cell r="V698" t="str">
            <v>*</v>
          </cell>
        </row>
        <row r="699">
          <cell r="G699" t="str">
            <v>DEPOSITS AND OTHER SECURITY PAYMENTS</v>
          </cell>
          <cell r="I699">
            <v>0</v>
          </cell>
          <cell r="J699">
            <v>0</v>
          </cell>
          <cell r="K699">
            <v>0</v>
          </cell>
          <cell r="L699">
            <v>0</v>
          </cell>
          <cell r="N699">
            <v>0</v>
          </cell>
          <cell r="O699">
            <v>0</v>
          </cell>
          <cell r="U699">
            <v>4116385.7399999998</v>
          </cell>
          <cell r="V699" t="str">
            <v>*</v>
          </cell>
        </row>
        <row r="700">
          <cell r="G700" t="str">
            <v>TENDER DEPOSITS</v>
          </cell>
          <cell r="H700" t="str">
            <v>Tender Deposits</v>
          </cell>
          <cell r="I700">
            <v>1196518.1299999999</v>
          </cell>
          <cell r="J700">
            <v>10000</v>
          </cell>
          <cell r="K700">
            <v>0</v>
          </cell>
          <cell r="L700">
            <v>1206518.1299999999</v>
          </cell>
          <cell r="N700">
            <v>1206518.1299999999</v>
          </cell>
          <cell r="O700" t="str">
            <v>z</v>
          </cell>
          <cell r="V700" t="str">
            <v>*</v>
          </cell>
        </row>
        <row r="701">
          <cell r="G701" t="str">
            <v>DEPOSIT WITH M T N L</v>
          </cell>
          <cell r="H701" t="str">
            <v>Deposits wih MTNL</v>
          </cell>
          <cell r="I701">
            <v>129000</v>
          </cell>
          <cell r="J701">
            <v>0</v>
          </cell>
          <cell r="K701">
            <v>0</v>
          </cell>
          <cell r="L701">
            <v>129000</v>
          </cell>
          <cell r="N701">
            <v>129000</v>
          </cell>
          <cell r="O701" t="str">
            <v>z</v>
          </cell>
          <cell r="V701" t="str">
            <v>*</v>
          </cell>
        </row>
        <row r="702">
          <cell r="G702" t="str">
            <v>DEPOSIT OTHERS</v>
          </cell>
          <cell r="H702" t="str">
            <v>Deposits others</v>
          </cell>
          <cell r="I702">
            <v>2430822</v>
          </cell>
          <cell r="J702">
            <v>100000</v>
          </cell>
          <cell r="K702">
            <v>0</v>
          </cell>
          <cell r="L702">
            <v>2530822</v>
          </cell>
          <cell r="N702">
            <v>2530822</v>
          </cell>
          <cell r="O702" t="str">
            <v>z</v>
          </cell>
          <cell r="V702" t="str">
            <v>*</v>
          </cell>
        </row>
        <row r="703">
          <cell r="G703" t="str">
            <v>ADVANCE CUSTOM DUTY - DEBP</v>
          </cell>
          <cell r="H703" t="str">
            <v>Advance Custom Duty (DEBP)</v>
          </cell>
          <cell r="I703">
            <v>2706973</v>
          </cell>
          <cell r="J703">
            <v>522839</v>
          </cell>
          <cell r="K703">
            <v>2994426</v>
          </cell>
          <cell r="L703">
            <v>235386</v>
          </cell>
          <cell r="N703">
            <v>235386</v>
          </cell>
          <cell r="O703" t="str">
            <v>z</v>
          </cell>
          <cell r="V703" t="str">
            <v>*</v>
          </cell>
        </row>
        <row r="704">
          <cell r="G704" t="str">
            <v>OTHER REMAINING CURRENT ASSETS</v>
          </cell>
          <cell r="H704" t="str">
            <v>Other Remaining Receivable Interest</v>
          </cell>
          <cell r="I704">
            <v>14659.61</v>
          </cell>
          <cell r="J704">
            <v>0</v>
          </cell>
          <cell r="K704">
            <v>0</v>
          </cell>
          <cell r="L704">
            <v>14659.61</v>
          </cell>
          <cell r="N704">
            <v>14659.61</v>
          </cell>
          <cell r="O704" t="str">
            <v>z</v>
          </cell>
          <cell r="V704" t="str">
            <v>*</v>
          </cell>
        </row>
        <row r="705">
          <cell r="G705" t="str">
            <v>DEUTSCHE BANK (INR)</v>
          </cell>
          <cell r="H705" t="str">
            <v>Deutsche Bank - INR A/C</v>
          </cell>
          <cell r="I705">
            <v>10993705.060000001</v>
          </cell>
          <cell r="J705">
            <v>51892193.060000002</v>
          </cell>
          <cell r="K705">
            <v>51208877.840000004</v>
          </cell>
          <cell r="L705">
            <v>11677020.279999999</v>
          </cell>
          <cell r="N705">
            <v>11677020.279999999</v>
          </cell>
          <cell r="O705" t="str">
            <v>z</v>
          </cell>
          <cell r="U705">
            <v>15889569.729999999</v>
          </cell>
          <cell r="V705" t="str">
            <v>*</v>
          </cell>
        </row>
        <row r="706">
          <cell r="G706" t="str">
            <v>DEUTSCHE BANK (62620050) USD</v>
          </cell>
          <cell r="H706" t="str">
            <v>Deutsche Bank - USD A/C</v>
          </cell>
          <cell r="I706">
            <v>84823.34</v>
          </cell>
          <cell r="J706">
            <v>101064.7</v>
          </cell>
          <cell r="K706">
            <v>127459</v>
          </cell>
          <cell r="L706">
            <v>51980.04</v>
          </cell>
          <cell r="N706">
            <v>51980.04</v>
          </cell>
          <cell r="O706" t="str">
            <v>z</v>
          </cell>
          <cell r="V706" t="str">
            <v>*</v>
          </cell>
        </row>
        <row r="707">
          <cell r="G707" t="str">
            <v>DEUTSCHE BANK (62620040)DEM</v>
          </cell>
          <cell r="H707" t="str">
            <v>Deutsche Bank - DEM A/C</v>
          </cell>
          <cell r="I707">
            <v>2566.7399999999998</v>
          </cell>
          <cell r="J707">
            <v>588004.68999999994</v>
          </cell>
          <cell r="K707">
            <v>590571.43000000005</v>
          </cell>
          <cell r="L707">
            <v>0</v>
          </cell>
          <cell r="N707">
            <v>0</v>
          </cell>
          <cell r="O707" t="str">
            <v>z</v>
          </cell>
          <cell r="V707" t="str">
            <v>*</v>
          </cell>
        </row>
        <row r="708">
          <cell r="G708" t="str">
            <v>DENA BANK</v>
          </cell>
          <cell r="H708" t="str">
            <v>Dena Bank Mumbai</v>
          </cell>
          <cell r="I708">
            <v>74063.97</v>
          </cell>
          <cell r="J708">
            <v>3892227</v>
          </cell>
          <cell r="K708">
            <v>3243513.38</v>
          </cell>
          <cell r="L708">
            <v>722777.59</v>
          </cell>
          <cell r="N708">
            <v>722777.59</v>
          </cell>
          <cell r="O708" t="str">
            <v>z</v>
          </cell>
          <cell r="V708" t="str">
            <v>*</v>
          </cell>
        </row>
        <row r="709">
          <cell r="G709" t="str">
            <v>BANK OF INDIA - PANJIM CURRENT ACCOUNT (1)</v>
          </cell>
          <cell r="H709" t="str">
            <v>Bank of India Panjim Curr. A/c(1)</v>
          </cell>
          <cell r="I709">
            <v>475</v>
          </cell>
          <cell r="J709">
            <v>0</v>
          </cell>
          <cell r="K709">
            <v>0</v>
          </cell>
          <cell r="L709">
            <v>475</v>
          </cell>
          <cell r="N709">
            <v>475</v>
          </cell>
          <cell r="O709" t="str">
            <v>z</v>
          </cell>
          <cell r="V709" t="str">
            <v>*</v>
          </cell>
        </row>
        <row r="710">
          <cell r="G710" t="str">
            <v>BANK OF INDIA - PONDA</v>
          </cell>
          <cell r="H710" t="str">
            <v>Bank of India Ponda Curr. A/c(1)</v>
          </cell>
          <cell r="I710">
            <v>46685.94</v>
          </cell>
          <cell r="J710">
            <v>2084149</v>
          </cell>
          <cell r="K710">
            <v>2190759.5</v>
          </cell>
          <cell r="L710">
            <v>-59924.56</v>
          </cell>
          <cell r="N710">
            <v>-59924.56</v>
          </cell>
          <cell r="O710" t="str">
            <v>z</v>
          </cell>
          <cell r="V710" t="str">
            <v>*</v>
          </cell>
        </row>
        <row r="711">
          <cell r="G711" t="str">
            <v>BANK OF INDIA PANJIM CURR.A/C (2)</v>
          </cell>
          <cell r="H711" t="str">
            <v>Bank of India Panjim Curr. A/c(2)</v>
          </cell>
          <cell r="I711">
            <v>85527.05</v>
          </cell>
          <cell r="J711">
            <v>800000</v>
          </cell>
          <cell r="K711">
            <v>817030</v>
          </cell>
          <cell r="L711">
            <v>68497.05</v>
          </cell>
          <cell r="N711">
            <v>68497.05</v>
          </cell>
          <cell r="O711" t="str">
            <v>z</v>
          </cell>
          <cell r="V711" t="str">
            <v>*</v>
          </cell>
        </row>
        <row r="712">
          <cell r="G712" t="str">
            <v>BANK OF INDIA CURR.A/C- IDBI SCHEME</v>
          </cell>
          <cell r="H712" t="str">
            <v>Bank of India Curr. A/c IDBI Scheme</v>
          </cell>
          <cell r="I712">
            <v>500</v>
          </cell>
          <cell r="J712">
            <v>0</v>
          </cell>
          <cell r="K712">
            <v>0</v>
          </cell>
          <cell r="L712">
            <v>500</v>
          </cell>
          <cell r="N712">
            <v>500</v>
          </cell>
          <cell r="O712" t="str">
            <v>z</v>
          </cell>
          <cell r="V712" t="str">
            <v>*</v>
          </cell>
        </row>
        <row r="713">
          <cell r="G713" t="str">
            <v>STATE BANK OF INDIA PANJIM</v>
          </cell>
          <cell r="H713" t="str">
            <v>State Bank of India Panjim</v>
          </cell>
          <cell r="I713">
            <v>191</v>
          </cell>
          <cell r="J713">
            <v>0</v>
          </cell>
          <cell r="K713">
            <v>0</v>
          </cell>
          <cell r="L713">
            <v>191</v>
          </cell>
          <cell r="N713">
            <v>191</v>
          </cell>
          <cell r="O713" t="str">
            <v>z</v>
          </cell>
          <cell r="V713" t="str">
            <v>*</v>
          </cell>
        </row>
        <row r="714">
          <cell r="G714" t="str">
            <v>GOA URBAN CO-OP.BANK LIMITED</v>
          </cell>
          <cell r="H714" t="str">
            <v>Goa Urban Co-Op. Bank</v>
          </cell>
          <cell r="I714">
            <v>3827.13</v>
          </cell>
          <cell r="J714">
            <v>0</v>
          </cell>
          <cell r="K714">
            <v>0</v>
          </cell>
          <cell r="L714">
            <v>3827.13</v>
          </cell>
          <cell r="N714">
            <v>3827.13</v>
          </cell>
          <cell r="O714" t="str">
            <v>z</v>
          </cell>
          <cell r="V714" t="str">
            <v>*</v>
          </cell>
        </row>
        <row r="715">
          <cell r="G715" t="str">
            <v>CANARA BANK O/D ACCOUNT</v>
          </cell>
          <cell r="H715" t="str">
            <v>Canara Bank O/D</v>
          </cell>
          <cell r="I715">
            <v>1136.19</v>
          </cell>
          <cell r="J715">
            <v>0</v>
          </cell>
          <cell r="K715">
            <v>0</v>
          </cell>
          <cell r="L715">
            <v>1136.19</v>
          </cell>
          <cell r="N715">
            <v>1136.19</v>
          </cell>
          <cell r="O715" t="str">
            <v>z</v>
          </cell>
          <cell r="V715" t="str">
            <v>*</v>
          </cell>
        </row>
        <row r="716">
          <cell r="G716" t="str">
            <v>BANK OF INDIA - TRUSTEE GRATUITY BANK A/C</v>
          </cell>
          <cell r="H716" t="str">
            <v>Trustee Bank Account (Gratuity)</v>
          </cell>
          <cell r="I716">
            <v>3292</v>
          </cell>
          <cell r="J716">
            <v>0</v>
          </cell>
          <cell r="K716">
            <v>0</v>
          </cell>
          <cell r="L716">
            <v>3292</v>
          </cell>
          <cell r="N716">
            <v>8232</v>
          </cell>
          <cell r="O716">
            <v>14</v>
          </cell>
          <cell r="V716" t="str">
            <v>*</v>
          </cell>
        </row>
        <row r="717">
          <cell r="G717" t="str">
            <v>BANK OF INDIA - SUPERANNUATION TRUST ACCOUNT</v>
          </cell>
          <cell r="I717">
            <v>4940</v>
          </cell>
          <cell r="J717">
            <v>0</v>
          </cell>
          <cell r="K717">
            <v>0</v>
          </cell>
          <cell r="L717">
            <v>4940</v>
          </cell>
          <cell r="O717">
            <v>14</v>
          </cell>
        </row>
        <row r="718">
          <cell r="G718" t="str">
            <v>CHEQUES IN HAND</v>
          </cell>
          <cell r="H718" t="str">
            <v>Cheques in Hand</v>
          </cell>
          <cell r="I718">
            <v>0</v>
          </cell>
          <cell r="J718">
            <v>2792459.7</v>
          </cell>
          <cell r="K718">
            <v>0</v>
          </cell>
          <cell r="L718">
            <v>2792459.7</v>
          </cell>
          <cell r="N718">
            <v>2792459.7</v>
          </cell>
          <cell r="O718" t="str">
            <v>z</v>
          </cell>
          <cell r="V718" t="str">
            <v>*</v>
          </cell>
        </row>
        <row r="719">
          <cell r="G719" t="str">
            <v>FIXED DEPOSITS</v>
          </cell>
          <cell r="H719" t="str">
            <v>Fixed Deposits</v>
          </cell>
          <cell r="I719">
            <v>3000</v>
          </cell>
          <cell r="J719">
            <v>0</v>
          </cell>
          <cell r="K719">
            <v>0</v>
          </cell>
          <cell r="L719">
            <v>3000</v>
          </cell>
          <cell r="N719">
            <v>3000</v>
          </cell>
          <cell r="O719" t="str">
            <v>z</v>
          </cell>
          <cell r="V719" t="str">
            <v>*</v>
          </cell>
        </row>
        <row r="720">
          <cell r="G720" t="str">
            <v>MARGIN MONEY DEPOSITS</v>
          </cell>
          <cell r="H720" t="str">
            <v>Margin Money Deposit</v>
          </cell>
          <cell r="I720">
            <v>125098.8</v>
          </cell>
          <cell r="J720">
            <v>0</v>
          </cell>
          <cell r="K720">
            <v>0</v>
          </cell>
          <cell r="L720">
            <v>125098.8</v>
          </cell>
          <cell r="N720">
            <v>125098.8</v>
          </cell>
          <cell r="O720" t="str">
            <v>z</v>
          </cell>
          <cell r="V720" t="str">
            <v>*</v>
          </cell>
        </row>
        <row r="721">
          <cell r="G721" t="str">
            <v>SHORT TERM DEPOSITS</v>
          </cell>
          <cell r="H721" t="str">
            <v>Short Term Deposits</v>
          </cell>
          <cell r="I721">
            <v>5000</v>
          </cell>
          <cell r="J721">
            <v>0</v>
          </cell>
          <cell r="K721">
            <v>0</v>
          </cell>
          <cell r="L721">
            <v>5000</v>
          </cell>
          <cell r="N721">
            <v>5000</v>
          </cell>
          <cell r="O721" t="str">
            <v>z</v>
          </cell>
          <cell r="V721" t="str">
            <v>*</v>
          </cell>
        </row>
        <row r="722">
          <cell r="G722" t="str">
            <v>IMPREST CASH</v>
          </cell>
          <cell r="H722" t="str">
            <v>Imprest Cash</v>
          </cell>
          <cell r="I722">
            <v>521000</v>
          </cell>
          <cell r="J722">
            <v>4000</v>
          </cell>
          <cell r="K722">
            <v>78000</v>
          </cell>
          <cell r="L722">
            <v>447000</v>
          </cell>
          <cell r="N722">
            <v>447000</v>
          </cell>
          <cell r="O722" t="str">
            <v>z</v>
          </cell>
          <cell r="V722" t="str">
            <v>*</v>
          </cell>
        </row>
        <row r="723">
          <cell r="G723" t="str">
            <v>PETTY CASH (MUMBAI)</v>
          </cell>
          <cell r="H723" t="str">
            <v>Petty Cash-Mumbai</v>
          </cell>
          <cell r="I723">
            <v>100280</v>
          </cell>
          <cell r="J723">
            <v>180000</v>
          </cell>
          <cell r="K723">
            <v>248950</v>
          </cell>
          <cell r="L723">
            <v>31330</v>
          </cell>
          <cell r="N723">
            <v>31330</v>
          </cell>
          <cell r="O723" t="str">
            <v>z</v>
          </cell>
          <cell r="V723" t="str">
            <v>*</v>
          </cell>
        </row>
        <row r="724">
          <cell r="G724" t="str">
            <v>PETTY CASH (GOA)</v>
          </cell>
          <cell r="H724" t="str">
            <v>Petty Cash - Goa</v>
          </cell>
          <cell r="I724">
            <v>16452.009999999998</v>
          </cell>
          <cell r="J724">
            <v>80000</v>
          </cell>
          <cell r="K724">
            <v>85482.5</v>
          </cell>
          <cell r="L724">
            <v>10969.51</v>
          </cell>
          <cell r="N724">
            <v>10969.51</v>
          </cell>
          <cell r="O724" t="str">
            <v>z</v>
          </cell>
          <cell r="V724" t="str">
            <v>*</v>
          </cell>
        </row>
        <row r="725">
          <cell r="G725" t="str">
            <v>OTHER PREPAID EXPENSES</v>
          </cell>
          <cell r="H725" t="str">
            <v>Prepaid Expenses</v>
          </cell>
          <cell r="I725">
            <v>830284</v>
          </cell>
          <cell r="J725">
            <v>11275</v>
          </cell>
          <cell r="K725">
            <v>45593</v>
          </cell>
          <cell r="L725">
            <v>795966</v>
          </cell>
          <cell r="N725">
            <v>795966</v>
          </cell>
          <cell r="O725" t="str">
            <v>z</v>
          </cell>
          <cell r="U725">
            <v>1677413</v>
          </cell>
          <cell r="V725" t="str">
            <v>*</v>
          </cell>
        </row>
        <row r="726">
          <cell r="G726" t="str">
            <v>PREPAID INSURANCE</v>
          </cell>
          <cell r="H726" t="str">
            <v>Prepaid Insurance</v>
          </cell>
          <cell r="I726">
            <v>550882</v>
          </cell>
          <cell r="J726">
            <v>2427</v>
          </cell>
          <cell r="K726">
            <v>52296</v>
          </cell>
          <cell r="L726">
            <v>501013</v>
          </cell>
          <cell r="N726">
            <v>501013</v>
          </cell>
          <cell r="O726" t="str">
            <v>z</v>
          </cell>
          <cell r="V726" t="str">
            <v>*</v>
          </cell>
        </row>
        <row r="727">
          <cell r="G727" t="str">
            <v>DEFF.REV. EXPENSES BUILDING</v>
          </cell>
          <cell r="H727" t="str">
            <v>Deff. Rev. Exp.- Misc. Assets</v>
          </cell>
          <cell r="I727">
            <v>0</v>
          </cell>
          <cell r="J727">
            <v>181560</v>
          </cell>
          <cell r="K727">
            <v>0</v>
          </cell>
          <cell r="L727">
            <v>181560</v>
          </cell>
          <cell r="N727">
            <v>380434</v>
          </cell>
          <cell r="O727">
            <v>15</v>
          </cell>
          <cell r="V727" t="str">
            <v>*</v>
          </cell>
        </row>
        <row r="728">
          <cell r="G728" t="str">
            <v>DEFF.REV. EXPENSES KALINA OFFICE &amp; GODOWN</v>
          </cell>
          <cell r="I728">
            <v>255514</v>
          </cell>
          <cell r="J728">
            <v>0</v>
          </cell>
          <cell r="K728">
            <v>56640</v>
          </cell>
          <cell r="L728">
            <v>198874</v>
          </cell>
          <cell r="O728">
            <v>15</v>
          </cell>
          <cell r="V728" t="str">
            <v>*</v>
          </cell>
        </row>
        <row r="729">
          <cell r="G729" t="str">
            <v>ADVANCE TAX A.Y. 1999-2000</v>
          </cell>
          <cell r="H729" t="str">
            <v>Advance I.Tax (A.Y. 1999-2000)</v>
          </cell>
          <cell r="I729">
            <v>7959070</v>
          </cell>
          <cell r="J729">
            <v>0</v>
          </cell>
          <cell r="K729">
            <v>0</v>
          </cell>
          <cell r="L729">
            <v>7959070</v>
          </cell>
          <cell r="N729">
            <v>7959070</v>
          </cell>
          <cell r="O729" t="str">
            <v>z</v>
          </cell>
          <cell r="U729">
            <v>12220027</v>
          </cell>
          <cell r="V729" t="str">
            <v>*</v>
          </cell>
        </row>
        <row r="730">
          <cell r="G730" t="str">
            <v>T.D.S.</v>
          </cell>
          <cell r="H730" t="str">
            <v>T.D.S. A/C</v>
          </cell>
          <cell r="I730">
            <v>110957</v>
          </cell>
          <cell r="J730">
            <v>0</v>
          </cell>
          <cell r="K730">
            <v>0</v>
          </cell>
          <cell r="L730">
            <v>110957</v>
          </cell>
          <cell r="N730">
            <v>110957</v>
          </cell>
          <cell r="O730" t="str">
            <v>z</v>
          </cell>
          <cell r="V730" t="str">
            <v>*</v>
          </cell>
        </row>
        <row r="731">
          <cell r="G731" t="str">
            <v>ADVANCE TAX A.Y.2000-2001</v>
          </cell>
          <cell r="H731" t="str">
            <v>Advance I.Tax (A.Y. 2000-2001)</v>
          </cell>
          <cell r="I731">
            <v>3350000</v>
          </cell>
          <cell r="J731">
            <v>0</v>
          </cell>
          <cell r="K731">
            <v>0</v>
          </cell>
          <cell r="L731">
            <v>3350000</v>
          </cell>
          <cell r="N731">
            <v>3350000</v>
          </cell>
          <cell r="O731" t="str">
            <v>z</v>
          </cell>
          <cell r="V731" t="str">
            <v>*</v>
          </cell>
        </row>
        <row r="732">
          <cell r="G732" t="str">
            <v>ADVANCE TAX - A.Y.2001-02</v>
          </cell>
          <cell r="H732" t="str">
            <v>Advance I.Tax (A.Y. 2001-2002)</v>
          </cell>
          <cell r="I732">
            <v>0</v>
          </cell>
          <cell r="J732">
            <v>800000</v>
          </cell>
          <cell r="K732">
            <v>0</v>
          </cell>
          <cell r="L732">
            <v>800000</v>
          </cell>
          <cell r="N732">
            <v>800000</v>
          </cell>
          <cell r="O732" t="str">
            <v>z</v>
          </cell>
          <cell r="V732" t="str">
            <v>*</v>
          </cell>
        </row>
        <row r="733">
          <cell r="G733" t="str">
            <v>SUBSCRIBED SHARE CAPITAL</v>
          </cell>
          <cell r="H733" t="str">
            <v>Issued, Subscribed and Paid-up:</v>
          </cell>
          <cell r="I733">
            <v>-52488100</v>
          </cell>
          <cell r="J733">
            <v>0</v>
          </cell>
          <cell r="K733">
            <v>0</v>
          </cell>
          <cell r="L733">
            <v>-52488100</v>
          </cell>
          <cell r="N733">
            <v>-52488100</v>
          </cell>
          <cell r="O733" t="str">
            <v>Z</v>
          </cell>
          <cell r="Q733">
            <v>-52488100</v>
          </cell>
          <cell r="U733">
            <v>-52488100</v>
          </cell>
          <cell r="V733" t="str">
            <v>*</v>
          </cell>
        </row>
        <row r="734">
          <cell r="G734" t="str">
            <v>PREMIUM FROM THE ISSUE OF SHARES</v>
          </cell>
          <cell r="H734" t="str">
            <v>Share Premium</v>
          </cell>
          <cell r="I734">
            <v>-953400</v>
          </cell>
          <cell r="J734">
            <v>0</v>
          </cell>
          <cell r="K734">
            <v>0</v>
          </cell>
          <cell r="L734">
            <v>-953400</v>
          </cell>
          <cell r="N734">
            <v>-953400</v>
          </cell>
          <cell r="O734" t="str">
            <v>Z</v>
          </cell>
          <cell r="Q734">
            <v>0</v>
          </cell>
          <cell r="U734">
            <v>-35549908.230000004</v>
          </cell>
          <cell r="V734" t="str">
            <v>*</v>
          </cell>
        </row>
        <row r="735">
          <cell r="G735" t="str">
            <v>RESERVE FOR TREASURY STOCK (OWN SHARES)</v>
          </cell>
          <cell r="H735" t="str">
            <v>General Reserve</v>
          </cell>
          <cell r="I735">
            <v>-7684450</v>
          </cell>
          <cell r="J735">
            <v>0</v>
          </cell>
          <cell r="K735">
            <v>0</v>
          </cell>
          <cell r="L735">
            <v>-7684450</v>
          </cell>
          <cell r="N735">
            <v>-7684450</v>
          </cell>
          <cell r="O735" t="str">
            <v>Z</v>
          </cell>
          <cell r="Q735">
            <v>-7684450</v>
          </cell>
          <cell r="V735" t="str">
            <v>*</v>
          </cell>
        </row>
        <row r="736">
          <cell r="G736" t="str">
            <v>RESULTS BROUGHT FORWARD FROM PRIOR YEAR</v>
          </cell>
          <cell r="H736" t="str">
            <v>Profit and Loss Account</v>
          </cell>
          <cell r="I736">
            <v>-26912058.23</v>
          </cell>
          <cell r="J736">
            <v>0</v>
          </cell>
          <cell r="K736">
            <v>0</v>
          </cell>
          <cell r="L736">
            <v>-26912058.23</v>
          </cell>
          <cell r="N736">
            <v>-26912058.23</v>
          </cell>
          <cell r="O736" t="str">
            <v>Z</v>
          </cell>
          <cell r="Q736">
            <v>-26912058.23</v>
          </cell>
          <cell r="V736" t="str">
            <v>*</v>
          </cell>
        </row>
        <row r="737">
          <cell r="G737" t="str">
            <v>EMPLOYEES PROVIDEND FUND</v>
          </cell>
          <cell r="H737" t="str">
            <v>Employees Provident Fund</v>
          </cell>
          <cell r="I737">
            <v>-82822</v>
          </cell>
          <cell r="J737">
            <v>82835</v>
          </cell>
          <cell r="K737">
            <v>85957</v>
          </cell>
          <cell r="L737">
            <v>-85944</v>
          </cell>
          <cell r="N737">
            <v>-85944</v>
          </cell>
          <cell r="O737" t="str">
            <v>Z</v>
          </cell>
          <cell r="Q737">
            <v>0</v>
          </cell>
          <cell r="U737">
            <v>-93719.86</v>
          </cell>
        </row>
        <row r="738">
          <cell r="G738" t="str">
            <v>EMPLOYEES STATE INSURANCE FUND</v>
          </cell>
          <cell r="H738" t="str">
            <v>Employees State Insurance</v>
          </cell>
          <cell r="I738">
            <v>-4614.1000000000004</v>
          </cell>
          <cell r="J738">
            <v>4622.8999999999996</v>
          </cell>
          <cell r="K738">
            <v>4402.3</v>
          </cell>
          <cell r="L738">
            <v>-4393.5</v>
          </cell>
          <cell r="N738">
            <v>-4393.5</v>
          </cell>
          <cell r="O738" t="str">
            <v>Z</v>
          </cell>
          <cell r="Q738">
            <v>0</v>
          </cell>
        </row>
        <row r="739">
          <cell r="G739" t="str">
            <v>EMPLOYEES DEATH BENE.FUND</v>
          </cell>
          <cell r="I739">
            <v>0</v>
          </cell>
          <cell r="J739">
            <v>360</v>
          </cell>
          <cell r="K739">
            <v>360</v>
          </cell>
          <cell r="L739">
            <v>0</v>
          </cell>
          <cell r="N739">
            <v>0</v>
          </cell>
          <cell r="O739" t="str">
            <v>Z</v>
          </cell>
          <cell r="Q739">
            <v>0</v>
          </cell>
        </row>
        <row r="740">
          <cell r="G740" t="str">
            <v>MAHARASHRA PROFESSION TAX</v>
          </cell>
          <cell r="H740" t="str">
            <v>Maharashtra Profession Tax</v>
          </cell>
          <cell r="I740">
            <v>-5755</v>
          </cell>
          <cell r="J740">
            <v>5755</v>
          </cell>
          <cell r="K740">
            <v>5600</v>
          </cell>
          <cell r="L740">
            <v>-5600</v>
          </cell>
          <cell r="N740">
            <v>-5600</v>
          </cell>
          <cell r="O740" t="str">
            <v>Z</v>
          </cell>
          <cell r="Q740">
            <v>0</v>
          </cell>
        </row>
        <row r="741">
          <cell r="G741" t="str">
            <v>LABOUR WELFARE FUND</v>
          </cell>
          <cell r="H741" t="str">
            <v>Labour Welfare Fund</v>
          </cell>
          <cell r="I741">
            <v>1175.3499999999999</v>
          </cell>
          <cell r="J741">
            <v>0</v>
          </cell>
          <cell r="K741">
            <v>39</v>
          </cell>
          <cell r="L741">
            <v>1136.3499999999999</v>
          </cell>
          <cell r="N741">
            <v>1136.3499999999999</v>
          </cell>
          <cell r="O741" t="str">
            <v>Z</v>
          </cell>
          <cell r="Q741">
            <v>0</v>
          </cell>
        </row>
        <row r="742">
          <cell r="G742" t="str">
            <v>GOA URBAN CO-OP. BANK LOAN</v>
          </cell>
          <cell r="I742">
            <v>0</v>
          </cell>
          <cell r="J742">
            <v>5910</v>
          </cell>
          <cell r="K742">
            <v>5910</v>
          </cell>
          <cell r="L742">
            <v>0</v>
          </cell>
          <cell r="O742">
            <v>0</v>
          </cell>
          <cell r="Q742">
            <v>0</v>
          </cell>
        </row>
        <row r="743">
          <cell r="G743" t="str">
            <v>MENEZES ENT. EMP. CO. OP. SOCIETY LOAN</v>
          </cell>
          <cell r="H743" t="str">
            <v>MENEZES ENT. EMP. CO. OP. SOCIETY LOAN</v>
          </cell>
          <cell r="I743">
            <v>-34444</v>
          </cell>
          <cell r="J743">
            <v>72026</v>
          </cell>
          <cell r="K743">
            <v>37182</v>
          </cell>
          <cell r="L743">
            <v>400</v>
          </cell>
          <cell r="N743">
            <v>400</v>
          </cell>
          <cell r="O743" t="str">
            <v>Z</v>
          </cell>
          <cell r="Q743">
            <v>0</v>
          </cell>
        </row>
        <row r="744">
          <cell r="G744" t="str">
            <v>THE BICHOLIN URBAN CO- OP BANK LOAN</v>
          </cell>
          <cell r="I744">
            <v>0</v>
          </cell>
          <cell r="J744">
            <v>0</v>
          </cell>
          <cell r="K744">
            <v>0</v>
          </cell>
          <cell r="L744">
            <v>0</v>
          </cell>
          <cell r="O744">
            <v>0</v>
          </cell>
          <cell r="Q744">
            <v>0</v>
          </cell>
        </row>
        <row r="745">
          <cell r="G745" t="str">
            <v>EMPLOYEES L.I.C.</v>
          </cell>
          <cell r="H745" t="str">
            <v>LIC</v>
          </cell>
          <cell r="I745">
            <v>-7861.71</v>
          </cell>
          <cell r="J745">
            <v>18621</v>
          </cell>
          <cell r="K745">
            <v>10078</v>
          </cell>
          <cell r="L745">
            <v>681.29</v>
          </cell>
          <cell r="N745">
            <v>681.29</v>
          </cell>
          <cell r="O745" t="str">
            <v>Z</v>
          </cell>
          <cell r="Q745">
            <v>0</v>
          </cell>
          <cell r="V745" t="str">
            <v>*</v>
          </cell>
        </row>
        <row r="746">
          <cell r="G746" t="str">
            <v>GRATUITY / SUPERANNUATION PAYABLE</v>
          </cell>
          <cell r="I746">
            <v>0</v>
          </cell>
          <cell r="J746">
            <v>0</v>
          </cell>
          <cell r="K746">
            <v>0</v>
          </cell>
          <cell r="L746">
            <v>0</v>
          </cell>
          <cell r="O746">
            <v>0</v>
          </cell>
          <cell r="Q746">
            <v>0</v>
          </cell>
        </row>
        <row r="747">
          <cell r="G747" t="str">
            <v>PROVISION FOR INCOME TAX- A.Y. 1998-99</v>
          </cell>
          <cell r="H747" t="str">
            <v>Provision For I.Tax (A.Y. 98/99)</v>
          </cell>
          <cell r="I747">
            <v>-6900000</v>
          </cell>
          <cell r="J747">
            <v>0</v>
          </cell>
          <cell r="K747">
            <v>0</v>
          </cell>
          <cell r="L747">
            <v>-6900000</v>
          </cell>
          <cell r="N747">
            <v>-6900000</v>
          </cell>
          <cell r="O747" t="str">
            <v>Z</v>
          </cell>
          <cell r="Q747">
            <v>-6900000</v>
          </cell>
          <cell r="U747">
            <v>-13723143</v>
          </cell>
        </row>
        <row r="748">
          <cell r="G748" t="str">
            <v>ADVANCE TAX REFUND</v>
          </cell>
          <cell r="H748" t="str">
            <v>Advance Tax Refund</v>
          </cell>
          <cell r="I748">
            <v>-23143</v>
          </cell>
          <cell r="J748">
            <v>0</v>
          </cell>
          <cell r="K748">
            <v>0</v>
          </cell>
          <cell r="L748">
            <v>-23143</v>
          </cell>
          <cell r="N748">
            <v>-23143</v>
          </cell>
          <cell r="O748" t="str">
            <v>Z</v>
          </cell>
          <cell r="Q748">
            <v>0</v>
          </cell>
        </row>
        <row r="749">
          <cell r="G749" t="str">
            <v>PROVISION FOR INCOME TAX- A.Y. 1999-2000</v>
          </cell>
          <cell r="H749" t="str">
            <v>Provision For I.Tax (A.Y. 99/00)</v>
          </cell>
          <cell r="I749">
            <v>-6800000</v>
          </cell>
          <cell r="J749">
            <v>0</v>
          </cell>
          <cell r="K749">
            <v>0</v>
          </cell>
          <cell r="L749">
            <v>-6800000</v>
          </cell>
          <cell r="N749">
            <v>-6800000</v>
          </cell>
          <cell r="O749" t="str">
            <v>Z</v>
          </cell>
          <cell r="Q749">
            <v>-6800000</v>
          </cell>
        </row>
        <row r="750">
          <cell r="G750" t="str">
            <v>PROVISION FOR BONUS</v>
          </cell>
          <cell r="H750" t="str">
            <v>Provision for Bonus</v>
          </cell>
          <cell r="I750">
            <v>-502913</v>
          </cell>
          <cell r="J750">
            <v>0</v>
          </cell>
          <cell r="K750">
            <v>245424</v>
          </cell>
          <cell r="L750">
            <v>-463654</v>
          </cell>
          <cell r="N750">
            <v>-463654</v>
          </cell>
          <cell r="O750" t="str">
            <v>z</v>
          </cell>
          <cell r="Q750">
            <v>0</v>
          </cell>
          <cell r="U750">
            <v>-894443</v>
          </cell>
        </row>
        <row r="751">
          <cell r="G751" t="str">
            <v>LIABILITIES TO MANAGING DIRECTOR</v>
          </cell>
          <cell r="I751">
            <v>0</v>
          </cell>
          <cell r="J751">
            <v>0</v>
          </cell>
          <cell r="K751">
            <v>0</v>
          </cell>
          <cell r="L751">
            <v>0</v>
          </cell>
          <cell r="N751">
            <v>0</v>
          </cell>
          <cell r="O751" t="str">
            <v>z</v>
          </cell>
          <cell r="Q751">
            <v>0</v>
          </cell>
        </row>
        <row r="752">
          <cell r="G752" t="str">
            <v>PROVISION FOR LEAVE ENCASHMENT</v>
          </cell>
          <cell r="H752" t="str">
            <v>PROVISION FOR LEAVE ENCASHMENT</v>
          </cell>
          <cell r="I752">
            <v>0</v>
          </cell>
          <cell r="J752">
            <v>0</v>
          </cell>
          <cell r="K752">
            <v>430789</v>
          </cell>
          <cell r="L752">
            <v>-430789</v>
          </cell>
          <cell r="N752">
            <v>-430789</v>
          </cell>
          <cell r="O752" t="str">
            <v>z</v>
          </cell>
          <cell r="Q752">
            <v>0</v>
          </cell>
        </row>
        <row r="753">
          <cell r="G753" t="str">
            <v>PROVISION FOR AUDIT FEES</v>
          </cell>
          <cell r="H753" t="str">
            <v>Provision for Audit Fees</v>
          </cell>
          <cell r="I753">
            <v>-337700</v>
          </cell>
          <cell r="J753">
            <v>0</v>
          </cell>
          <cell r="K753">
            <v>37000</v>
          </cell>
          <cell r="L753">
            <v>-374700</v>
          </cell>
          <cell r="N753">
            <v>-374700</v>
          </cell>
          <cell r="O753" t="str">
            <v>z</v>
          </cell>
          <cell r="Q753">
            <v>0</v>
          </cell>
          <cell r="U753">
            <v>-5719034.8399999999</v>
          </cell>
        </row>
        <row r="754">
          <cell r="G754" t="str">
            <v>PROVISION FOR TAX AUDIT FEES</v>
          </cell>
          <cell r="H754" t="str">
            <v>Provision for Tax Audit Fees</v>
          </cell>
          <cell r="I754">
            <v>-28875</v>
          </cell>
          <cell r="J754">
            <v>0</v>
          </cell>
          <cell r="K754">
            <v>3000</v>
          </cell>
          <cell r="L754">
            <v>-31875</v>
          </cell>
          <cell r="N754">
            <v>-31875</v>
          </cell>
          <cell r="O754" t="str">
            <v>z</v>
          </cell>
          <cell r="Q754">
            <v>0</v>
          </cell>
        </row>
        <row r="755">
          <cell r="G755" t="str">
            <v>OUTSTANDING EXPENSES</v>
          </cell>
          <cell r="H755" t="str">
            <v>Outstanding Expenses</v>
          </cell>
          <cell r="I755">
            <v>-1118000</v>
          </cell>
          <cell r="J755">
            <v>1094000</v>
          </cell>
          <cell r="K755">
            <v>3751348</v>
          </cell>
          <cell r="L755">
            <v>-5312459.84</v>
          </cell>
          <cell r="N755">
            <v>-5312459.84</v>
          </cell>
          <cell r="O755">
            <v>100</v>
          </cell>
          <cell r="Q755">
            <v>-5312459.84</v>
          </cell>
        </row>
        <row r="756">
          <cell r="G756" t="str">
            <v>BHARAT CHEMICALS</v>
          </cell>
          <cell r="I756">
            <v>0</v>
          </cell>
          <cell r="J756">
            <v>0</v>
          </cell>
          <cell r="K756">
            <v>0</v>
          </cell>
          <cell r="L756">
            <v>0</v>
          </cell>
          <cell r="N756">
            <v>0</v>
          </cell>
          <cell r="O756" t="str">
            <v>z</v>
          </cell>
          <cell r="Q756">
            <v>0</v>
          </cell>
          <cell r="U756">
            <v>-55224.11</v>
          </cell>
        </row>
        <row r="757">
          <cell r="G757" t="str">
            <v>EXPO ENGINNEERS</v>
          </cell>
          <cell r="I757">
            <v>0</v>
          </cell>
          <cell r="J757">
            <v>0</v>
          </cell>
          <cell r="K757">
            <v>0</v>
          </cell>
          <cell r="L757">
            <v>0</v>
          </cell>
          <cell r="N757">
            <v>0</v>
          </cell>
          <cell r="O757" t="str">
            <v>z</v>
          </cell>
          <cell r="Q757">
            <v>0</v>
          </cell>
        </row>
        <row r="758">
          <cell r="G758" t="str">
            <v>HOSPITAL SUPPLY CORPORATION (INDIA)</v>
          </cell>
          <cell r="I758">
            <v>0</v>
          </cell>
          <cell r="J758">
            <v>0</v>
          </cell>
          <cell r="K758">
            <v>2125</v>
          </cell>
          <cell r="L758">
            <v>-2125</v>
          </cell>
          <cell r="N758">
            <v>-2125</v>
          </cell>
          <cell r="O758" t="str">
            <v>z</v>
          </cell>
          <cell r="Q758">
            <v>0</v>
          </cell>
        </row>
        <row r="759">
          <cell r="G759" t="str">
            <v>INKS INDIA</v>
          </cell>
          <cell r="I759">
            <v>0</v>
          </cell>
          <cell r="J759">
            <v>0</v>
          </cell>
          <cell r="K759">
            <v>0</v>
          </cell>
          <cell r="L759">
            <v>0</v>
          </cell>
          <cell r="N759">
            <v>0</v>
          </cell>
          <cell r="O759" t="str">
            <v>z</v>
          </cell>
          <cell r="Q759">
            <v>0</v>
          </cell>
        </row>
        <row r="760">
          <cell r="G760" t="str">
            <v>MONGA ELECTRONICS PVT. LTD</v>
          </cell>
          <cell r="I760">
            <v>0</v>
          </cell>
          <cell r="J760">
            <v>0</v>
          </cell>
          <cell r="K760">
            <v>0</v>
          </cell>
          <cell r="L760">
            <v>0</v>
          </cell>
          <cell r="N760">
            <v>0</v>
          </cell>
          <cell r="O760" t="str">
            <v>z</v>
          </cell>
          <cell r="Q760">
            <v>0</v>
          </cell>
        </row>
        <row r="761">
          <cell r="G761" t="str">
            <v>MANGIRISH PRINTERS</v>
          </cell>
          <cell r="I761">
            <v>-2855</v>
          </cell>
          <cell r="J761">
            <v>0</v>
          </cell>
          <cell r="K761">
            <v>0</v>
          </cell>
          <cell r="L761">
            <v>-2855</v>
          </cell>
          <cell r="N761">
            <v>-2855</v>
          </cell>
          <cell r="O761" t="str">
            <v>z</v>
          </cell>
          <cell r="Q761">
            <v>0</v>
          </cell>
        </row>
        <row r="762">
          <cell r="G762" t="str">
            <v>OMEGA SYSTEMS</v>
          </cell>
          <cell r="I762">
            <v>0</v>
          </cell>
          <cell r="J762">
            <v>0</v>
          </cell>
          <cell r="K762">
            <v>0</v>
          </cell>
          <cell r="L762">
            <v>0</v>
          </cell>
          <cell r="N762">
            <v>0</v>
          </cell>
          <cell r="O762" t="str">
            <v>z</v>
          </cell>
          <cell r="Q762">
            <v>0</v>
          </cell>
        </row>
        <row r="763">
          <cell r="G763" t="str">
            <v>PACKWELL</v>
          </cell>
          <cell r="I763">
            <v>23768.85</v>
          </cell>
          <cell r="J763">
            <v>0</v>
          </cell>
          <cell r="K763">
            <v>0</v>
          </cell>
          <cell r="L763">
            <v>23768.85</v>
          </cell>
          <cell r="N763">
            <v>23768.85</v>
          </cell>
          <cell r="O763" t="str">
            <v>z</v>
          </cell>
          <cell r="Q763">
            <v>0</v>
          </cell>
        </row>
        <row r="764">
          <cell r="G764" t="str">
            <v>PERITO ASSOCIATES</v>
          </cell>
          <cell r="I764">
            <v>4050.04</v>
          </cell>
          <cell r="J764">
            <v>2592</v>
          </cell>
          <cell r="K764">
            <v>0</v>
          </cell>
          <cell r="L764">
            <v>6642.04</v>
          </cell>
          <cell r="N764">
            <v>6642.04</v>
          </cell>
          <cell r="O764" t="str">
            <v>z</v>
          </cell>
          <cell r="Q764">
            <v>0</v>
          </cell>
        </row>
        <row r="765">
          <cell r="G765" t="str">
            <v>PEST CONTROL (INDIA) LTD.</v>
          </cell>
          <cell r="I765">
            <v>-29515</v>
          </cell>
          <cell r="J765">
            <v>29515</v>
          </cell>
          <cell r="K765">
            <v>16876</v>
          </cell>
          <cell r="L765">
            <v>-16876</v>
          </cell>
          <cell r="N765">
            <v>-16876</v>
          </cell>
          <cell r="O765" t="str">
            <v>z</v>
          </cell>
          <cell r="Q765">
            <v>0</v>
          </cell>
        </row>
        <row r="766">
          <cell r="G766" t="str">
            <v>PRO -PACK INDUSTRIES</v>
          </cell>
          <cell r="I766">
            <v>-142878</v>
          </cell>
          <cell r="J766">
            <v>89273</v>
          </cell>
          <cell r="K766">
            <v>0</v>
          </cell>
          <cell r="L766">
            <v>-53605</v>
          </cell>
          <cell r="N766">
            <v>-53605</v>
          </cell>
          <cell r="O766" t="str">
            <v>z</v>
          </cell>
          <cell r="Q766">
            <v>0</v>
          </cell>
        </row>
        <row r="767">
          <cell r="G767" t="str">
            <v>R.K. PACKAGING</v>
          </cell>
          <cell r="I767">
            <v>0</v>
          </cell>
          <cell r="J767">
            <v>0</v>
          </cell>
          <cell r="K767">
            <v>0</v>
          </cell>
          <cell r="L767">
            <v>0</v>
          </cell>
          <cell r="N767">
            <v>0</v>
          </cell>
          <cell r="O767" t="str">
            <v>z</v>
          </cell>
          <cell r="Q767">
            <v>0</v>
          </cell>
        </row>
        <row r="768">
          <cell r="G768" t="str">
            <v>ROBOT SOAP PRODUCTS</v>
          </cell>
          <cell r="I768">
            <v>0</v>
          </cell>
          <cell r="J768">
            <v>0</v>
          </cell>
          <cell r="K768">
            <v>0</v>
          </cell>
          <cell r="L768">
            <v>0</v>
          </cell>
          <cell r="N768">
            <v>0</v>
          </cell>
          <cell r="O768" t="str">
            <v>z</v>
          </cell>
          <cell r="Q768">
            <v>0</v>
          </cell>
        </row>
        <row r="769">
          <cell r="G769" t="str">
            <v>SADHALE ENTERPRISES</v>
          </cell>
          <cell r="I769">
            <v>0</v>
          </cell>
          <cell r="J769">
            <v>12096</v>
          </cell>
          <cell r="K769">
            <v>14877</v>
          </cell>
          <cell r="L769">
            <v>-2781</v>
          </cell>
          <cell r="N769">
            <v>-2781</v>
          </cell>
          <cell r="O769" t="str">
            <v>z</v>
          </cell>
          <cell r="Q769">
            <v>0</v>
          </cell>
        </row>
        <row r="770">
          <cell r="G770" t="str">
            <v>SANJAY PLASTICS</v>
          </cell>
          <cell r="I770">
            <v>0</v>
          </cell>
          <cell r="J770">
            <v>0</v>
          </cell>
          <cell r="K770">
            <v>0</v>
          </cell>
          <cell r="L770">
            <v>0</v>
          </cell>
          <cell r="N770">
            <v>0</v>
          </cell>
          <cell r="O770" t="str">
            <v>z</v>
          </cell>
          <cell r="Q770">
            <v>0</v>
          </cell>
        </row>
        <row r="771">
          <cell r="G771" t="str">
            <v>SHERVANI PLASTIC INDUSTRY</v>
          </cell>
          <cell r="I771">
            <v>-28595</v>
          </cell>
          <cell r="J771">
            <v>28585</v>
          </cell>
          <cell r="K771">
            <v>7383</v>
          </cell>
          <cell r="L771">
            <v>-7393</v>
          </cell>
          <cell r="N771">
            <v>-7393</v>
          </cell>
          <cell r="O771" t="str">
            <v>z</v>
          </cell>
          <cell r="Q771">
            <v>0</v>
          </cell>
        </row>
        <row r="772">
          <cell r="G772" t="str">
            <v>S.R.ENTERPRISE</v>
          </cell>
          <cell r="I772">
            <v>0</v>
          </cell>
          <cell r="J772">
            <v>0</v>
          </cell>
          <cell r="K772">
            <v>0</v>
          </cell>
          <cell r="L772">
            <v>0</v>
          </cell>
          <cell r="N772">
            <v>0</v>
          </cell>
          <cell r="O772" t="str">
            <v>z</v>
          </cell>
          <cell r="Q772">
            <v>0</v>
          </cell>
        </row>
        <row r="773">
          <cell r="G773" t="str">
            <v>YASH AGENCIES</v>
          </cell>
          <cell r="I773">
            <v>0</v>
          </cell>
          <cell r="J773">
            <v>0</v>
          </cell>
          <cell r="K773">
            <v>0</v>
          </cell>
          <cell r="L773">
            <v>0</v>
          </cell>
          <cell r="N773">
            <v>0</v>
          </cell>
          <cell r="O773" t="str">
            <v>z</v>
          </cell>
          <cell r="Q773">
            <v>0</v>
          </cell>
        </row>
        <row r="774">
          <cell r="G774" t="str">
            <v>EDIFICE MEDICAL SYSTEMS, MUMBAI</v>
          </cell>
          <cell r="I774">
            <v>-27832</v>
          </cell>
          <cell r="J774">
            <v>19000</v>
          </cell>
          <cell r="K774">
            <v>0</v>
          </cell>
          <cell r="L774">
            <v>-8832</v>
          </cell>
          <cell r="N774">
            <v>-8832</v>
          </cell>
          <cell r="O774" t="str">
            <v>z</v>
          </cell>
          <cell r="Q774">
            <v>0</v>
          </cell>
        </row>
        <row r="775">
          <cell r="G775" t="str">
            <v>G.D.ENTERPRISES</v>
          </cell>
          <cell r="I775">
            <v>-183910</v>
          </cell>
          <cell r="J775">
            <v>0</v>
          </cell>
          <cell r="K775">
            <v>0</v>
          </cell>
          <cell r="L775">
            <v>-183910</v>
          </cell>
          <cell r="N775">
            <v>-183910</v>
          </cell>
          <cell r="O775" t="str">
            <v>z</v>
          </cell>
          <cell r="Q775">
            <v>0</v>
          </cell>
        </row>
        <row r="776">
          <cell r="G776" t="str">
            <v>K. K. SURGICALS</v>
          </cell>
          <cell r="I776">
            <v>-24537</v>
          </cell>
          <cell r="J776">
            <v>0</v>
          </cell>
          <cell r="K776">
            <v>0</v>
          </cell>
          <cell r="L776">
            <v>-24537</v>
          </cell>
          <cell r="N776">
            <v>-24537</v>
          </cell>
          <cell r="O776" t="str">
            <v>z</v>
          </cell>
          <cell r="Q776">
            <v>0</v>
          </cell>
        </row>
        <row r="777">
          <cell r="G777" t="str">
            <v>KONSUMEX SERVICES</v>
          </cell>
          <cell r="I777">
            <v>-96801</v>
          </cell>
          <cell r="J777">
            <v>0</v>
          </cell>
          <cell r="K777">
            <v>0</v>
          </cell>
          <cell r="L777">
            <v>-96801</v>
          </cell>
          <cell r="N777">
            <v>-96801</v>
          </cell>
          <cell r="O777" t="str">
            <v>z</v>
          </cell>
          <cell r="Q777">
            <v>0</v>
          </cell>
        </row>
        <row r="778">
          <cell r="G778" t="str">
            <v>PRADEEP KALE &amp; CO.</v>
          </cell>
          <cell r="I778">
            <v>0</v>
          </cell>
          <cell r="J778">
            <v>0</v>
          </cell>
          <cell r="K778">
            <v>0</v>
          </cell>
          <cell r="L778">
            <v>0</v>
          </cell>
          <cell r="N778">
            <v>0</v>
          </cell>
          <cell r="O778" t="str">
            <v>z</v>
          </cell>
          <cell r="Q778">
            <v>0</v>
          </cell>
        </row>
        <row r="779">
          <cell r="G779" t="str">
            <v>P. MAHAJAN</v>
          </cell>
          <cell r="I779">
            <v>-25000</v>
          </cell>
          <cell r="J779">
            <v>0</v>
          </cell>
          <cell r="K779">
            <v>0</v>
          </cell>
          <cell r="L779">
            <v>-25000</v>
          </cell>
          <cell r="N779">
            <v>-25000</v>
          </cell>
          <cell r="O779" t="str">
            <v>z</v>
          </cell>
          <cell r="Q779">
            <v>0</v>
          </cell>
        </row>
        <row r="780">
          <cell r="G780" t="str">
            <v>P. RAVEENDRAN</v>
          </cell>
          <cell r="I780">
            <v>0</v>
          </cell>
          <cell r="J780">
            <v>0</v>
          </cell>
          <cell r="K780">
            <v>0</v>
          </cell>
          <cell r="L780">
            <v>0</v>
          </cell>
          <cell r="N780">
            <v>0</v>
          </cell>
          <cell r="O780" t="str">
            <v>z</v>
          </cell>
          <cell r="Q780">
            <v>0</v>
          </cell>
        </row>
        <row r="781">
          <cell r="G781" t="str">
            <v>PRABHA SURGICALS</v>
          </cell>
          <cell r="I781">
            <v>-66290</v>
          </cell>
          <cell r="J781">
            <v>16800</v>
          </cell>
          <cell r="K781">
            <v>6000</v>
          </cell>
          <cell r="L781">
            <v>-55490</v>
          </cell>
          <cell r="N781">
            <v>-55490</v>
          </cell>
          <cell r="O781" t="str">
            <v>z</v>
          </cell>
          <cell r="Q781">
            <v>0</v>
          </cell>
        </row>
        <row r="782">
          <cell r="G782" t="str">
            <v>RENHART HEALTH PRODUCTS LIMITED</v>
          </cell>
          <cell r="I782">
            <v>0</v>
          </cell>
          <cell r="J782">
            <v>0</v>
          </cell>
          <cell r="K782">
            <v>0</v>
          </cell>
          <cell r="L782">
            <v>0</v>
          </cell>
          <cell r="N782">
            <v>0</v>
          </cell>
          <cell r="O782" t="str">
            <v>z</v>
          </cell>
          <cell r="Q782">
            <v>0</v>
          </cell>
        </row>
        <row r="783">
          <cell r="G783" t="str">
            <v>STERICAT GUSTRINGS NEW DELHI</v>
          </cell>
          <cell r="I783">
            <v>5351</v>
          </cell>
          <cell r="J783">
            <v>0</v>
          </cell>
          <cell r="K783">
            <v>0</v>
          </cell>
          <cell r="L783">
            <v>5351</v>
          </cell>
          <cell r="N783">
            <v>5351</v>
          </cell>
          <cell r="O783" t="str">
            <v>z</v>
          </cell>
          <cell r="Q783">
            <v>0</v>
          </cell>
        </row>
        <row r="784">
          <cell r="G784" t="str">
            <v>SCIEMED OVERSEAS</v>
          </cell>
          <cell r="I784">
            <v>-356669</v>
          </cell>
          <cell r="J784">
            <v>90263</v>
          </cell>
          <cell r="K784">
            <v>0</v>
          </cell>
          <cell r="L784">
            <v>-266406</v>
          </cell>
          <cell r="N784">
            <v>-266406</v>
          </cell>
          <cell r="O784" t="str">
            <v>z</v>
          </cell>
          <cell r="Q784">
            <v>0</v>
          </cell>
        </row>
        <row r="785">
          <cell r="G785" t="str">
            <v>S.R.ENTERPRISES.</v>
          </cell>
          <cell r="I785">
            <v>0</v>
          </cell>
          <cell r="J785">
            <v>0</v>
          </cell>
          <cell r="K785">
            <v>0</v>
          </cell>
          <cell r="L785">
            <v>0</v>
          </cell>
          <cell r="N785">
            <v>0</v>
          </cell>
          <cell r="O785" t="str">
            <v>z</v>
          </cell>
          <cell r="Q785">
            <v>0</v>
          </cell>
        </row>
        <row r="786">
          <cell r="G786" t="str">
            <v>UNITED SURGICALS</v>
          </cell>
          <cell r="I786">
            <v>0</v>
          </cell>
          <cell r="J786">
            <v>0</v>
          </cell>
          <cell r="K786">
            <v>0</v>
          </cell>
          <cell r="L786">
            <v>0</v>
          </cell>
          <cell r="N786">
            <v>0</v>
          </cell>
          <cell r="O786" t="str">
            <v>z</v>
          </cell>
          <cell r="Q786">
            <v>0</v>
          </cell>
        </row>
        <row r="787">
          <cell r="G787" t="str">
            <v>VIJAY PANCHAL</v>
          </cell>
          <cell r="I787">
            <v>-32062</v>
          </cell>
          <cell r="J787">
            <v>32062</v>
          </cell>
          <cell r="K787">
            <v>0</v>
          </cell>
          <cell r="L787">
            <v>0</v>
          </cell>
          <cell r="N787">
            <v>0</v>
          </cell>
          <cell r="O787" t="str">
            <v>z</v>
          </cell>
          <cell r="Q787">
            <v>0</v>
          </cell>
        </row>
        <row r="788">
          <cell r="G788" t="str">
            <v>USHA BUSINESS DEVELOPMENT PVT. LTD.</v>
          </cell>
          <cell r="I788">
            <v>-181285</v>
          </cell>
          <cell r="J788">
            <v>0</v>
          </cell>
          <cell r="K788">
            <v>174204</v>
          </cell>
          <cell r="L788">
            <v>-355489</v>
          </cell>
          <cell r="N788">
            <v>-355489</v>
          </cell>
          <cell r="O788" t="str">
            <v>z</v>
          </cell>
          <cell r="Q788">
            <v>0</v>
          </cell>
        </row>
        <row r="789">
          <cell r="G789" t="str">
            <v>INDRA GANDHI INSTITUTE, PATNA</v>
          </cell>
          <cell r="I789">
            <v>185407</v>
          </cell>
          <cell r="J789">
            <v>0</v>
          </cell>
          <cell r="K789">
            <v>0</v>
          </cell>
          <cell r="L789">
            <v>185407</v>
          </cell>
          <cell r="N789">
            <v>185407</v>
          </cell>
          <cell r="O789" t="str">
            <v>z</v>
          </cell>
          <cell r="Q789">
            <v>0</v>
          </cell>
        </row>
        <row r="790">
          <cell r="G790" t="str">
            <v>MULTICARE MEDICAL EQIPMENT LTD.</v>
          </cell>
          <cell r="I790">
            <v>-790608</v>
          </cell>
          <cell r="J790">
            <v>0</v>
          </cell>
          <cell r="K790">
            <v>43273</v>
          </cell>
          <cell r="L790">
            <v>-833881</v>
          </cell>
          <cell r="N790">
            <v>-833881</v>
          </cell>
          <cell r="O790" t="str">
            <v>z</v>
          </cell>
          <cell r="Q790">
            <v>0</v>
          </cell>
        </row>
        <row r="791">
          <cell r="G791" t="str">
            <v>CHEMIPLAST</v>
          </cell>
          <cell r="I791">
            <v>0</v>
          </cell>
          <cell r="J791">
            <v>0</v>
          </cell>
          <cell r="K791">
            <v>0</v>
          </cell>
          <cell r="L791">
            <v>0</v>
          </cell>
          <cell r="N791">
            <v>0</v>
          </cell>
          <cell r="O791" t="str">
            <v>z</v>
          </cell>
          <cell r="Q791">
            <v>0</v>
          </cell>
        </row>
        <row r="792">
          <cell r="G792" t="str">
            <v>OVERSEAS ASSOCIATES</v>
          </cell>
          <cell r="I792">
            <v>-573563.49</v>
          </cell>
          <cell r="J792">
            <v>100279</v>
          </cell>
          <cell r="K792">
            <v>63388</v>
          </cell>
          <cell r="L792">
            <v>-536672.49</v>
          </cell>
          <cell r="N792">
            <v>-536672.49</v>
          </cell>
          <cell r="O792" t="str">
            <v>z</v>
          </cell>
          <cell r="Q792">
            <v>0</v>
          </cell>
        </row>
        <row r="793">
          <cell r="G793" t="str">
            <v>WIPRO BIOMED</v>
          </cell>
          <cell r="I793">
            <v>-502808</v>
          </cell>
          <cell r="J793">
            <v>0</v>
          </cell>
          <cell r="K793">
            <v>20634</v>
          </cell>
          <cell r="L793">
            <v>-523442</v>
          </cell>
          <cell r="N793">
            <v>-523442</v>
          </cell>
          <cell r="O793" t="str">
            <v>z</v>
          </cell>
          <cell r="Q793">
            <v>0</v>
          </cell>
        </row>
        <row r="794">
          <cell r="G794" t="str">
            <v>TRITON MEDICAL SERVICES PVT LTD</v>
          </cell>
          <cell r="I794">
            <v>0</v>
          </cell>
          <cell r="J794">
            <v>0</v>
          </cell>
          <cell r="K794">
            <v>0</v>
          </cell>
          <cell r="L794">
            <v>0</v>
          </cell>
          <cell r="N794">
            <v>0</v>
          </cell>
          <cell r="O794" t="str">
            <v>z</v>
          </cell>
          <cell r="Q794">
            <v>0</v>
          </cell>
        </row>
        <row r="795">
          <cell r="G795" t="str">
            <v>HI TECH PHARMA</v>
          </cell>
          <cell r="I795">
            <v>0</v>
          </cell>
          <cell r="J795">
            <v>0</v>
          </cell>
          <cell r="K795">
            <v>0</v>
          </cell>
          <cell r="L795">
            <v>0</v>
          </cell>
          <cell r="N795">
            <v>0</v>
          </cell>
          <cell r="O795" t="str">
            <v>z</v>
          </cell>
          <cell r="Q795">
            <v>0</v>
          </cell>
        </row>
        <row r="796">
          <cell r="G796" t="str">
            <v>JAGJIT SINGH</v>
          </cell>
          <cell r="I796">
            <v>-75000</v>
          </cell>
          <cell r="J796">
            <v>0</v>
          </cell>
          <cell r="K796">
            <v>0</v>
          </cell>
          <cell r="L796">
            <v>-75000</v>
          </cell>
          <cell r="N796">
            <v>-75000</v>
          </cell>
          <cell r="O796" t="str">
            <v>z</v>
          </cell>
          <cell r="Q796">
            <v>0</v>
          </cell>
        </row>
        <row r="797">
          <cell r="G797" t="str">
            <v>ESQUIRE SURGICALS</v>
          </cell>
          <cell r="I797">
            <v>-9678.7000000000007</v>
          </cell>
          <cell r="J797">
            <v>0</v>
          </cell>
          <cell r="K797">
            <v>0</v>
          </cell>
          <cell r="L797">
            <v>-9678.7000000000007</v>
          </cell>
          <cell r="N797">
            <v>-9678.7000000000007</v>
          </cell>
          <cell r="O797" t="str">
            <v>z</v>
          </cell>
          <cell r="Q797">
            <v>0</v>
          </cell>
        </row>
        <row r="798">
          <cell r="G798" t="str">
            <v>THE SOUTH INDIA SURGICAL CO. LTD.</v>
          </cell>
          <cell r="I798">
            <v>-114074</v>
          </cell>
          <cell r="J798">
            <v>114074</v>
          </cell>
          <cell r="K798">
            <v>121327</v>
          </cell>
          <cell r="L798">
            <v>-121327</v>
          </cell>
          <cell r="N798">
            <v>-121327</v>
          </cell>
          <cell r="O798" t="str">
            <v>z</v>
          </cell>
          <cell r="Q798">
            <v>0</v>
          </cell>
        </row>
        <row r="799">
          <cell r="G799" t="str">
            <v>DESAI AGENCIES</v>
          </cell>
          <cell r="I799">
            <v>0</v>
          </cell>
          <cell r="J799">
            <v>0</v>
          </cell>
          <cell r="K799">
            <v>0</v>
          </cell>
          <cell r="L799">
            <v>0</v>
          </cell>
          <cell r="N799">
            <v>0</v>
          </cell>
          <cell r="O799" t="str">
            <v>z</v>
          </cell>
          <cell r="Q799">
            <v>0</v>
          </cell>
        </row>
        <row r="800">
          <cell r="G800" t="str">
            <v>S.K.SHARMA &amp; COMPANY</v>
          </cell>
          <cell r="I800">
            <v>-91520</v>
          </cell>
          <cell r="J800">
            <v>91520</v>
          </cell>
          <cell r="K800">
            <v>40999</v>
          </cell>
          <cell r="L800">
            <v>-40999</v>
          </cell>
          <cell r="N800">
            <v>-40999</v>
          </cell>
          <cell r="O800" t="str">
            <v>z</v>
          </cell>
          <cell r="Q800">
            <v>0</v>
          </cell>
        </row>
        <row r="801">
          <cell r="G801" t="str">
            <v>EDIFICE CORPORATION</v>
          </cell>
          <cell r="I801">
            <v>0</v>
          </cell>
          <cell r="J801">
            <v>0</v>
          </cell>
          <cell r="K801">
            <v>0</v>
          </cell>
          <cell r="L801">
            <v>0</v>
          </cell>
          <cell r="N801">
            <v>0</v>
          </cell>
          <cell r="O801" t="str">
            <v>z</v>
          </cell>
          <cell r="Q801">
            <v>0</v>
          </cell>
        </row>
        <row r="802">
          <cell r="G802" t="str">
            <v>SHANBAG</v>
          </cell>
          <cell r="I802">
            <v>0</v>
          </cell>
          <cell r="J802">
            <v>0</v>
          </cell>
          <cell r="K802">
            <v>0</v>
          </cell>
          <cell r="L802">
            <v>0</v>
          </cell>
          <cell r="N802">
            <v>0</v>
          </cell>
          <cell r="O802" t="str">
            <v>z</v>
          </cell>
          <cell r="Q802">
            <v>0</v>
          </cell>
        </row>
        <row r="803">
          <cell r="G803" t="str">
            <v>RETAINTION MONEY - BHARAT ENG.</v>
          </cell>
          <cell r="H803" t="str">
            <v>Retaintion Money - Bharat Eng.</v>
          </cell>
          <cell r="I803">
            <v>-827501</v>
          </cell>
          <cell r="J803">
            <v>0</v>
          </cell>
          <cell r="K803">
            <v>0</v>
          </cell>
          <cell r="L803">
            <v>-827501</v>
          </cell>
          <cell r="N803">
            <v>-827501</v>
          </cell>
          <cell r="O803" t="str">
            <v>z</v>
          </cell>
          <cell r="Q803">
            <v>0</v>
          </cell>
          <cell r="U803">
            <v>-2433730.81</v>
          </cell>
        </row>
        <row r="804">
          <cell r="G804" t="str">
            <v>TRINITY</v>
          </cell>
          <cell r="I804">
            <v>-51992</v>
          </cell>
          <cell r="J804">
            <v>0</v>
          </cell>
          <cell r="K804">
            <v>0</v>
          </cell>
          <cell r="L804">
            <v>-51992</v>
          </cell>
          <cell r="N804">
            <v>-51992</v>
          </cell>
          <cell r="O804" t="str">
            <v>z</v>
          </cell>
          <cell r="Q804">
            <v>0</v>
          </cell>
        </row>
        <row r="805">
          <cell r="G805" t="str">
            <v>ACME AIRFROST IND PVT. LTD.</v>
          </cell>
          <cell r="I805">
            <v>-4875</v>
          </cell>
          <cell r="J805">
            <v>0</v>
          </cell>
          <cell r="K805">
            <v>0</v>
          </cell>
          <cell r="L805">
            <v>-4875</v>
          </cell>
          <cell r="N805">
            <v>-4875</v>
          </cell>
          <cell r="O805" t="str">
            <v>z</v>
          </cell>
          <cell r="Q805">
            <v>0</v>
          </cell>
        </row>
        <row r="806">
          <cell r="G806" t="str">
            <v>ADMARK GIFTS</v>
          </cell>
          <cell r="I806">
            <v>48922</v>
          </cell>
          <cell r="J806">
            <v>48922</v>
          </cell>
          <cell r="K806">
            <v>97844</v>
          </cell>
          <cell r="L806">
            <v>0</v>
          </cell>
          <cell r="N806">
            <v>0</v>
          </cell>
          <cell r="O806" t="str">
            <v>z</v>
          </cell>
          <cell r="Q806">
            <v>0</v>
          </cell>
        </row>
        <row r="807">
          <cell r="G807" t="str">
            <v>ALEENA FURNISHERS</v>
          </cell>
          <cell r="I807">
            <v>15000</v>
          </cell>
          <cell r="J807">
            <v>0</v>
          </cell>
          <cell r="K807">
            <v>15000</v>
          </cell>
          <cell r="L807">
            <v>0</v>
          </cell>
          <cell r="N807">
            <v>0</v>
          </cell>
          <cell r="O807" t="str">
            <v>z</v>
          </cell>
          <cell r="Q807">
            <v>0</v>
          </cell>
        </row>
        <row r="808">
          <cell r="G808" t="str">
            <v>AJAY ENTERPRISES</v>
          </cell>
          <cell r="I808">
            <v>0</v>
          </cell>
          <cell r="J808">
            <v>0</v>
          </cell>
          <cell r="K808">
            <v>0</v>
          </cell>
          <cell r="L808">
            <v>0</v>
          </cell>
          <cell r="N808">
            <v>0</v>
          </cell>
          <cell r="O808" t="str">
            <v>z</v>
          </cell>
          <cell r="Q808">
            <v>0</v>
          </cell>
        </row>
        <row r="809">
          <cell r="G809" t="str">
            <v>AIR PACK LAMINAIR</v>
          </cell>
          <cell r="I809">
            <v>0</v>
          </cell>
          <cell r="J809">
            <v>0</v>
          </cell>
          <cell r="K809">
            <v>0</v>
          </cell>
          <cell r="L809">
            <v>0</v>
          </cell>
          <cell r="N809">
            <v>0</v>
          </cell>
          <cell r="O809" t="str">
            <v>z</v>
          </cell>
          <cell r="Q809">
            <v>0</v>
          </cell>
        </row>
        <row r="810">
          <cell r="G810" t="str">
            <v>ASHWINI RENAL CARE</v>
          </cell>
          <cell r="I810">
            <v>11177</v>
          </cell>
          <cell r="J810">
            <v>0</v>
          </cell>
          <cell r="K810">
            <v>0</v>
          </cell>
          <cell r="L810">
            <v>11177</v>
          </cell>
          <cell r="N810">
            <v>11177</v>
          </cell>
          <cell r="O810" t="str">
            <v>z</v>
          </cell>
          <cell r="Q810">
            <v>0</v>
          </cell>
        </row>
        <row r="811">
          <cell r="G811" t="str">
            <v>ASSOCIATED  ROAD CARRIERS LIMITED</v>
          </cell>
          <cell r="I811">
            <v>0</v>
          </cell>
          <cell r="J811">
            <v>0</v>
          </cell>
          <cell r="K811">
            <v>0</v>
          </cell>
          <cell r="L811">
            <v>0</v>
          </cell>
          <cell r="N811">
            <v>0</v>
          </cell>
          <cell r="O811" t="str">
            <v>z</v>
          </cell>
          <cell r="Q811">
            <v>0</v>
          </cell>
        </row>
        <row r="812">
          <cell r="G812" t="str">
            <v>A.R.ENTERPRISES</v>
          </cell>
          <cell r="I812">
            <v>0</v>
          </cell>
          <cell r="J812">
            <v>0</v>
          </cell>
          <cell r="K812">
            <v>0</v>
          </cell>
          <cell r="L812">
            <v>0</v>
          </cell>
          <cell r="N812">
            <v>0</v>
          </cell>
          <cell r="O812" t="str">
            <v>z</v>
          </cell>
          <cell r="Q812">
            <v>0</v>
          </cell>
        </row>
        <row r="813">
          <cell r="G813" t="str">
            <v>BASANT BETONS</v>
          </cell>
          <cell r="I813">
            <v>0</v>
          </cell>
          <cell r="J813">
            <v>0</v>
          </cell>
          <cell r="K813">
            <v>0</v>
          </cell>
          <cell r="L813">
            <v>0</v>
          </cell>
          <cell r="N813">
            <v>0</v>
          </cell>
          <cell r="O813" t="str">
            <v>z</v>
          </cell>
          <cell r="Q813">
            <v>0</v>
          </cell>
        </row>
        <row r="814">
          <cell r="G814" t="str">
            <v>BLUE DART EXPRESS LIMITED</v>
          </cell>
          <cell r="I814">
            <v>0</v>
          </cell>
          <cell r="J814">
            <v>0</v>
          </cell>
          <cell r="K814">
            <v>0</v>
          </cell>
          <cell r="L814">
            <v>0</v>
          </cell>
          <cell r="N814">
            <v>0</v>
          </cell>
          <cell r="O814" t="str">
            <v>z</v>
          </cell>
          <cell r="Q814">
            <v>0</v>
          </cell>
        </row>
        <row r="815">
          <cell r="G815" t="str">
            <v>BHARAT ENGINEERS</v>
          </cell>
          <cell r="I815">
            <v>38212</v>
          </cell>
          <cell r="J815">
            <v>0</v>
          </cell>
          <cell r="K815">
            <v>0</v>
          </cell>
          <cell r="L815">
            <v>38212</v>
          </cell>
          <cell r="N815">
            <v>38212</v>
          </cell>
          <cell r="O815" t="str">
            <v>z</v>
          </cell>
          <cell r="Q815">
            <v>0</v>
          </cell>
        </row>
        <row r="816">
          <cell r="G816" t="str">
            <v>BHAVANI FURNITURE WORKS</v>
          </cell>
          <cell r="I816">
            <v>0</v>
          </cell>
          <cell r="J816">
            <v>0</v>
          </cell>
          <cell r="K816">
            <v>0</v>
          </cell>
          <cell r="L816">
            <v>0</v>
          </cell>
          <cell r="N816">
            <v>0</v>
          </cell>
          <cell r="O816" t="str">
            <v>z</v>
          </cell>
          <cell r="Q816">
            <v>0</v>
          </cell>
        </row>
        <row r="817">
          <cell r="G817" t="str">
            <v>BLUE SKY LIMITED</v>
          </cell>
          <cell r="I817">
            <v>-5241</v>
          </cell>
          <cell r="J817">
            <v>0</v>
          </cell>
          <cell r="K817">
            <v>0</v>
          </cell>
          <cell r="L817">
            <v>-5241</v>
          </cell>
          <cell r="N817">
            <v>-5241</v>
          </cell>
          <cell r="O817" t="str">
            <v>z</v>
          </cell>
          <cell r="Q817">
            <v>0</v>
          </cell>
        </row>
        <row r="818">
          <cell r="G818" t="str">
            <v>M/S BLUE STAR LTD.</v>
          </cell>
          <cell r="I818">
            <v>0</v>
          </cell>
          <cell r="J818">
            <v>0</v>
          </cell>
          <cell r="K818">
            <v>0</v>
          </cell>
          <cell r="L818">
            <v>0</v>
          </cell>
          <cell r="N818">
            <v>0</v>
          </cell>
          <cell r="O818" t="str">
            <v>z</v>
          </cell>
          <cell r="Q818">
            <v>0</v>
          </cell>
        </row>
        <row r="819">
          <cell r="G819" t="str">
            <v>BASANT TILES</v>
          </cell>
          <cell r="I819">
            <v>0</v>
          </cell>
          <cell r="J819">
            <v>0</v>
          </cell>
          <cell r="K819">
            <v>0</v>
          </cell>
          <cell r="L819">
            <v>0</v>
          </cell>
          <cell r="N819">
            <v>0</v>
          </cell>
          <cell r="O819" t="str">
            <v>z</v>
          </cell>
          <cell r="Q819">
            <v>0</v>
          </cell>
        </row>
        <row r="820">
          <cell r="G820" t="str">
            <v>CONCORDE</v>
          </cell>
          <cell r="I820">
            <v>-17921</v>
          </cell>
          <cell r="J820">
            <v>0</v>
          </cell>
          <cell r="K820">
            <v>0</v>
          </cell>
          <cell r="L820">
            <v>-17921</v>
          </cell>
          <cell r="N820">
            <v>-17921</v>
          </cell>
          <cell r="O820" t="str">
            <v>z</v>
          </cell>
          <cell r="Q820">
            <v>0</v>
          </cell>
        </row>
        <row r="821">
          <cell r="G821" t="str">
            <v>COMPACT BUSINESS MACHINE</v>
          </cell>
          <cell r="I821">
            <v>0</v>
          </cell>
          <cell r="J821">
            <v>0</v>
          </cell>
          <cell r="K821">
            <v>0</v>
          </cell>
          <cell r="L821">
            <v>0</v>
          </cell>
          <cell r="N821">
            <v>0</v>
          </cell>
          <cell r="O821" t="str">
            <v>z</v>
          </cell>
          <cell r="Q821">
            <v>0</v>
          </cell>
        </row>
        <row r="822">
          <cell r="G822" t="str">
            <v>C G FARMS</v>
          </cell>
          <cell r="I822">
            <v>0</v>
          </cell>
          <cell r="J822">
            <v>28093</v>
          </cell>
          <cell r="K822">
            <v>39330</v>
          </cell>
          <cell r="L822">
            <v>-11237</v>
          </cell>
          <cell r="N822">
            <v>-11237</v>
          </cell>
          <cell r="O822" t="str">
            <v>z</v>
          </cell>
          <cell r="Q822">
            <v>0</v>
          </cell>
        </row>
        <row r="823">
          <cell r="G823" t="str">
            <v>COSMED MATHIAS MENEZES LIMITED</v>
          </cell>
          <cell r="I823">
            <v>0</v>
          </cell>
          <cell r="J823">
            <v>0</v>
          </cell>
          <cell r="K823">
            <v>0</v>
          </cell>
          <cell r="L823">
            <v>0</v>
          </cell>
          <cell r="N823">
            <v>0</v>
          </cell>
          <cell r="O823" t="str">
            <v>z</v>
          </cell>
          <cell r="Q823">
            <v>0</v>
          </cell>
        </row>
        <row r="824">
          <cell r="G824" t="str">
            <v>C. N. GANDHEVIA CLEAING &amp; FORWARDING AGENTS P. LTD</v>
          </cell>
          <cell r="I824">
            <v>0</v>
          </cell>
          <cell r="J824">
            <v>14163</v>
          </cell>
          <cell r="K824">
            <v>14163</v>
          </cell>
          <cell r="L824">
            <v>0</v>
          </cell>
          <cell r="N824">
            <v>0</v>
          </cell>
          <cell r="O824" t="str">
            <v>z</v>
          </cell>
          <cell r="Q824">
            <v>0</v>
          </cell>
        </row>
        <row r="825">
          <cell r="G825" t="str">
            <v>COMPU-TECH</v>
          </cell>
          <cell r="I825">
            <v>33000</v>
          </cell>
          <cell r="J825">
            <v>32965</v>
          </cell>
          <cell r="K825">
            <v>65965</v>
          </cell>
          <cell r="L825">
            <v>0</v>
          </cell>
          <cell r="N825">
            <v>0</v>
          </cell>
          <cell r="O825" t="str">
            <v>z</v>
          </cell>
          <cell r="Q825">
            <v>0</v>
          </cell>
        </row>
        <row r="826">
          <cell r="G826" t="str">
            <v>EAGLE FREIGHT FORWARDERS LTD</v>
          </cell>
          <cell r="I826">
            <v>0</v>
          </cell>
          <cell r="J826">
            <v>0</v>
          </cell>
          <cell r="K826">
            <v>0</v>
          </cell>
          <cell r="L826">
            <v>0</v>
          </cell>
          <cell r="N826">
            <v>0</v>
          </cell>
          <cell r="O826" t="str">
            <v>z</v>
          </cell>
          <cell r="Q826">
            <v>0</v>
          </cell>
        </row>
        <row r="827">
          <cell r="G827" t="str">
            <v>EUREKA FORBES LIMITED</v>
          </cell>
          <cell r="I827">
            <v>7250</v>
          </cell>
          <cell r="J827">
            <v>0</v>
          </cell>
          <cell r="K827">
            <v>0</v>
          </cell>
          <cell r="L827">
            <v>7250</v>
          </cell>
          <cell r="N827">
            <v>7250</v>
          </cell>
          <cell r="O827" t="str">
            <v>z</v>
          </cell>
          <cell r="Q827">
            <v>0</v>
          </cell>
        </row>
        <row r="828">
          <cell r="G828" t="str">
            <v>ELJAY IMPEX</v>
          </cell>
          <cell r="I828">
            <v>0</v>
          </cell>
          <cell r="J828">
            <v>56212</v>
          </cell>
          <cell r="K828">
            <v>56212</v>
          </cell>
          <cell r="L828">
            <v>0</v>
          </cell>
          <cell r="N828">
            <v>0</v>
          </cell>
          <cell r="O828" t="str">
            <v>z</v>
          </cell>
          <cell r="Q828">
            <v>0</v>
          </cell>
        </row>
        <row r="829">
          <cell r="G829" t="str">
            <v>EXCEL LOGISTICS PVT. LTD.</v>
          </cell>
          <cell r="I829">
            <v>0</v>
          </cell>
          <cell r="J829">
            <v>0</v>
          </cell>
          <cell r="K829">
            <v>0</v>
          </cell>
          <cell r="L829">
            <v>0</v>
          </cell>
          <cell r="N829">
            <v>0</v>
          </cell>
          <cell r="O829" t="str">
            <v>z</v>
          </cell>
          <cell r="Q829">
            <v>0</v>
          </cell>
        </row>
        <row r="830">
          <cell r="G830" t="str">
            <v>ENTIRE SERVICES</v>
          </cell>
          <cell r="I830">
            <v>0</v>
          </cell>
          <cell r="J830">
            <v>12250</v>
          </cell>
          <cell r="K830">
            <v>12250</v>
          </cell>
          <cell r="L830">
            <v>0</v>
          </cell>
          <cell r="N830">
            <v>0</v>
          </cell>
          <cell r="O830" t="str">
            <v>z</v>
          </cell>
          <cell r="Q830">
            <v>0</v>
          </cell>
        </row>
        <row r="831">
          <cell r="G831" t="str">
            <v>FURTADO &amp; CO.</v>
          </cell>
          <cell r="I831">
            <v>20000</v>
          </cell>
          <cell r="J831">
            <v>65230</v>
          </cell>
          <cell r="K831">
            <v>65230</v>
          </cell>
          <cell r="L831">
            <v>20000</v>
          </cell>
          <cell r="N831">
            <v>20000</v>
          </cell>
          <cell r="O831" t="str">
            <v>z</v>
          </cell>
          <cell r="Q831">
            <v>0</v>
          </cell>
        </row>
        <row r="832">
          <cell r="G832" t="str">
            <v>FUSEN ENGINEERING</v>
          </cell>
          <cell r="I832">
            <v>0</v>
          </cell>
          <cell r="J832">
            <v>0</v>
          </cell>
          <cell r="K832">
            <v>0</v>
          </cell>
          <cell r="L832">
            <v>0</v>
          </cell>
          <cell r="N832">
            <v>0</v>
          </cell>
          <cell r="O832" t="str">
            <v>z</v>
          </cell>
          <cell r="Q832">
            <v>0</v>
          </cell>
        </row>
        <row r="833">
          <cell r="G833" t="str">
            <v>FIRST FLIGHT COURIER PVT.LTD</v>
          </cell>
          <cell r="I833">
            <v>0</v>
          </cell>
          <cell r="J833">
            <v>3496</v>
          </cell>
          <cell r="K833">
            <v>3496</v>
          </cell>
          <cell r="L833">
            <v>0</v>
          </cell>
          <cell r="N833">
            <v>0</v>
          </cell>
          <cell r="O833" t="str">
            <v>z</v>
          </cell>
          <cell r="Q833">
            <v>0</v>
          </cell>
        </row>
        <row r="834">
          <cell r="G834" t="str">
            <v>F. G. ELECTRIC WORKS</v>
          </cell>
          <cell r="I834">
            <v>0</v>
          </cell>
          <cell r="J834">
            <v>0</v>
          </cell>
          <cell r="K834">
            <v>0</v>
          </cell>
          <cell r="L834">
            <v>0</v>
          </cell>
          <cell r="N834">
            <v>0</v>
          </cell>
          <cell r="O834" t="str">
            <v>z</v>
          </cell>
          <cell r="Q834">
            <v>0</v>
          </cell>
        </row>
        <row r="835">
          <cell r="G835" t="str">
            <v>GOA CONTAINER &amp; ALLIED SERVICES</v>
          </cell>
          <cell r="I835">
            <v>0</v>
          </cell>
          <cell r="J835">
            <v>11200</v>
          </cell>
          <cell r="K835">
            <v>11200</v>
          </cell>
          <cell r="L835">
            <v>0</v>
          </cell>
          <cell r="N835">
            <v>0</v>
          </cell>
          <cell r="O835" t="str">
            <v>z</v>
          </cell>
          <cell r="Q835">
            <v>0</v>
          </cell>
        </row>
        <row r="836">
          <cell r="G836" t="str">
            <v>GATI CORPORATION LTD ( MUMBAI)</v>
          </cell>
          <cell r="I836">
            <v>0</v>
          </cell>
          <cell r="J836">
            <v>3343</v>
          </cell>
          <cell r="K836">
            <v>3343</v>
          </cell>
          <cell r="L836">
            <v>0</v>
          </cell>
          <cell r="N836">
            <v>0</v>
          </cell>
          <cell r="O836" t="str">
            <v>z</v>
          </cell>
          <cell r="Q836">
            <v>0</v>
          </cell>
        </row>
        <row r="837">
          <cell r="G837" t="str">
            <v>G.D.ENTERPRISES</v>
          </cell>
          <cell r="I837">
            <v>-346478</v>
          </cell>
          <cell r="J837">
            <v>192733</v>
          </cell>
          <cell r="K837">
            <v>359525</v>
          </cell>
          <cell r="L837">
            <v>-513270</v>
          </cell>
          <cell r="N837">
            <v>-513270</v>
          </cell>
          <cell r="O837" t="str">
            <v>z</v>
          </cell>
          <cell r="Q837">
            <v>0</v>
          </cell>
        </row>
        <row r="838">
          <cell r="G838" t="str">
            <v>GATI- DESK- TO -DESK CARGO</v>
          </cell>
          <cell r="I838">
            <v>-100688</v>
          </cell>
          <cell r="J838">
            <v>209294</v>
          </cell>
          <cell r="K838">
            <v>430573</v>
          </cell>
          <cell r="L838">
            <v>-321967</v>
          </cell>
          <cell r="N838">
            <v>-321967</v>
          </cell>
          <cell r="O838" t="str">
            <v>z</v>
          </cell>
          <cell r="Q838">
            <v>0</v>
          </cell>
        </row>
        <row r="839">
          <cell r="G839" t="str">
            <v>GANESH FURNITURE WORKS</v>
          </cell>
          <cell r="I839">
            <v>0</v>
          </cell>
          <cell r="J839">
            <v>0</v>
          </cell>
          <cell r="K839">
            <v>0</v>
          </cell>
          <cell r="L839">
            <v>0</v>
          </cell>
          <cell r="N839">
            <v>0</v>
          </cell>
          <cell r="O839" t="str">
            <v>z</v>
          </cell>
          <cell r="Q839">
            <v>0</v>
          </cell>
        </row>
        <row r="840">
          <cell r="G840" t="str">
            <v>GLOBAL PAPER PRODUCT</v>
          </cell>
          <cell r="I840">
            <v>33051</v>
          </cell>
          <cell r="J840">
            <v>0</v>
          </cell>
          <cell r="K840">
            <v>0</v>
          </cell>
          <cell r="L840">
            <v>33051</v>
          </cell>
          <cell r="N840">
            <v>33051</v>
          </cell>
          <cell r="O840" t="str">
            <v>z</v>
          </cell>
          <cell r="Q840">
            <v>0</v>
          </cell>
        </row>
        <row r="841">
          <cell r="G841" t="str">
            <v>G.M.BHANDARE CARGO MOVERS.</v>
          </cell>
          <cell r="I841">
            <v>0</v>
          </cell>
          <cell r="J841">
            <v>15500</v>
          </cell>
          <cell r="K841">
            <v>15500</v>
          </cell>
          <cell r="L841">
            <v>0</v>
          </cell>
          <cell r="N841">
            <v>0</v>
          </cell>
          <cell r="O841" t="str">
            <v>z</v>
          </cell>
          <cell r="Q841">
            <v>0</v>
          </cell>
        </row>
        <row r="842">
          <cell r="G842" t="str">
            <v>GOKUL AGENCIES</v>
          </cell>
          <cell r="I842">
            <v>0</v>
          </cell>
          <cell r="J842">
            <v>0</v>
          </cell>
          <cell r="K842">
            <v>0</v>
          </cell>
          <cell r="L842">
            <v>0</v>
          </cell>
          <cell r="N842">
            <v>0</v>
          </cell>
          <cell r="O842" t="str">
            <v>z</v>
          </cell>
          <cell r="Q842">
            <v>0</v>
          </cell>
        </row>
        <row r="843">
          <cell r="G843" t="str">
            <v>GREEN ROADLINES CHANDIGARH</v>
          </cell>
          <cell r="I843">
            <v>80000</v>
          </cell>
          <cell r="J843">
            <v>83905</v>
          </cell>
          <cell r="K843">
            <v>100747</v>
          </cell>
          <cell r="L843">
            <v>63158</v>
          </cell>
          <cell r="N843">
            <v>63158</v>
          </cell>
          <cell r="O843" t="str">
            <v>z</v>
          </cell>
          <cell r="Q843">
            <v>0</v>
          </cell>
        </row>
        <row r="844">
          <cell r="G844" t="str">
            <v>HINDUSTAN ADHESIVES LTD.</v>
          </cell>
          <cell r="I844">
            <v>0</v>
          </cell>
          <cell r="J844">
            <v>0</v>
          </cell>
          <cell r="K844">
            <v>0</v>
          </cell>
          <cell r="L844">
            <v>0</v>
          </cell>
          <cell r="N844">
            <v>0</v>
          </cell>
          <cell r="O844" t="str">
            <v>z</v>
          </cell>
          <cell r="Q844">
            <v>0</v>
          </cell>
        </row>
        <row r="845">
          <cell r="G845" t="str">
            <v>HYDROLOG ENGINEERS</v>
          </cell>
          <cell r="I845">
            <v>-50000</v>
          </cell>
          <cell r="J845">
            <v>0</v>
          </cell>
          <cell r="K845">
            <v>0</v>
          </cell>
          <cell r="L845">
            <v>-50000</v>
          </cell>
          <cell r="N845">
            <v>-50000</v>
          </cell>
          <cell r="O845" t="str">
            <v>z</v>
          </cell>
          <cell r="Q845">
            <v>0</v>
          </cell>
        </row>
        <row r="846">
          <cell r="G846" t="str">
            <v>HINDUSTAN TRADERS CO.</v>
          </cell>
          <cell r="I846">
            <v>9800</v>
          </cell>
          <cell r="J846">
            <v>0</v>
          </cell>
          <cell r="K846">
            <v>0</v>
          </cell>
          <cell r="L846">
            <v>9800</v>
          </cell>
          <cell r="N846">
            <v>9800</v>
          </cell>
          <cell r="O846" t="str">
            <v>z</v>
          </cell>
          <cell r="Q846">
            <v>0</v>
          </cell>
        </row>
        <row r="847">
          <cell r="G847" t="str">
            <v>INSYST BUSINESS SOLUTIONS PVT. LTD</v>
          </cell>
          <cell r="I847">
            <v>45000</v>
          </cell>
          <cell r="J847">
            <v>29346</v>
          </cell>
          <cell r="K847">
            <v>0</v>
          </cell>
          <cell r="L847">
            <v>74346</v>
          </cell>
          <cell r="N847">
            <v>74346</v>
          </cell>
          <cell r="O847" t="str">
            <v>z</v>
          </cell>
          <cell r="Q847">
            <v>0</v>
          </cell>
        </row>
        <row r="848">
          <cell r="G848" t="str">
            <v>INTERNATIONAL FLEXIBLE CONVERTERS</v>
          </cell>
          <cell r="I848">
            <v>0</v>
          </cell>
          <cell r="J848">
            <v>0</v>
          </cell>
          <cell r="K848">
            <v>0</v>
          </cell>
          <cell r="L848">
            <v>0</v>
          </cell>
          <cell r="N848">
            <v>0</v>
          </cell>
          <cell r="O848" t="str">
            <v>z</v>
          </cell>
          <cell r="Q848">
            <v>0</v>
          </cell>
        </row>
        <row r="849">
          <cell r="G849" t="str">
            <v>INDUSTRIAL FILTRATION SERVICES</v>
          </cell>
          <cell r="I849">
            <v>0</v>
          </cell>
          <cell r="J849">
            <v>0</v>
          </cell>
          <cell r="K849">
            <v>0</v>
          </cell>
          <cell r="L849">
            <v>0</v>
          </cell>
          <cell r="N849">
            <v>0</v>
          </cell>
          <cell r="O849" t="str">
            <v>z</v>
          </cell>
          <cell r="Q849">
            <v>0</v>
          </cell>
        </row>
        <row r="850">
          <cell r="G850" t="str">
            <v>INDUSTRIAL FILTRATION SERVICES (RETENTION MONEY)</v>
          </cell>
          <cell r="I850">
            <v>0</v>
          </cell>
          <cell r="J850">
            <v>0</v>
          </cell>
          <cell r="K850">
            <v>0</v>
          </cell>
          <cell r="L850">
            <v>0</v>
          </cell>
          <cell r="N850">
            <v>0</v>
          </cell>
          <cell r="O850" t="str">
            <v>z</v>
          </cell>
          <cell r="Q850">
            <v>0</v>
          </cell>
        </row>
        <row r="851">
          <cell r="G851" t="str">
            <v>INGERSOLL RAND PATEL ENGG. CO.</v>
          </cell>
          <cell r="I851">
            <v>0</v>
          </cell>
          <cell r="J851">
            <v>0</v>
          </cell>
          <cell r="K851">
            <v>0</v>
          </cell>
          <cell r="L851">
            <v>0</v>
          </cell>
          <cell r="N851">
            <v>0</v>
          </cell>
          <cell r="O851" t="str">
            <v>z</v>
          </cell>
          <cell r="Q851">
            <v>0</v>
          </cell>
        </row>
        <row r="852">
          <cell r="G852" t="str">
            <v>IRA TRADING CO.</v>
          </cell>
          <cell r="I852">
            <v>0</v>
          </cell>
          <cell r="J852">
            <v>0</v>
          </cell>
          <cell r="K852">
            <v>0</v>
          </cell>
          <cell r="L852">
            <v>0</v>
          </cell>
          <cell r="N852">
            <v>0</v>
          </cell>
          <cell r="O852" t="str">
            <v>z</v>
          </cell>
          <cell r="Q852">
            <v>0</v>
          </cell>
        </row>
        <row r="853">
          <cell r="G853" t="str">
            <v>JK SERVICE AGENCIES</v>
          </cell>
          <cell r="I853">
            <v>416210</v>
          </cell>
          <cell r="J853">
            <v>0</v>
          </cell>
          <cell r="K853">
            <v>381876</v>
          </cell>
          <cell r="L853">
            <v>34334</v>
          </cell>
          <cell r="N853">
            <v>34334</v>
          </cell>
          <cell r="O853" t="str">
            <v>z</v>
          </cell>
          <cell r="Q853">
            <v>0</v>
          </cell>
        </row>
        <row r="854">
          <cell r="G854" t="str">
            <v>J.M.MEHTA &amp; CO.</v>
          </cell>
          <cell r="I854">
            <v>0</v>
          </cell>
          <cell r="J854">
            <v>331532</v>
          </cell>
          <cell r="K854">
            <v>493551</v>
          </cell>
          <cell r="L854">
            <v>-162019</v>
          </cell>
          <cell r="N854">
            <v>-162019</v>
          </cell>
          <cell r="O854" t="str">
            <v>z</v>
          </cell>
          <cell r="Q854">
            <v>0</v>
          </cell>
        </row>
        <row r="855">
          <cell r="G855" t="str">
            <v>KORDE ELECTRIC CONTROLS</v>
          </cell>
          <cell r="I855">
            <v>0</v>
          </cell>
          <cell r="J855">
            <v>1900</v>
          </cell>
          <cell r="K855">
            <v>1900</v>
          </cell>
          <cell r="L855">
            <v>0</v>
          </cell>
          <cell r="N855">
            <v>0</v>
          </cell>
          <cell r="O855" t="str">
            <v>z</v>
          </cell>
          <cell r="Q855">
            <v>0</v>
          </cell>
        </row>
        <row r="856">
          <cell r="G856" t="str">
            <v>KIRAN FIRE SERVICES</v>
          </cell>
          <cell r="I856">
            <v>-25650</v>
          </cell>
          <cell r="J856">
            <v>0</v>
          </cell>
          <cell r="K856">
            <v>0</v>
          </cell>
          <cell r="L856">
            <v>-25650</v>
          </cell>
          <cell r="N856">
            <v>-25650</v>
          </cell>
          <cell r="O856" t="str">
            <v>z</v>
          </cell>
          <cell r="Q856">
            <v>0</v>
          </cell>
        </row>
        <row r="857">
          <cell r="G857" t="str">
            <v>KIRAN FIRE SERVICES (RETENTIOIN MONEY0</v>
          </cell>
          <cell r="I857">
            <v>-9900</v>
          </cell>
          <cell r="J857">
            <v>0</v>
          </cell>
          <cell r="K857">
            <v>0</v>
          </cell>
          <cell r="L857">
            <v>-9900</v>
          </cell>
          <cell r="N857">
            <v>-9900</v>
          </cell>
          <cell r="O857" t="str">
            <v>z</v>
          </cell>
          <cell r="Q857">
            <v>0</v>
          </cell>
        </row>
        <row r="858">
          <cell r="G858" t="str">
            <v>KALPAKA TRANSPORT CO. LTD.</v>
          </cell>
          <cell r="I858">
            <v>0</v>
          </cell>
          <cell r="J858">
            <v>0</v>
          </cell>
          <cell r="K858">
            <v>0</v>
          </cell>
          <cell r="L858">
            <v>0</v>
          </cell>
          <cell r="N858">
            <v>0</v>
          </cell>
          <cell r="O858" t="str">
            <v>z</v>
          </cell>
          <cell r="Q858">
            <v>0</v>
          </cell>
        </row>
        <row r="859">
          <cell r="G859" t="str">
            <v>K.T. LAU CONSULTANTS</v>
          </cell>
          <cell r="I859">
            <v>-60566</v>
          </cell>
          <cell r="J859">
            <v>60566</v>
          </cell>
          <cell r="K859">
            <v>0</v>
          </cell>
          <cell r="L859">
            <v>0</v>
          </cell>
          <cell r="N859">
            <v>0</v>
          </cell>
          <cell r="O859" t="str">
            <v>z</v>
          </cell>
          <cell r="Q859">
            <v>0</v>
          </cell>
        </row>
        <row r="860">
          <cell r="G860" t="str">
            <v>KUSTA V. NAIK</v>
          </cell>
          <cell r="I860">
            <v>0</v>
          </cell>
          <cell r="J860">
            <v>0</v>
          </cell>
          <cell r="K860">
            <v>0</v>
          </cell>
          <cell r="L860">
            <v>0</v>
          </cell>
          <cell r="N860">
            <v>0</v>
          </cell>
          <cell r="O860" t="str">
            <v>z</v>
          </cell>
          <cell r="Q860">
            <v>0</v>
          </cell>
        </row>
        <row r="861">
          <cell r="G861" t="str">
            <v>LUDWIG FLOW EQUIPMENTS PVT. LTD.</v>
          </cell>
          <cell r="I861">
            <v>0</v>
          </cell>
          <cell r="J861">
            <v>0</v>
          </cell>
          <cell r="K861">
            <v>0</v>
          </cell>
          <cell r="L861">
            <v>0</v>
          </cell>
          <cell r="N861">
            <v>0</v>
          </cell>
          <cell r="O861" t="str">
            <v>z</v>
          </cell>
          <cell r="Q861">
            <v>0</v>
          </cell>
        </row>
        <row r="862">
          <cell r="G862" t="str">
            <v>LIMA LEITAO TRANSPORT</v>
          </cell>
          <cell r="I862">
            <v>0</v>
          </cell>
          <cell r="J862">
            <v>0</v>
          </cell>
          <cell r="K862">
            <v>0</v>
          </cell>
          <cell r="L862">
            <v>0</v>
          </cell>
          <cell r="N862">
            <v>0</v>
          </cell>
          <cell r="O862" t="str">
            <v>z</v>
          </cell>
          <cell r="Q862">
            <v>0</v>
          </cell>
        </row>
        <row r="863">
          <cell r="G863" t="str">
            <v>LAUREN SOFTWARE PVT. LTD</v>
          </cell>
          <cell r="I863">
            <v>-35850</v>
          </cell>
          <cell r="J863">
            <v>0</v>
          </cell>
          <cell r="K863">
            <v>0</v>
          </cell>
          <cell r="L863">
            <v>-35850</v>
          </cell>
          <cell r="N863">
            <v>-35850</v>
          </cell>
          <cell r="O863" t="str">
            <v>z</v>
          </cell>
          <cell r="Q863">
            <v>0</v>
          </cell>
        </row>
        <row r="864">
          <cell r="G864" t="str">
            <v>MEGHASHYAM ANAND SWAR &amp; CO.</v>
          </cell>
          <cell r="I864">
            <v>0</v>
          </cell>
          <cell r="J864">
            <v>12100</v>
          </cell>
          <cell r="K864">
            <v>12100</v>
          </cell>
          <cell r="L864">
            <v>0</v>
          </cell>
          <cell r="N864">
            <v>0</v>
          </cell>
          <cell r="O864" t="str">
            <v>z</v>
          </cell>
          <cell r="Q864">
            <v>0</v>
          </cell>
        </row>
        <row r="865">
          <cell r="G865" t="str">
            <v>MENEZES AIR TRAVEL</v>
          </cell>
          <cell r="I865">
            <v>-89198.13</v>
          </cell>
          <cell r="J865">
            <v>0</v>
          </cell>
          <cell r="K865">
            <v>0</v>
          </cell>
          <cell r="L865">
            <v>-89198.13</v>
          </cell>
          <cell r="N865">
            <v>-89198.13</v>
          </cell>
          <cell r="O865" t="str">
            <v>z</v>
          </cell>
          <cell r="Q865">
            <v>0</v>
          </cell>
        </row>
        <row r="866">
          <cell r="G866" t="str">
            <v>MICROCITY INDIA LTD.</v>
          </cell>
          <cell r="I866">
            <v>0</v>
          </cell>
          <cell r="J866">
            <v>0</v>
          </cell>
          <cell r="K866">
            <v>0</v>
          </cell>
          <cell r="L866">
            <v>0</v>
          </cell>
          <cell r="N866">
            <v>0</v>
          </cell>
          <cell r="O866" t="str">
            <v>z</v>
          </cell>
          <cell r="Q866">
            <v>0</v>
          </cell>
        </row>
        <row r="867">
          <cell r="G867" t="str">
            <v>MONGA ELECTRONICS</v>
          </cell>
          <cell r="I867">
            <v>0</v>
          </cell>
          <cell r="J867">
            <v>0</v>
          </cell>
          <cell r="K867">
            <v>0</v>
          </cell>
          <cell r="L867">
            <v>0</v>
          </cell>
          <cell r="N867">
            <v>0</v>
          </cell>
          <cell r="O867" t="str">
            <v>z</v>
          </cell>
          <cell r="Q867">
            <v>0</v>
          </cell>
        </row>
        <row r="868">
          <cell r="G868" t="str">
            <v>MONARCH ENTERPRISES</v>
          </cell>
          <cell r="I868">
            <v>0</v>
          </cell>
          <cell r="J868">
            <v>30923</v>
          </cell>
          <cell r="K868">
            <v>0</v>
          </cell>
          <cell r="L868">
            <v>30923</v>
          </cell>
          <cell r="N868">
            <v>30923</v>
          </cell>
          <cell r="O868" t="str">
            <v>z</v>
          </cell>
          <cell r="Q868">
            <v>0</v>
          </cell>
        </row>
        <row r="869">
          <cell r="G869" t="str">
            <v>METAFORM INDUSTRIES</v>
          </cell>
          <cell r="I869">
            <v>0</v>
          </cell>
          <cell r="J869">
            <v>0</v>
          </cell>
          <cell r="K869">
            <v>0</v>
          </cell>
          <cell r="L869">
            <v>0</v>
          </cell>
          <cell r="N869">
            <v>0</v>
          </cell>
          <cell r="O869" t="str">
            <v>z</v>
          </cell>
          <cell r="Q869">
            <v>0</v>
          </cell>
        </row>
        <row r="870">
          <cell r="G870" t="str">
            <v>MAC INPHASYST PVT. LTD.</v>
          </cell>
          <cell r="I870">
            <v>0</v>
          </cell>
          <cell r="J870">
            <v>0</v>
          </cell>
          <cell r="K870">
            <v>0</v>
          </cell>
          <cell r="L870">
            <v>0</v>
          </cell>
          <cell r="N870">
            <v>0</v>
          </cell>
          <cell r="O870" t="str">
            <v>z</v>
          </cell>
          <cell r="Q870">
            <v>0</v>
          </cell>
        </row>
        <row r="871">
          <cell r="G871" t="str">
            <v>MITTALS INTERNATIONAL RELOCATIONS PVT. LTD.</v>
          </cell>
          <cell r="I871">
            <v>0</v>
          </cell>
          <cell r="J871">
            <v>0</v>
          </cell>
          <cell r="K871">
            <v>0</v>
          </cell>
          <cell r="L871">
            <v>0</v>
          </cell>
          <cell r="N871">
            <v>0</v>
          </cell>
          <cell r="O871" t="str">
            <v>z</v>
          </cell>
          <cell r="Q871">
            <v>0</v>
          </cell>
        </row>
        <row r="872">
          <cell r="G872" t="str">
            <v>NIHAL APPARELS</v>
          </cell>
          <cell r="I872">
            <v>0</v>
          </cell>
          <cell r="J872">
            <v>6480</v>
          </cell>
          <cell r="K872">
            <v>6480</v>
          </cell>
          <cell r="L872">
            <v>0</v>
          </cell>
          <cell r="N872">
            <v>0</v>
          </cell>
          <cell r="O872" t="str">
            <v>z</v>
          </cell>
          <cell r="Q872">
            <v>0</v>
          </cell>
        </row>
        <row r="873">
          <cell r="G873" t="str">
            <v>NIKEDA ART PRINTERS PVT. LTD.</v>
          </cell>
          <cell r="I873">
            <v>77522</v>
          </cell>
          <cell r="J873">
            <v>0</v>
          </cell>
          <cell r="K873">
            <v>0</v>
          </cell>
          <cell r="L873">
            <v>77522</v>
          </cell>
          <cell r="N873">
            <v>77522</v>
          </cell>
          <cell r="O873" t="str">
            <v>z</v>
          </cell>
          <cell r="Q873">
            <v>0</v>
          </cell>
        </row>
        <row r="874">
          <cell r="G874" t="str">
            <v>NAIR BUSSINESS MACHINES PVT. LTD.</v>
          </cell>
          <cell r="I874">
            <v>0</v>
          </cell>
          <cell r="J874">
            <v>0</v>
          </cell>
          <cell r="K874">
            <v>0</v>
          </cell>
          <cell r="L874">
            <v>0</v>
          </cell>
          <cell r="N874">
            <v>0</v>
          </cell>
          <cell r="O874" t="str">
            <v>z</v>
          </cell>
          <cell r="Q874">
            <v>0</v>
          </cell>
        </row>
        <row r="875">
          <cell r="G875" t="str">
            <v>NAGARKOT CLEARING AGENCY</v>
          </cell>
          <cell r="I875">
            <v>325000</v>
          </cell>
          <cell r="J875">
            <v>100000</v>
          </cell>
          <cell r="K875">
            <v>314302</v>
          </cell>
          <cell r="L875">
            <v>110698</v>
          </cell>
          <cell r="N875">
            <v>110698</v>
          </cell>
          <cell r="O875" t="str">
            <v>z</v>
          </cell>
          <cell r="Q875">
            <v>0</v>
          </cell>
        </row>
        <row r="876">
          <cell r="G876" t="str">
            <v>NILKAMAL CRATES &amp; BINS</v>
          </cell>
          <cell r="I876">
            <v>0</v>
          </cell>
          <cell r="J876">
            <v>0</v>
          </cell>
          <cell r="K876">
            <v>0</v>
          </cell>
          <cell r="L876">
            <v>0</v>
          </cell>
          <cell r="N876">
            <v>0</v>
          </cell>
          <cell r="O876" t="str">
            <v>z</v>
          </cell>
          <cell r="Q876">
            <v>0</v>
          </cell>
        </row>
        <row r="877">
          <cell r="G877" t="str">
            <v>NEW COLOURFUL PACKAGING</v>
          </cell>
          <cell r="I877">
            <v>0</v>
          </cell>
          <cell r="J877">
            <v>0</v>
          </cell>
          <cell r="K877">
            <v>0</v>
          </cell>
          <cell r="L877">
            <v>0</v>
          </cell>
          <cell r="N877">
            <v>0</v>
          </cell>
          <cell r="O877" t="str">
            <v>z</v>
          </cell>
          <cell r="Q877">
            <v>0</v>
          </cell>
        </row>
        <row r="878">
          <cell r="G878" t="str">
            <v>NORTH EASTERN CARRYING CORPN.</v>
          </cell>
          <cell r="I878">
            <v>-15232</v>
          </cell>
          <cell r="J878">
            <v>176822</v>
          </cell>
          <cell r="K878">
            <v>370222</v>
          </cell>
          <cell r="L878">
            <v>-208632</v>
          </cell>
          <cell r="N878">
            <v>-208632</v>
          </cell>
          <cell r="O878" t="str">
            <v>z</v>
          </cell>
          <cell r="Q878">
            <v>0</v>
          </cell>
        </row>
        <row r="879">
          <cell r="G879" t="str">
            <v>NEW NATIONAL ELECTRICAL</v>
          </cell>
          <cell r="I879">
            <v>0</v>
          </cell>
          <cell r="J879">
            <v>0</v>
          </cell>
          <cell r="K879">
            <v>0</v>
          </cell>
          <cell r="L879">
            <v>0</v>
          </cell>
          <cell r="N879">
            <v>0</v>
          </cell>
          <cell r="O879" t="str">
            <v>z</v>
          </cell>
          <cell r="Q879">
            <v>0</v>
          </cell>
        </row>
        <row r="880">
          <cell r="G880" t="str">
            <v>PEST CONTROL (INDIA) LTD.</v>
          </cell>
          <cell r="I880">
            <v>0</v>
          </cell>
          <cell r="J880">
            <v>0</v>
          </cell>
          <cell r="K880">
            <v>0</v>
          </cell>
          <cell r="L880">
            <v>0</v>
          </cell>
          <cell r="N880">
            <v>0</v>
          </cell>
          <cell r="O880" t="str">
            <v>z</v>
          </cell>
          <cell r="Q880">
            <v>0</v>
          </cell>
        </row>
        <row r="881">
          <cell r="G881" t="str">
            <v>PIPE DREAMS</v>
          </cell>
          <cell r="I881">
            <v>0</v>
          </cell>
          <cell r="J881">
            <v>0</v>
          </cell>
          <cell r="K881">
            <v>0</v>
          </cell>
          <cell r="L881">
            <v>0</v>
          </cell>
          <cell r="N881">
            <v>0</v>
          </cell>
          <cell r="O881" t="str">
            <v>z</v>
          </cell>
          <cell r="Q881">
            <v>0</v>
          </cell>
        </row>
        <row r="882">
          <cell r="G882" t="str">
            <v>PIPE DREAMS ( RETENTION MONEY )</v>
          </cell>
          <cell r="I882">
            <v>-50316</v>
          </cell>
          <cell r="J882">
            <v>0</v>
          </cell>
          <cell r="K882">
            <v>0</v>
          </cell>
          <cell r="L882">
            <v>-50316</v>
          </cell>
          <cell r="N882">
            <v>-50316</v>
          </cell>
          <cell r="O882" t="str">
            <v>z</v>
          </cell>
          <cell r="Q882">
            <v>0</v>
          </cell>
        </row>
        <row r="883">
          <cell r="G883" t="str">
            <v>PADMAVI ENGINEERS</v>
          </cell>
          <cell r="I883">
            <v>0</v>
          </cell>
          <cell r="J883">
            <v>0</v>
          </cell>
          <cell r="K883">
            <v>0</v>
          </cell>
          <cell r="L883">
            <v>0</v>
          </cell>
          <cell r="N883">
            <v>0</v>
          </cell>
          <cell r="O883" t="str">
            <v>z</v>
          </cell>
          <cell r="Q883">
            <v>0</v>
          </cell>
        </row>
        <row r="884">
          <cell r="G884" t="str">
            <v>P.L.AGENCIES</v>
          </cell>
          <cell r="I884">
            <v>-60962</v>
          </cell>
          <cell r="J884">
            <v>0</v>
          </cell>
          <cell r="K884">
            <v>0</v>
          </cell>
          <cell r="L884">
            <v>-60962</v>
          </cell>
          <cell r="N884">
            <v>-60962</v>
          </cell>
          <cell r="O884" t="str">
            <v>z</v>
          </cell>
          <cell r="Q884">
            <v>0</v>
          </cell>
        </row>
        <row r="885">
          <cell r="G885" t="str">
            <v>PACK POINT</v>
          </cell>
          <cell r="I885">
            <v>0</v>
          </cell>
          <cell r="J885">
            <v>0</v>
          </cell>
          <cell r="K885">
            <v>0</v>
          </cell>
          <cell r="L885">
            <v>0</v>
          </cell>
          <cell r="N885">
            <v>0</v>
          </cell>
          <cell r="O885" t="str">
            <v>z</v>
          </cell>
          <cell r="Q885">
            <v>0</v>
          </cell>
        </row>
        <row r="886">
          <cell r="G886" t="str">
            <v>PATEL ROADWAYS LTD.</v>
          </cell>
          <cell r="I886">
            <v>0</v>
          </cell>
          <cell r="J886">
            <v>0</v>
          </cell>
          <cell r="K886">
            <v>0</v>
          </cell>
          <cell r="L886">
            <v>0</v>
          </cell>
          <cell r="N886">
            <v>0</v>
          </cell>
          <cell r="O886" t="str">
            <v>z</v>
          </cell>
          <cell r="Q886">
            <v>0</v>
          </cell>
        </row>
        <row r="887">
          <cell r="G887" t="str">
            <v>POWER WELD INDUSTRIES</v>
          </cell>
          <cell r="I887">
            <v>0</v>
          </cell>
          <cell r="J887">
            <v>0</v>
          </cell>
          <cell r="K887">
            <v>0</v>
          </cell>
          <cell r="L887">
            <v>0</v>
          </cell>
          <cell r="N887">
            <v>0</v>
          </cell>
          <cell r="O887" t="str">
            <v>z</v>
          </cell>
          <cell r="Q887">
            <v>0</v>
          </cell>
        </row>
        <row r="888">
          <cell r="G888" t="str">
            <v>RAVIRAJ DISTRIBUTORS</v>
          </cell>
          <cell r="I888">
            <v>0</v>
          </cell>
          <cell r="J888">
            <v>0</v>
          </cell>
          <cell r="K888">
            <v>0</v>
          </cell>
          <cell r="L888">
            <v>0</v>
          </cell>
          <cell r="N888">
            <v>0</v>
          </cell>
          <cell r="O888" t="str">
            <v>z</v>
          </cell>
          <cell r="Q888">
            <v>0</v>
          </cell>
        </row>
        <row r="889">
          <cell r="G889" t="str">
            <v>RIMA ENTERPRISES</v>
          </cell>
          <cell r="I889">
            <v>0</v>
          </cell>
          <cell r="J889">
            <v>0</v>
          </cell>
          <cell r="K889">
            <v>0</v>
          </cell>
          <cell r="L889">
            <v>0</v>
          </cell>
          <cell r="N889">
            <v>0</v>
          </cell>
          <cell r="O889" t="str">
            <v>z</v>
          </cell>
          <cell r="Q889">
            <v>0</v>
          </cell>
        </row>
        <row r="890">
          <cell r="G890" t="str">
            <v>REGENCY HOTEL</v>
          </cell>
          <cell r="I890">
            <v>0</v>
          </cell>
          <cell r="J890">
            <v>0</v>
          </cell>
          <cell r="K890">
            <v>0</v>
          </cell>
          <cell r="L890">
            <v>0</v>
          </cell>
          <cell r="N890">
            <v>0</v>
          </cell>
          <cell r="O890" t="str">
            <v>z</v>
          </cell>
          <cell r="Q890">
            <v>0</v>
          </cell>
        </row>
        <row r="891">
          <cell r="G891" t="str">
            <v>ROHINI INDUSTRIAL ELECTRICAL LTD.</v>
          </cell>
          <cell r="I891">
            <v>0</v>
          </cell>
          <cell r="J891">
            <v>0</v>
          </cell>
          <cell r="K891">
            <v>0</v>
          </cell>
          <cell r="L891">
            <v>0</v>
          </cell>
          <cell r="N891">
            <v>0</v>
          </cell>
          <cell r="O891" t="str">
            <v>z</v>
          </cell>
          <cell r="Q891">
            <v>0</v>
          </cell>
        </row>
        <row r="892">
          <cell r="G892" t="str">
            <v>ROHINI ELECTICAL (RETENTION MONEY)</v>
          </cell>
          <cell r="I892">
            <v>0</v>
          </cell>
          <cell r="J892">
            <v>0</v>
          </cell>
          <cell r="K892">
            <v>0</v>
          </cell>
          <cell r="L892">
            <v>0</v>
          </cell>
          <cell r="N892">
            <v>0</v>
          </cell>
          <cell r="O892" t="str">
            <v>z</v>
          </cell>
          <cell r="Q892">
            <v>0</v>
          </cell>
        </row>
        <row r="893">
          <cell r="G893" t="str">
            <v>SPEEDAGE</v>
          </cell>
          <cell r="I893">
            <v>0</v>
          </cell>
          <cell r="J893">
            <v>0</v>
          </cell>
          <cell r="K893">
            <v>0</v>
          </cell>
          <cell r="L893">
            <v>0</v>
          </cell>
          <cell r="N893">
            <v>0</v>
          </cell>
          <cell r="O893" t="str">
            <v>z</v>
          </cell>
          <cell r="Q893">
            <v>0</v>
          </cell>
        </row>
        <row r="894">
          <cell r="G894" t="str">
            <v>SIMCA ALUMINIUM PVT. LTD.</v>
          </cell>
          <cell r="I894">
            <v>0</v>
          </cell>
          <cell r="J894">
            <v>0</v>
          </cell>
          <cell r="K894">
            <v>0</v>
          </cell>
          <cell r="L894">
            <v>0</v>
          </cell>
          <cell r="N894">
            <v>0</v>
          </cell>
          <cell r="O894" t="str">
            <v>z</v>
          </cell>
          <cell r="Q894">
            <v>0</v>
          </cell>
        </row>
        <row r="895">
          <cell r="G895" t="str">
            <v>SHREE DURGA ELECTRICALS</v>
          </cell>
          <cell r="I895">
            <v>0</v>
          </cell>
          <cell r="J895">
            <v>0</v>
          </cell>
          <cell r="K895">
            <v>0</v>
          </cell>
          <cell r="L895">
            <v>0</v>
          </cell>
          <cell r="N895">
            <v>0</v>
          </cell>
          <cell r="O895" t="str">
            <v>z</v>
          </cell>
          <cell r="Q895">
            <v>0</v>
          </cell>
        </row>
        <row r="896">
          <cell r="G896" t="str">
            <v>SAFEXPRESS</v>
          </cell>
          <cell r="I896">
            <v>0</v>
          </cell>
          <cell r="J896">
            <v>8279</v>
          </cell>
          <cell r="K896">
            <v>259322</v>
          </cell>
          <cell r="L896">
            <v>-251043</v>
          </cell>
          <cell r="N896">
            <v>-251043</v>
          </cell>
          <cell r="O896" t="str">
            <v>z</v>
          </cell>
          <cell r="Q896">
            <v>0</v>
          </cell>
        </row>
        <row r="897">
          <cell r="G897" t="str">
            <v>SHARMA FURNITURE WORKS</v>
          </cell>
          <cell r="I897">
            <v>0</v>
          </cell>
          <cell r="J897">
            <v>0</v>
          </cell>
          <cell r="K897">
            <v>0</v>
          </cell>
          <cell r="L897">
            <v>0</v>
          </cell>
          <cell r="N897">
            <v>0</v>
          </cell>
          <cell r="O897" t="str">
            <v>z</v>
          </cell>
          <cell r="Q897">
            <v>0</v>
          </cell>
        </row>
        <row r="898">
          <cell r="G898" t="str">
            <v>SHIVPRASAD ENTERPRISES</v>
          </cell>
          <cell r="I898">
            <v>0</v>
          </cell>
          <cell r="J898">
            <v>0</v>
          </cell>
          <cell r="K898">
            <v>0</v>
          </cell>
          <cell r="L898">
            <v>0</v>
          </cell>
          <cell r="N898">
            <v>0</v>
          </cell>
          <cell r="O898" t="str">
            <v>z</v>
          </cell>
          <cell r="Q898">
            <v>0</v>
          </cell>
        </row>
        <row r="899">
          <cell r="G899" t="str">
            <v>SPACE HVAC SYSTEMS PRIVATE LIMITED</v>
          </cell>
          <cell r="I899">
            <v>0</v>
          </cell>
          <cell r="J899">
            <v>0</v>
          </cell>
          <cell r="K899">
            <v>0</v>
          </cell>
          <cell r="L899">
            <v>0</v>
          </cell>
          <cell r="N899">
            <v>0</v>
          </cell>
          <cell r="O899" t="str">
            <v>z</v>
          </cell>
          <cell r="Q899">
            <v>0</v>
          </cell>
        </row>
        <row r="900">
          <cell r="G900" t="str">
            <v>SHAILENDRA JAIN</v>
          </cell>
          <cell r="I900">
            <v>0</v>
          </cell>
          <cell r="J900">
            <v>0</v>
          </cell>
          <cell r="K900">
            <v>0</v>
          </cell>
          <cell r="L900">
            <v>0</v>
          </cell>
          <cell r="N900">
            <v>0</v>
          </cell>
          <cell r="O900" t="str">
            <v>z</v>
          </cell>
          <cell r="Q900">
            <v>0</v>
          </cell>
        </row>
        <row r="901">
          <cell r="G901" t="str">
            <v>SANKET ENTERPRISE</v>
          </cell>
          <cell r="I901">
            <v>0</v>
          </cell>
          <cell r="J901">
            <v>0</v>
          </cell>
          <cell r="K901">
            <v>0</v>
          </cell>
          <cell r="L901">
            <v>0</v>
          </cell>
          <cell r="N901">
            <v>0</v>
          </cell>
          <cell r="O901" t="str">
            <v>z</v>
          </cell>
          <cell r="Q901">
            <v>0</v>
          </cell>
        </row>
        <row r="902">
          <cell r="G902" t="str">
            <v>SANKET ENTERPRISES (RETENTION MONEY)</v>
          </cell>
          <cell r="I902">
            <v>-44866</v>
          </cell>
          <cell r="J902">
            <v>0</v>
          </cell>
          <cell r="K902">
            <v>0</v>
          </cell>
          <cell r="L902">
            <v>-44866</v>
          </cell>
          <cell r="N902">
            <v>-44866</v>
          </cell>
          <cell r="O902" t="str">
            <v>z</v>
          </cell>
          <cell r="Q902">
            <v>0</v>
          </cell>
        </row>
        <row r="903">
          <cell r="G903" t="str">
            <v>S N MAINKAR</v>
          </cell>
          <cell r="I903">
            <v>0</v>
          </cell>
          <cell r="J903">
            <v>0</v>
          </cell>
          <cell r="K903">
            <v>0</v>
          </cell>
          <cell r="L903">
            <v>0</v>
          </cell>
          <cell r="N903">
            <v>0</v>
          </cell>
          <cell r="O903" t="str">
            <v>z</v>
          </cell>
          <cell r="Q903">
            <v>0</v>
          </cell>
        </row>
        <row r="904">
          <cell r="G904" t="str">
            <v>SIMCA ALUMINIUM PVT LTD ( RETENTION MONEY)</v>
          </cell>
          <cell r="I904">
            <v>0</v>
          </cell>
          <cell r="J904">
            <v>0</v>
          </cell>
          <cell r="K904">
            <v>0</v>
          </cell>
          <cell r="L904">
            <v>0</v>
          </cell>
          <cell r="N904">
            <v>0</v>
          </cell>
          <cell r="O904" t="str">
            <v>z</v>
          </cell>
          <cell r="Q904">
            <v>0</v>
          </cell>
        </row>
        <row r="905">
          <cell r="G905" t="str">
            <v>SANDEEP R. S. KHANDEPARKER</v>
          </cell>
          <cell r="I905">
            <v>0</v>
          </cell>
          <cell r="J905">
            <v>0</v>
          </cell>
          <cell r="K905">
            <v>0</v>
          </cell>
          <cell r="L905">
            <v>0</v>
          </cell>
          <cell r="N905">
            <v>0</v>
          </cell>
          <cell r="O905" t="str">
            <v>z</v>
          </cell>
          <cell r="Q905">
            <v>0</v>
          </cell>
        </row>
        <row r="906">
          <cell r="G906" t="str">
            <v>SENIOR TRANSLINE</v>
          </cell>
          <cell r="I906">
            <v>-79286.539999999994</v>
          </cell>
          <cell r="J906">
            <v>1291</v>
          </cell>
          <cell r="K906">
            <v>2484</v>
          </cell>
          <cell r="L906">
            <v>-80479.539999999994</v>
          </cell>
          <cell r="N906">
            <v>-80479.539999999994</v>
          </cell>
          <cell r="O906" t="str">
            <v>z</v>
          </cell>
          <cell r="Q906">
            <v>0</v>
          </cell>
        </row>
        <row r="907">
          <cell r="G907" t="str">
            <v>SENIOR TRANSLINES ( MUMBAI)</v>
          </cell>
          <cell r="I907">
            <v>40000</v>
          </cell>
          <cell r="J907">
            <v>1419</v>
          </cell>
          <cell r="K907">
            <v>41419</v>
          </cell>
          <cell r="L907">
            <v>0</v>
          </cell>
          <cell r="N907">
            <v>0</v>
          </cell>
          <cell r="O907" t="str">
            <v>z</v>
          </cell>
          <cell r="Q907">
            <v>0</v>
          </cell>
        </row>
        <row r="908">
          <cell r="G908" t="str">
            <v>M/S S.V.B LABORATORIES</v>
          </cell>
          <cell r="I908">
            <v>-8640</v>
          </cell>
          <cell r="J908">
            <v>8640</v>
          </cell>
          <cell r="K908">
            <v>0</v>
          </cell>
          <cell r="L908">
            <v>0</v>
          </cell>
          <cell r="N908">
            <v>0</v>
          </cell>
          <cell r="O908" t="str">
            <v>z</v>
          </cell>
          <cell r="Q908">
            <v>0</v>
          </cell>
        </row>
        <row r="909">
          <cell r="G909" t="str">
            <v>TRANSPORT CORPORATION OF INDIA</v>
          </cell>
          <cell r="I909">
            <v>0</v>
          </cell>
          <cell r="J909">
            <v>0</v>
          </cell>
          <cell r="K909">
            <v>0</v>
          </cell>
          <cell r="L909">
            <v>0</v>
          </cell>
          <cell r="N909">
            <v>0</v>
          </cell>
          <cell r="O909" t="str">
            <v>z</v>
          </cell>
          <cell r="Q909">
            <v>0</v>
          </cell>
        </row>
        <row r="910">
          <cell r="G910" t="str">
            <v>TECHNICS INCORPORATION</v>
          </cell>
          <cell r="I910">
            <v>0</v>
          </cell>
          <cell r="J910">
            <v>0</v>
          </cell>
          <cell r="K910">
            <v>0</v>
          </cell>
          <cell r="L910">
            <v>0</v>
          </cell>
          <cell r="N910">
            <v>0</v>
          </cell>
          <cell r="O910" t="str">
            <v>z</v>
          </cell>
          <cell r="Q910">
            <v>0</v>
          </cell>
        </row>
        <row r="911">
          <cell r="G911" t="str">
            <v>TELE SOLUTIONS</v>
          </cell>
          <cell r="I911">
            <v>0</v>
          </cell>
          <cell r="J911">
            <v>0</v>
          </cell>
          <cell r="K911">
            <v>0</v>
          </cell>
          <cell r="L911">
            <v>0</v>
          </cell>
          <cell r="N911">
            <v>0</v>
          </cell>
          <cell r="O911" t="str">
            <v>z</v>
          </cell>
          <cell r="Q911">
            <v>0</v>
          </cell>
        </row>
        <row r="912">
          <cell r="G912" t="str">
            <v>TULIP SOFTWARE PVT. LTD.</v>
          </cell>
          <cell r="I912">
            <v>0</v>
          </cell>
          <cell r="J912">
            <v>0</v>
          </cell>
          <cell r="K912">
            <v>0</v>
          </cell>
          <cell r="L912">
            <v>0</v>
          </cell>
          <cell r="N912">
            <v>0</v>
          </cell>
          <cell r="O912" t="str">
            <v>z</v>
          </cell>
          <cell r="Q912">
            <v>0</v>
          </cell>
        </row>
        <row r="913">
          <cell r="G913" t="str">
            <v>UNIVERSAL FABRICATION &amp; BLOWER INDUSTRIES</v>
          </cell>
          <cell r="I913">
            <v>0</v>
          </cell>
          <cell r="J913">
            <v>0</v>
          </cell>
          <cell r="K913">
            <v>0</v>
          </cell>
          <cell r="L913">
            <v>0</v>
          </cell>
          <cell r="N913">
            <v>0</v>
          </cell>
          <cell r="O913" t="str">
            <v>z</v>
          </cell>
          <cell r="Q913">
            <v>0</v>
          </cell>
        </row>
        <row r="914">
          <cell r="G914" t="str">
            <v>UNIQUE MARKETING SERVICES</v>
          </cell>
          <cell r="I914">
            <v>0</v>
          </cell>
          <cell r="J914">
            <v>0</v>
          </cell>
          <cell r="K914">
            <v>0</v>
          </cell>
          <cell r="L914">
            <v>0</v>
          </cell>
          <cell r="N914">
            <v>0</v>
          </cell>
          <cell r="O914" t="str">
            <v>z</v>
          </cell>
          <cell r="Q914">
            <v>0</v>
          </cell>
        </row>
        <row r="915">
          <cell r="G915" t="str">
            <v>VAIBHAVI ENTERPRISES</v>
          </cell>
          <cell r="I915">
            <v>0</v>
          </cell>
          <cell r="J915">
            <v>7344</v>
          </cell>
          <cell r="K915">
            <v>7344</v>
          </cell>
          <cell r="L915">
            <v>0</v>
          </cell>
          <cell r="N915">
            <v>0</v>
          </cell>
          <cell r="O915" t="str">
            <v>z</v>
          </cell>
          <cell r="Q915">
            <v>0</v>
          </cell>
        </row>
        <row r="916">
          <cell r="G916" t="str">
            <v>VISION INDUSTRIAL SERVICES</v>
          </cell>
          <cell r="I916">
            <v>0</v>
          </cell>
          <cell r="J916">
            <v>16200</v>
          </cell>
          <cell r="K916">
            <v>16200</v>
          </cell>
          <cell r="L916">
            <v>0</v>
          </cell>
          <cell r="N916">
            <v>0</v>
          </cell>
          <cell r="O916" t="str">
            <v>z</v>
          </cell>
          <cell r="Q916">
            <v>0</v>
          </cell>
        </row>
        <row r="917">
          <cell r="G917" t="str">
            <v>VJ PRINTERS</v>
          </cell>
          <cell r="I917">
            <v>0</v>
          </cell>
          <cell r="J917">
            <v>2000</v>
          </cell>
          <cell r="K917">
            <v>0</v>
          </cell>
          <cell r="L917">
            <v>2000</v>
          </cell>
          <cell r="N917">
            <v>2000</v>
          </cell>
          <cell r="O917" t="str">
            <v>z</v>
          </cell>
          <cell r="Q917">
            <v>0</v>
          </cell>
        </row>
        <row r="918">
          <cell r="G918" t="str">
            <v>VOLTAS LIMITED</v>
          </cell>
          <cell r="I918">
            <v>0</v>
          </cell>
          <cell r="J918">
            <v>0</v>
          </cell>
          <cell r="K918">
            <v>0</v>
          </cell>
          <cell r="L918">
            <v>0</v>
          </cell>
          <cell r="N918">
            <v>0</v>
          </cell>
          <cell r="O918" t="str">
            <v>z</v>
          </cell>
          <cell r="Q918">
            <v>0</v>
          </cell>
        </row>
        <row r="919">
          <cell r="G919" t="str">
            <v>VIJAY NURSERY</v>
          </cell>
          <cell r="I919">
            <v>0</v>
          </cell>
          <cell r="J919">
            <v>0</v>
          </cell>
          <cell r="K919">
            <v>0</v>
          </cell>
          <cell r="L919">
            <v>0</v>
          </cell>
          <cell r="N919">
            <v>0</v>
          </cell>
          <cell r="O919" t="str">
            <v>z</v>
          </cell>
          <cell r="Q919">
            <v>0</v>
          </cell>
        </row>
        <row r="920">
          <cell r="G920" t="str">
            <v>VIMAL PLASTICS</v>
          </cell>
          <cell r="I920">
            <v>0</v>
          </cell>
          <cell r="J920">
            <v>0</v>
          </cell>
          <cell r="K920">
            <v>0</v>
          </cell>
          <cell r="L920">
            <v>0</v>
          </cell>
          <cell r="N920">
            <v>0</v>
          </cell>
          <cell r="O920" t="str">
            <v>z</v>
          </cell>
          <cell r="Q920">
            <v>0</v>
          </cell>
        </row>
        <row r="921">
          <cell r="G921" t="str">
            <v>VIRANI SALES CORPORATION</v>
          </cell>
          <cell r="I921">
            <v>0</v>
          </cell>
          <cell r="J921">
            <v>0</v>
          </cell>
          <cell r="K921">
            <v>0</v>
          </cell>
          <cell r="L921">
            <v>0</v>
          </cell>
          <cell r="N921">
            <v>0</v>
          </cell>
          <cell r="O921" t="str">
            <v>z</v>
          </cell>
          <cell r="Q921">
            <v>0</v>
          </cell>
        </row>
        <row r="922">
          <cell r="G922" t="str">
            <v>WISS GOA</v>
          </cell>
          <cell r="I922">
            <v>-17990</v>
          </cell>
          <cell r="J922">
            <v>17990</v>
          </cell>
          <cell r="K922">
            <v>0</v>
          </cell>
          <cell r="L922">
            <v>0</v>
          </cell>
          <cell r="N922">
            <v>0</v>
          </cell>
          <cell r="O922" t="str">
            <v>z</v>
          </cell>
          <cell r="Q922">
            <v>0</v>
          </cell>
        </row>
        <row r="923">
          <cell r="G923" t="str">
            <v>WALLACE PHARMA LTD.</v>
          </cell>
          <cell r="I923">
            <v>-25656</v>
          </cell>
          <cell r="J923">
            <v>0</v>
          </cell>
          <cell r="K923">
            <v>0</v>
          </cell>
          <cell r="L923">
            <v>-25656</v>
          </cell>
          <cell r="N923">
            <v>-25656</v>
          </cell>
          <cell r="O923" t="str">
            <v>z</v>
          </cell>
          <cell r="Q923">
            <v>0</v>
          </cell>
        </row>
        <row r="924">
          <cell r="G924" t="str">
            <v>XPS CARGO SERVICE</v>
          </cell>
          <cell r="I924">
            <v>-15551</v>
          </cell>
          <cell r="J924">
            <v>62784</v>
          </cell>
          <cell r="K924">
            <v>143290</v>
          </cell>
          <cell r="L924">
            <v>-96057</v>
          </cell>
          <cell r="N924">
            <v>-96057</v>
          </cell>
          <cell r="O924" t="str">
            <v>z</v>
          </cell>
          <cell r="Q924">
            <v>0</v>
          </cell>
        </row>
        <row r="925">
          <cell r="G925" t="str">
            <v>ROENTGEN CHEMICALS &amp; ALLIED PRODUCTS</v>
          </cell>
          <cell r="I925">
            <v>0</v>
          </cell>
          <cell r="J925">
            <v>0</v>
          </cell>
          <cell r="K925">
            <v>0</v>
          </cell>
          <cell r="L925">
            <v>0</v>
          </cell>
          <cell r="N925">
            <v>0</v>
          </cell>
          <cell r="O925" t="str">
            <v>z</v>
          </cell>
          <cell r="Q925">
            <v>0</v>
          </cell>
        </row>
        <row r="926">
          <cell r="G926" t="str">
            <v>THE SOUTH INDIA SURGICAL CO. LTD.</v>
          </cell>
          <cell r="I926">
            <v>0</v>
          </cell>
          <cell r="J926">
            <v>0</v>
          </cell>
          <cell r="K926">
            <v>0</v>
          </cell>
          <cell r="L926">
            <v>0</v>
          </cell>
          <cell r="N926">
            <v>0</v>
          </cell>
          <cell r="O926" t="str">
            <v>z</v>
          </cell>
          <cell r="Q926">
            <v>0</v>
          </cell>
        </row>
        <row r="927">
          <cell r="G927" t="str">
            <v>MED-TECH INC</v>
          </cell>
          <cell r="H927" t="str">
            <v>MED-TECH INC</v>
          </cell>
          <cell r="I927">
            <v>-1569.14</v>
          </cell>
          <cell r="J927">
            <v>0</v>
          </cell>
          <cell r="K927">
            <v>0</v>
          </cell>
          <cell r="L927">
            <v>-1569.14</v>
          </cell>
          <cell r="N927">
            <v>-1569.14</v>
          </cell>
          <cell r="O927" t="str">
            <v>z</v>
          </cell>
          <cell r="Q927">
            <v>0</v>
          </cell>
        </row>
        <row r="928">
          <cell r="G928" t="str">
            <v>B.BRAUN MEDICAL IND. SDN. BHD.</v>
          </cell>
          <cell r="H928" t="str">
            <v>Due to Group Cos.(as per Trial Bal.)</v>
          </cell>
          <cell r="I928">
            <v>-56811354.604999997</v>
          </cell>
          <cell r="J928">
            <v>11950474.189999999</v>
          </cell>
          <cell r="K928">
            <v>2946058.0559999999</v>
          </cell>
          <cell r="L928">
            <v>-49316360.471000001</v>
          </cell>
          <cell r="N928">
            <v>-128650191.29899997</v>
          </cell>
          <cell r="O928">
            <v>48</v>
          </cell>
          <cell r="Q928">
            <v>-128650191.29899997</v>
          </cell>
          <cell r="U928">
            <v>-128650191.29899997</v>
          </cell>
        </row>
        <row r="929">
          <cell r="G929" t="str">
            <v>B.BRAUN MEDICAL SUPPLIES SDN.BHD</v>
          </cell>
          <cell r="I929">
            <v>0.52</v>
          </cell>
          <cell r="J929">
            <v>0</v>
          </cell>
          <cell r="K929">
            <v>0</v>
          </cell>
          <cell r="L929">
            <v>0.52</v>
          </cell>
          <cell r="O929">
            <v>48</v>
          </cell>
          <cell r="Q929">
            <v>0</v>
          </cell>
        </row>
        <row r="930">
          <cell r="G930" t="str">
            <v>B.BRAUN SURGICAL SDN. BHD.</v>
          </cell>
          <cell r="I930">
            <v>-12801</v>
          </cell>
          <cell r="J930">
            <v>0</v>
          </cell>
          <cell r="K930">
            <v>0</v>
          </cell>
          <cell r="L930">
            <v>-15875</v>
          </cell>
          <cell r="O930">
            <v>48</v>
          </cell>
          <cell r="Q930">
            <v>0</v>
          </cell>
        </row>
        <row r="931">
          <cell r="G931" t="str">
            <v>B.BRAUN PHARMACEUTICAL IND. S/B</v>
          </cell>
          <cell r="I931">
            <v>-7977826.0559999999</v>
          </cell>
          <cell r="J931">
            <v>1237082.1200000001</v>
          </cell>
          <cell r="K931">
            <v>127923.05100000001</v>
          </cell>
          <cell r="L931">
            <v>-7062745.9869999997</v>
          </cell>
          <cell r="O931">
            <v>48</v>
          </cell>
          <cell r="Q931">
            <v>0</v>
          </cell>
        </row>
        <row r="932">
          <cell r="G932" t="str">
            <v>B.BRAUN NEEDLES INDUSTRIES</v>
          </cell>
          <cell r="I932">
            <v>-466266.87699999998</v>
          </cell>
          <cell r="J932">
            <v>264366</v>
          </cell>
          <cell r="K932">
            <v>14934</v>
          </cell>
          <cell r="L932">
            <v>-225126.87700000001</v>
          </cell>
          <cell r="O932">
            <v>48</v>
          </cell>
          <cell r="Q932">
            <v>0</v>
          </cell>
        </row>
        <row r="933">
          <cell r="G933" t="str">
            <v>B.BRAUN PRECISION ENG. SDN.BHD</v>
          </cell>
          <cell r="I933">
            <v>-15888874.997</v>
          </cell>
          <cell r="J933">
            <v>4008184.44</v>
          </cell>
          <cell r="K933">
            <v>2351264.9449999998</v>
          </cell>
          <cell r="L933">
            <v>-14649082.502</v>
          </cell>
          <cell r="O933">
            <v>48</v>
          </cell>
          <cell r="Q933">
            <v>0</v>
          </cell>
        </row>
        <row r="934">
          <cell r="G934" t="str">
            <v>B.BRAUN MELSUNGEN AG.</v>
          </cell>
          <cell r="I934">
            <v>-44107636.524999999</v>
          </cell>
          <cell r="J934">
            <v>12959683.721000001</v>
          </cell>
          <cell r="K934">
            <v>2234983.48</v>
          </cell>
          <cell r="L934">
            <v>-34479344.284000002</v>
          </cell>
          <cell r="O934">
            <v>48</v>
          </cell>
          <cell r="Q934">
            <v>0</v>
          </cell>
        </row>
        <row r="935">
          <cell r="G935" t="str">
            <v>AESCULAP AG &amp; CO.KG - TUTTLINGEN</v>
          </cell>
          <cell r="I935">
            <v>-7201003.0140000004</v>
          </cell>
          <cell r="J935">
            <v>1669198.75</v>
          </cell>
          <cell r="K935">
            <v>2495198.673</v>
          </cell>
          <cell r="L935">
            <v>-8281130.9369999999</v>
          </cell>
          <cell r="O935">
            <v>48</v>
          </cell>
          <cell r="Q935">
            <v>0</v>
          </cell>
        </row>
        <row r="936">
          <cell r="G936" t="str">
            <v>AESCULAP AG &amp; CO. KG - MELSUNGEN</v>
          </cell>
          <cell r="I936">
            <v>0</v>
          </cell>
          <cell r="J936">
            <v>0</v>
          </cell>
          <cell r="K936">
            <v>0</v>
          </cell>
          <cell r="L936">
            <v>0</v>
          </cell>
          <cell r="O936">
            <v>48</v>
          </cell>
          <cell r="Q936">
            <v>0</v>
          </cell>
        </row>
        <row r="937">
          <cell r="G937" t="str">
            <v>AESCULAP - FLEXIMED GMBH-DENZLINGEN</v>
          </cell>
          <cell r="I937">
            <v>-49129</v>
          </cell>
          <cell r="J937">
            <v>19256.5</v>
          </cell>
          <cell r="K937">
            <v>309.5</v>
          </cell>
          <cell r="L937">
            <v>-31290</v>
          </cell>
          <cell r="O937">
            <v>48</v>
          </cell>
          <cell r="Q937">
            <v>0</v>
          </cell>
        </row>
        <row r="938">
          <cell r="G938" t="str">
            <v>B.BRAUN CAREX S.P.A.,</v>
          </cell>
          <cell r="I938">
            <v>-618986.54700000002</v>
          </cell>
          <cell r="J938">
            <v>327802.46999999997</v>
          </cell>
          <cell r="K938">
            <v>18227.14</v>
          </cell>
          <cell r="L938">
            <v>-322530.217</v>
          </cell>
          <cell r="O938">
            <v>48</v>
          </cell>
          <cell r="Q938">
            <v>0</v>
          </cell>
        </row>
        <row r="939">
          <cell r="G939" t="str">
            <v>B.BRAUN MEDICAL AG. SWITZERLAND</v>
          </cell>
          <cell r="I939">
            <v>-12191019.864</v>
          </cell>
          <cell r="J939">
            <v>4740892.6399999997</v>
          </cell>
          <cell r="K939">
            <v>947498.32499999995</v>
          </cell>
          <cell r="L939">
            <v>-8706226.5490000006</v>
          </cell>
          <cell r="O939">
            <v>48</v>
          </cell>
          <cell r="Q939">
            <v>0</v>
          </cell>
        </row>
        <row r="940">
          <cell r="G940" t="str">
            <v>B.BRAUN MEDICAL LIMITED,U.K.</v>
          </cell>
          <cell r="I940">
            <v>-2461274.8849999998</v>
          </cell>
          <cell r="J940">
            <v>364530.85</v>
          </cell>
          <cell r="K940">
            <v>1280909.8999999999</v>
          </cell>
          <cell r="L940">
            <v>-3501403.9350000001</v>
          </cell>
          <cell r="O940">
            <v>48</v>
          </cell>
          <cell r="Q940">
            <v>0</v>
          </cell>
        </row>
        <row r="941">
          <cell r="G941" t="str">
            <v>B|BRAUN MEDICAL (HK) LTD.</v>
          </cell>
          <cell r="I941">
            <v>-19466.25</v>
          </cell>
          <cell r="J941">
            <v>0</v>
          </cell>
          <cell r="K941">
            <v>0</v>
          </cell>
          <cell r="L941">
            <v>-20016.25</v>
          </cell>
          <cell r="O941">
            <v>48</v>
          </cell>
          <cell r="Q941">
            <v>0</v>
          </cell>
        </row>
        <row r="942">
          <cell r="G942" t="str">
            <v>B.BRAUN INTERNATIONAL PTE. LTD.</v>
          </cell>
          <cell r="I942">
            <v>0</v>
          </cell>
          <cell r="J942">
            <v>118809.60000000001</v>
          </cell>
          <cell r="K942">
            <v>118809.60000000001</v>
          </cell>
          <cell r="L942">
            <v>0</v>
          </cell>
          <cell r="O942">
            <v>48</v>
          </cell>
          <cell r="Q942">
            <v>0</v>
          </cell>
        </row>
        <row r="943">
          <cell r="G943" t="str">
            <v>B.BRAUN MEDICAL IND. SDN. BHD.</v>
          </cell>
          <cell r="I943">
            <v>-1386401.46</v>
          </cell>
          <cell r="J943">
            <v>66893</v>
          </cell>
          <cell r="K943">
            <v>676743</v>
          </cell>
          <cell r="L943">
            <v>-2000272.46</v>
          </cell>
          <cell r="O943">
            <v>48</v>
          </cell>
          <cell r="Q943">
            <v>0</v>
          </cell>
        </row>
        <row r="944">
          <cell r="G944" t="str">
            <v>B.BRAUN PRECISION ENG. SDN.BHD</v>
          </cell>
          <cell r="I944">
            <v>0</v>
          </cell>
          <cell r="J944">
            <v>0</v>
          </cell>
          <cell r="K944">
            <v>0</v>
          </cell>
          <cell r="L944">
            <v>0</v>
          </cell>
          <cell r="O944">
            <v>48</v>
          </cell>
          <cell r="Q944">
            <v>0</v>
          </cell>
        </row>
        <row r="945">
          <cell r="G945" t="str">
            <v>B.BRAUN HANOI PHARMACEUTICALS CO.</v>
          </cell>
          <cell r="I945">
            <v>0</v>
          </cell>
          <cell r="J945">
            <v>0</v>
          </cell>
          <cell r="K945">
            <v>0</v>
          </cell>
          <cell r="L945">
            <v>0</v>
          </cell>
          <cell r="O945">
            <v>48</v>
          </cell>
          <cell r="Q945">
            <v>0</v>
          </cell>
        </row>
        <row r="946">
          <cell r="G946" t="str">
            <v>AESCULAP AG &amp; CO.KG - TUTTLINGEN</v>
          </cell>
          <cell r="I946">
            <v>-38786.35</v>
          </cell>
          <cell r="J946">
            <v>0</v>
          </cell>
          <cell r="K946">
            <v>0</v>
          </cell>
          <cell r="L946">
            <v>-38786.35</v>
          </cell>
          <cell r="O946">
            <v>48</v>
          </cell>
          <cell r="Q946">
            <v>0</v>
          </cell>
        </row>
        <row r="947">
          <cell r="G947" t="str">
            <v>S. A. JOHNSON</v>
          </cell>
          <cell r="H947" t="str">
            <v>Citibank Dinners Club</v>
          </cell>
          <cell r="I947">
            <v>-4405</v>
          </cell>
          <cell r="J947">
            <v>26887</v>
          </cell>
          <cell r="K947">
            <v>18193</v>
          </cell>
          <cell r="L947">
            <v>4289</v>
          </cell>
          <cell r="N947">
            <v>4289</v>
          </cell>
          <cell r="O947">
            <v>49</v>
          </cell>
          <cell r="P947">
            <v>-35548</v>
          </cell>
          <cell r="Q947">
            <v>0</v>
          </cell>
          <cell r="U947">
            <v>-20174.78</v>
          </cell>
          <cell r="V947" t="str">
            <v>*</v>
          </cell>
        </row>
        <row r="948">
          <cell r="G948" t="str">
            <v>MANISH DESHMUKH</v>
          </cell>
          <cell r="I948">
            <v>0</v>
          </cell>
          <cell r="J948">
            <v>0</v>
          </cell>
          <cell r="K948">
            <v>0</v>
          </cell>
          <cell r="L948">
            <v>0</v>
          </cell>
          <cell r="N948">
            <v>0</v>
          </cell>
          <cell r="O948">
            <v>49</v>
          </cell>
          <cell r="Q948">
            <v>0</v>
          </cell>
          <cell r="V948" t="str">
            <v>*</v>
          </cell>
        </row>
        <row r="949">
          <cell r="G949" t="str">
            <v>SATISH K. PALRECHA</v>
          </cell>
          <cell r="I949">
            <v>0</v>
          </cell>
          <cell r="J949">
            <v>3486</v>
          </cell>
          <cell r="K949">
            <v>6972</v>
          </cell>
          <cell r="L949">
            <v>-3486</v>
          </cell>
          <cell r="N949">
            <v>-3486</v>
          </cell>
          <cell r="O949">
            <v>49</v>
          </cell>
          <cell r="Q949">
            <v>0</v>
          </cell>
          <cell r="V949" t="str">
            <v>*</v>
          </cell>
        </row>
        <row r="950">
          <cell r="G950" t="str">
            <v>ANAND APTE</v>
          </cell>
          <cell r="I950">
            <v>11190.22</v>
          </cell>
          <cell r="J950">
            <v>21262</v>
          </cell>
          <cell r="K950">
            <v>27939</v>
          </cell>
          <cell r="L950">
            <v>4513.22</v>
          </cell>
          <cell r="N950">
            <v>4513.22</v>
          </cell>
          <cell r="O950">
            <v>49</v>
          </cell>
          <cell r="Q950">
            <v>0</v>
          </cell>
          <cell r="V950" t="str">
            <v>*</v>
          </cell>
        </row>
        <row r="951">
          <cell r="G951" t="str">
            <v>RAMAN GOUD</v>
          </cell>
          <cell r="I951">
            <v>0</v>
          </cell>
          <cell r="J951">
            <v>0</v>
          </cell>
          <cell r="K951">
            <v>0</v>
          </cell>
          <cell r="L951">
            <v>0</v>
          </cell>
          <cell r="N951">
            <v>0</v>
          </cell>
          <cell r="O951">
            <v>49</v>
          </cell>
          <cell r="Q951">
            <v>0</v>
          </cell>
          <cell r="V951" t="str">
            <v>*</v>
          </cell>
        </row>
        <row r="952">
          <cell r="G952" t="str">
            <v>MAHESH KUMAR KHISTY</v>
          </cell>
          <cell r="I952">
            <v>-160</v>
          </cell>
          <cell r="J952">
            <v>160</v>
          </cell>
          <cell r="K952">
            <v>1813</v>
          </cell>
          <cell r="L952">
            <v>-1813</v>
          </cell>
          <cell r="N952">
            <v>-1813</v>
          </cell>
          <cell r="O952">
            <v>49</v>
          </cell>
          <cell r="Q952">
            <v>0</v>
          </cell>
          <cell r="V952" t="str">
            <v>*</v>
          </cell>
        </row>
        <row r="953">
          <cell r="G953" t="str">
            <v>DR. KAILASH SHARMA</v>
          </cell>
          <cell r="I953">
            <v>5127</v>
          </cell>
          <cell r="J953">
            <v>0</v>
          </cell>
          <cell r="K953">
            <v>0</v>
          </cell>
          <cell r="L953">
            <v>5127</v>
          </cell>
          <cell r="N953">
            <v>5127</v>
          </cell>
          <cell r="O953">
            <v>49</v>
          </cell>
          <cell r="Q953">
            <v>0</v>
          </cell>
          <cell r="V953" t="str">
            <v>*</v>
          </cell>
        </row>
        <row r="954">
          <cell r="G954" t="str">
            <v>SWEETY AMBARDAR</v>
          </cell>
          <cell r="I954">
            <v>0</v>
          </cell>
          <cell r="J954">
            <v>0</v>
          </cell>
          <cell r="K954">
            <v>0</v>
          </cell>
          <cell r="L954">
            <v>0</v>
          </cell>
          <cell r="N954">
            <v>0</v>
          </cell>
          <cell r="O954">
            <v>49</v>
          </cell>
          <cell r="Q954">
            <v>0</v>
          </cell>
          <cell r="V954" t="str">
            <v>*</v>
          </cell>
        </row>
        <row r="955">
          <cell r="G955" t="str">
            <v>RAJINDER SINGH</v>
          </cell>
          <cell r="I955">
            <v>0</v>
          </cell>
          <cell r="J955">
            <v>0</v>
          </cell>
          <cell r="K955">
            <v>0</v>
          </cell>
          <cell r="L955">
            <v>0</v>
          </cell>
          <cell r="N955">
            <v>0</v>
          </cell>
          <cell r="O955">
            <v>49</v>
          </cell>
          <cell r="Q955">
            <v>0</v>
          </cell>
          <cell r="V955" t="str">
            <v>*</v>
          </cell>
        </row>
        <row r="956">
          <cell r="G956" t="str">
            <v>NITIN N. RODE</v>
          </cell>
          <cell r="I956">
            <v>-2408</v>
          </cell>
          <cell r="J956">
            <v>3852</v>
          </cell>
          <cell r="K956">
            <v>0</v>
          </cell>
          <cell r="L956">
            <v>1444</v>
          </cell>
          <cell r="N956">
            <v>1444</v>
          </cell>
          <cell r="O956">
            <v>49</v>
          </cell>
          <cell r="Q956">
            <v>0</v>
          </cell>
          <cell r="V956" t="str">
            <v>*</v>
          </cell>
        </row>
        <row r="957">
          <cell r="G957" t="str">
            <v>RAJESH HUDDAR</v>
          </cell>
          <cell r="I957">
            <v>-1073</v>
          </cell>
          <cell r="J957">
            <v>0</v>
          </cell>
          <cell r="K957">
            <v>20930</v>
          </cell>
          <cell r="L957">
            <v>-22003</v>
          </cell>
          <cell r="N957">
            <v>-22003</v>
          </cell>
          <cell r="O957">
            <v>49</v>
          </cell>
          <cell r="Q957">
            <v>0</v>
          </cell>
          <cell r="V957" t="str">
            <v>*</v>
          </cell>
        </row>
        <row r="958">
          <cell r="G958" t="str">
            <v>MOHAN PAWAR</v>
          </cell>
          <cell r="I958">
            <v>25</v>
          </cell>
          <cell r="J958">
            <v>1430</v>
          </cell>
          <cell r="K958">
            <v>1455</v>
          </cell>
          <cell r="L958">
            <v>0</v>
          </cell>
          <cell r="N958">
            <v>0</v>
          </cell>
          <cell r="O958">
            <v>49</v>
          </cell>
          <cell r="Q958">
            <v>0</v>
          </cell>
          <cell r="V958" t="str">
            <v>*</v>
          </cell>
        </row>
        <row r="959">
          <cell r="G959" t="str">
            <v>RONY BANNERJEE</v>
          </cell>
          <cell r="H959" t="str">
            <v>Citibank Dinners Club (Dr. Bal.)</v>
          </cell>
          <cell r="I959">
            <v>-4290</v>
          </cell>
          <cell r="J959">
            <v>4290</v>
          </cell>
          <cell r="K959">
            <v>8246</v>
          </cell>
          <cell r="L959">
            <v>-8246</v>
          </cell>
          <cell r="N959">
            <v>-8246</v>
          </cell>
          <cell r="O959">
            <v>49</v>
          </cell>
          <cell r="P959">
            <v>15373.220000000001</v>
          </cell>
          <cell r="Q959">
            <v>0</v>
          </cell>
          <cell r="V959" t="str">
            <v>*</v>
          </cell>
        </row>
        <row r="960">
          <cell r="G960" t="str">
            <v>PROVISION FOR CENTRAL SALES TAX - GOA</v>
          </cell>
          <cell r="H960" t="str">
            <v>Provision for Sales Tax</v>
          </cell>
          <cell r="I960">
            <v>-365919.28</v>
          </cell>
          <cell r="J960">
            <v>441145.9</v>
          </cell>
          <cell r="K960">
            <v>633400.62</v>
          </cell>
          <cell r="L960">
            <v>-558174</v>
          </cell>
          <cell r="N960">
            <v>-1051247.75</v>
          </cell>
          <cell r="O960">
            <v>50</v>
          </cell>
          <cell r="Q960">
            <v>0</v>
          </cell>
          <cell r="U960">
            <v>-1051247.75</v>
          </cell>
        </row>
        <row r="961">
          <cell r="G961" t="str">
            <v>PROVISION FOR CENTRAL SALES TAX - MUMBAI</v>
          </cell>
          <cell r="I961">
            <v>-13480.33</v>
          </cell>
          <cell r="J961">
            <v>21480.33</v>
          </cell>
          <cell r="K961">
            <v>8000</v>
          </cell>
          <cell r="L961">
            <v>0</v>
          </cell>
          <cell r="O961">
            <v>50</v>
          </cell>
          <cell r="Q961">
            <v>0</v>
          </cell>
        </row>
        <row r="962">
          <cell r="G962" t="str">
            <v>PROVISION FOR CENTRAL SALES TAX - DELHI</v>
          </cell>
          <cell r="I962">
            <v>5754.04</v>
          </cell>
          <cell r="J962">
            <v>12591</v>
          </cell>
          <cell r="K962">
            <v>30622.04</v>
          </cell>
          <cell r="L962">
            <v>-12277</v>
          </cell>
          <cell r="O962">
            <v>50</v>
          </cell>
          <cell r="Q962">
            <v>0</v>
          </cell>
        </row>
        <row r="963">
          <cell r="G963" t="str">
            <v>PROVISION FOR LOCAL SALES TAX - GOA</v>
          </cell>
          <cell r="I963">
            <v>-492</v>
          </cell>
          <cell r="J963">
            <v>492</v>
          </cell>
          <cell r="K963">
            <v>0</v>
          </cell>
          <cell r="L963">
            <v>0</v>
          </cell>
          <cell r="O963">
            <v>50</v>
          </cell>
          <cell r="Q963">
            <v>0</v>
          </cell>
        </row>
        <row r="964">
          <cell r="G964" t="str">
            <v>PROVISION FOR LOCAL SALES TAX - MUMBAI</v>
          </cell>
          <cell r="I964">
            <v>-94431.21</v>
          </cell>
          <cell r="J964">
            <v>94430</v>
          </cell>
          <cell r="K964">
            <v>314596.53999999998</v>
          </cell>
          <cell r="L964">
            <v>-314597.75</v>
          </cell>
          <cell r="O964">
            <v>50</v>
          </cell>
          <cell r="Q964">
            <v>0</v>
          </cell>
        </row>
        <row r="965">
          <cell r="G965" t="str">
            <v>PROVISION FOR LOCAL SALES TAX - DELHI</v>
          </cell>
          <cell r="I965">
            <v>-114146.79</v>
          </cell>
          <cell r="J965">
            <v>115088</v>
          </cell>
          <cell r="K965">
            <v>167140.21</v>
          </cell>
          <cell r="L965">
            <v>-166199</v>
          </cell>
          <cell r="O965">
            <v>50</v>
          </cell>
          <cell r="Q965">
            <v>0</v>
          </cell>
        </row>
        <row r="966">
          <cell r="G966" t="str">
            <v>LEGAL &amp; CONSULTACY FEES</v>
          </cell>
          <cell r="I966">
            <v>-275</v>
          </cell>
          <cell r="J966">
            <v>550</v>
          </cell>
          <cell r="K966">
            <v>550</v>
          </cell>
          <cell r="L966">
            <v>-275</v>
          </cell>
          <cell r="N966">
            <v>-275</v>
          </cell>
          <cell r="O966" t="str">
            <v>z</v>
          </cell>
          <cell r="Q966">
            <v>0</v>
          </cell>
          <cell r="U966">
            <v>-34030</v>
          </cell>
        </row>
        <row r="967">
          <cell r="G967" t="str">
            <v>SALARIES &amp; WAGES PAYABLE</v>
          </cell>
          <cell r="I967">
            <v>-39747</v>
          </cell>
          <cell r="J967">
            <v>58047</v>
          </cell>
          <cell r="K967">
            <v>31247</v>
          </cell>
          <cell r="L967">
            <v>-12947</v>
          </cell>
          <cell r="N967">
            <v>-12947</v>
          </cell>
          <cell r="O967" t="str">
            <v>z</v>
          </cell>
          <cell r="Q967">
            <v>0</v>
          </cell>
        </row>
        <row r="968">
          <cell r="G968" t="str">
            <v>RENT FOR PRODUCTION PREMISES</v>
          </cell>
          <cell r="I968">
            <v>0</v>
          </cell>
          <cell r="J968">
            <v>0</v>
          </cell>
          <cell r="K968">
            <v>0</v>
          </cell>
          <cell r="L968">
            <v>0</v>
          </cell>
          <cell r="N968">
            <v>0</v>
          </cell>
          <cell r="O968" t="str">
            <v>z</v>
          </cell>
          <cell r="Q968">
            <v>0</v>
          </cell>
        </row>
        <row r="969">
          <cell r="G969" t="str">
            <v>RENT FOR OFFICE PREMISES</v>
          </cell>
          <cell r="I969">
            <v>-11621</v>
          </cell>
          <cell r="J969">
            <v>13711</v>
          </cell>
          <cell r="K969">
            <v>11715</v>
          </cell>
          <cell r="L969">
            <v>-9625</v>
          </cell>
          <cell r="N969">
            <v>-9625</v>
          </cell>
          <cell r="O969" t="str">
            <v>z</v>
          </cell>
          <cell r="Q969">
            <v>0</v>
          </cell>
        </row>
        <row r="970">
          <cell r="G970" t="str">
            <v>RENT FOR WAREHOUSE</v>
          </cell>
          <cell r="I970">
            <v>14322</v>
          </cell>
          <cell r="J970">
            <v>14412</v>
          </cell>
          <cell r="K970">
            <v>14412</v>
          </cell>
          <cell r="L970">
            <v>14322</v>
          </cell>
          <cell r="N970">
            <v>14322</v>
          </cell>
          <cell r="O970" t="str">
            <v>z</v>
          </cell>
          <cell r="Q970">
            <v>0</v>
          </cell>
        </row>
        <row r="971">
          <cell r="G971" t="str">
            <v>2 CS &amp; A</v>
          </cell>
          <cell r="I971">
            <v>0</v>
          </cell>
          <cell r="J971">
            <v>0</v>
          </cell>
          <cell r="K971">
            <v>0</v>
          </cell>
          <cell r="L971">
            <v>0</v>
          </cell>
          <cell r="N971">
            <v>0</v>
          </cell>
          <cell r="O971" t="str">
            <v>z</v>
          </cell>
          <cell r="Q971">
            <v>0</v>
          </cell>
        </row>
        <row r="972">
          <cell r="G972" t="str">
            <v>TRINITY</v>
          </cell>
          <cell r="I972">
            <v>0</v>
          </cell>
          <cell r="J972">
            <v>0</v>
          </cell>
          <cell r="K972">
            <v>0</v>
          </cell>
          <cell r="L972">
            <v>0</v>
          </cell>
          <cell r="N972">
            <v>0</v>
          </cell>
          <cell r="O972" t="str">
            <v>z</v>
          </cell>
          <cell r="Q972">
            <v>0</v>
          </cell>
        </row>
        <row r="973">
          <cell r="G973" t="str">
            <v>ACME AIRFROST IND PVT. LTD.</v>
          </cell>
          <cell r="I973">
            <v>0</v>
          </cell>
          <cell r="J973">
            <v>0</v>
          </cell>
          <cell r="K973">
            <v>0</v>
          </cell>
          <cell r="L973">
            <v>0</v>
          </cell>
          <cell r="N973">
            <v>0</v>
          </cell>
          <cell r="O973" t="str">
            <v>z</v>
          </cell>
          <cell r="Q973">
            <v>0</v>
          </cell>
        </row>
        <row r="974">
          <cell r="G974" t="str">
            <v>ASSOCIATED  ROAD CARRIERS LIMITED</v>
          </cell>
          <cell r="I974">
            <v>0</v>
          </cell>
          <cell r="J974">
            <v>0</v>
          </cell>
          <cell r="K974">
            <v>0</v>
          </cell>
          <cell r="L974">
            <v>0</v>
          </cell>
          <cell r="N974">
            <v>0</v>
          </cell>
          <cell r="O974" t="str">
            <v>z</v>
          </cell>
          <cell r="Q974">
            <v>0</v>
          </cell>
        </row>
        <row r="975">
          <cell r="G975" t="str">
            <v>BASANT BETONS</v>
          </cell>
          <cell r="I975">
            <v>0</v>
          </cell>
          <cell r="J975">
            <v>0</v>
          </cell>
          <cell r="K975">
            <v>0</v>
          </cell>
          <cell r="L975">
            <v>0</v>
          </cell>
          <cell r="N975">
            <v>0</v>
          </cell>
          <cell r="O975" t="str">
            <v>z</v>
          </cell>
          <cell r="Q975">
            <v>0</v>
          </cell>
        </row>
        <row r="976">
          <cell r="G976" t="str">
            <v>BHARAT ENGINEERS</v>
          </cell>
          <cell r="I976">
            <v>0</v>
          </cell>
          <cell r="J976">
            <v>0</v>
          </cell>
          <cell r="K976">
            <v>0</v>
          </cell>
          <cell r="L976">
            <v>0</v>
          </cell>
          <cell r="N976">
            <v>0</v>
          </cell>
          <cell r="O976" t="str">
            <v>z</v>
          </cell>
          <cell r="Q976">
            <v>0</v>
          </cell>
        </row>
        <row r="977">
          <cell r="G977" t="str">
            <v>BHAVANI FURNITURE WORKS</v>
          </cell>
          <cell r="I977">
            <v>0</v>
          </cell>
          <cell r="J977">
            <v>0</v>
          </cell>
          <cell r="K977">
            <v>0</v>
          </cell>
          <cell r="L977">
            <v>0</v>
          </cell>
          <cell r="N977">
            <v>0</v>
          </cell>
          <cell r="O977" t="str">
            <v>z</v>
          </cell>
          <cell r="Q977">
            <v>0</v>
          </cell>
        </row>
        <row r="978">
          <cell r="G978" t="str">
            <v>BALKAN PLACEMENTS</v>
          </cell>
          <cell r="I978">
            <v>0</v>
          </cell>
          <cell r="J978">
            <v>0</v>
          </cell>
          <cell r="K978">
            <v>0</v>
          </cell>
          <cell r="L978">
            <v>0</v>
          </cell>
          <cell r="N978">
            <v>0</v>
          </cell>
          <cell r="O978" t="str">
            <v>z</v>
          </cell>
          <cell r="Q978">
            <v>0</v>
          </cell>
        </row>
        <row r="979">
          <cell r="G979" t="str">
            <v>BASANT TILES</v>
          </cell>
          <cell r="I979">
            <v>0</v>
          </cell>
          <cell r="J979">
            <v>0</v>
          </cell>
          <cell r="K979">
            <v>0</v>
          </cell>
          <cell r="L979">
            <v>0</v>
          </cell>
          <cell r="N979">
            <v>0</v>
          </cell>
          <cell r="O979" t="str">
            <v>z</v>
          </cell>
          <cell r="Q979">
            <v>0</v>
          </cell>
        </row>
        <row r="980">
          <cell r="G980" t="str">
            <v>CONCORDE</v>
          </cell>
          <cell r="I980">
            <v>0</v>
          </cell>
          <cell r="J980">
            <v>0</v>
          </cell>
          <cell r="K980">
            <v>0</v>
          </cell>
          <cell r="L980">
            <v>0</v>
          </cell>
          <cell r="N980">
            <v>0</v>
          </cell>
          <cell r="O980" t="str">
            <v>z</v>
          </cell>
          <cell r="Q980">
            <v>0</v>
          </cell>
        </row>
        <row r="981">
          <cell r="G981" t="str">
            <v>CARRIER AIRCON LIMITED</v>
          </cell>
          <cell r="I981">
            <v>0</v>
          </cell>
          <cell r="J981">
            <v>0</v>
          </cell>
          <cell r="K981">
            <v>0</v>
          </cell>
          <cell r="L981">
            <v>0</v>
          </cell>
          <cell r="N981">
            <v>0</v>
          </cell>
          <cell r="O981" t="str">
            <v>z</v>
          </cell>
          <cell r="Q981">
            <v>0</v>
          </cell>
        </row>
        <row r="982">
          <cell r="G982" t="str">
            <v>C G FARMS</v>
          </cell>
          <cell r="I982">
            <v>0</v>
          </cell>
          <cell r="J982">
            <v>632</v>
          </cell>
          <cell r="K982">
            <v>885</v>
          </cell>
          <cell r="L982">
            <v>-253</v>
          </cell>
          <cell r="N982">
            <v>-253</v>
          </cell>
          <cell r="O982" t="str">
            <v>z</v>
          </cell>
          <cell r="Q982">
            <v>0</v>
          </cell>
        </row>
        <row r="983">
          <cell r="G983" t="str">
            <v>CHOUDHARY INTERNATIONAL</v>
          </cell>
          <cell r="I983">
            <v>0</v>
          </cell>
          <cell r="J983">
            <v>0</v>
          </cell>
          <cell r="K983">
            <v>684</v>
          </cell>
          <cell r="L983">
            <v>-684</v>
          </cell>
          <cell r="N983">
            <v>-684</v>
          </cell>
          <cell r="O983" t="str">
            <v>z</v>
          </cell>
          <cell r="Q983">
            <v>0</v>
          </cell>
        </row>
        <row r="984">
          <cell r="G984" t="str">
            <v>C. N. GANDHEVIA CLEAING &amp; FORWARDING AGENTS P. LTD</v>
          </cell>
          <cell r="I984">
            <v>0</v>
          </cell>
          <cell r="J984">
            <v>0</v>
          </cell>
          <cell r="K984">
            <v>232</v>
          </cell>
          <cell r="L984">
            <v>-232</v>
          </cell>
          <cell r="N984">
            <v>-232</v>
          </cell>
          <cell r="O984" t="str">
            <v>z</v>
          </cell>
          <cell r="Q984">
            <v>0</v>
          </cell>
        </row>
        <row r="985">
          <cell r="G985" t="str">
            <v>DHL EXPRESS DIV. OF AIRFRIEGHT LTD.</v>
          </cell>
          <cell r="I985">
            <v>-430</v>
          </cell>
          <cell r="J985">
            <v>430</v>
          </cell>
          <cell r="K985">
            <v>1126</v>
          </cell>
          <cell r="L985">
            <v>-1126</v>
          </cell>
          <cell r="N985">
            <v>-1126</v>
          </cell>
          <cell r="O985" t="str">
            <v>z</v>
          </cell>
          <cell r="Q985">
            <v>0</v>
          </cell>
        </row>
        <row r="986">
          <cell r="G986" t="str">
            <v>ELJAY IMPEX</v>
          </cell>
          <cell r="I986">
            <v>0</v>
          </cell>
          <cell r="J986">
            <v>0</v>
          </cell>
          <cell r="K986">
            <v>1019</v>
          </cell>
          <cell r="L986">
            <v>-1019</v>
          </cell>
          <cell r="N986">
            <v>-1019</v>
          </cell>
          <cell r="O986" t="str">
            <v>z</v>
          </cell>
          <cell r="Q986">
            <v>0</v>
          </cell>
        </row>
        <row r="987">
          <cell r="G987" t="str">
            <v>EXCEL LOGISTICS PVT. LTD.</v>
          </cell>
          <cell r="I987">
            <v>0</v>
          </cell>
          <cell r="J987">
            <v>0</v>
          </cell>
          <cell r="K987">
            <v>0</v>
          </cell>
          <cell r="L987">
            <v>0</v>
          </cell>
          <cell r="N987">
            <v>0</v>
          </cell>
          <cell r="O987" t="str">
            <v>z</v>
          </cell>
          <cell r="Q987">
            <v>0</v>
          </cell>
        </row>
        <row r="988">
          <cell r="G988" t="str">
            <v>EXCEL PEST CONTROL</v>
          </cell>
          <cell r="I988">
            <v>0</v>
          </cell>
          <cell r="J988">
            <v>0</v>
          </cell>
          <cell r="K988">
            <v>0</v>
          </cell>
          <cell r="L988">
            <v>0</v>
          </cell>
          <cell r="N988">
            <v>0</v>
          </cell>
          <cell r="O988" t="str">
            <v>z</v>
          </cell>
          <cell r="Q988">
            <v>0</v>
          </cell>
        </row>
        <row r="989">
          <cell r="G989" t="str">
            <v>FURTADO &amp; CO.</v>
          </cell>
          <cell r="I989">
            <v>0</v>
          </cell>
          <cell r="J989">
            <v>0</v>
          </cell>
          <cell r="K989">
            <v>237</v>
          </cell>
          <cell r="L989">
            <v>-237</v>
          </cell>
          <cell r="N989">
            <v>-237</v>
          </cell>
          <cell r="O989" t="str">
            <v>z</v>
          </cell>
          <cell r="Q989">
            <v>0</v>
          </cell>
        </row>
        <row r="990">
          <cell r="G990" t="str">
            <v>FIRST FLIGHT COURIER PVT.LTD</v>
          </cell>
          <cell r="I990">
            <v>0</v>
          </cell>
          <cell r="J990">
            <v>79</v>
          </cell>
          <cell r="K990">
            <v>79</v>
          </cell>
          <cell r="L990">
            <v>0</v>
          </cell>
          <cell r="N990">
            <v>0</v>
          </cell>
          <cell r="O990" t="str">
            <v>z</v>
          </cell>
          <cell r="Q990">
            <v>0</v>
          </cell>
        </row>
        <row r="991">
          <cell r="G991" t="str">
            <v>F. G. ELECTRIC WORKS</v>
          </cell>
          <cell r="I991">
            <v>0</v>
          </cell>
          <cell r="J991">
            <v>0</v>
          </cell>
          <cell r="K991">
            <v>0</v>
          </cell>
          <cell r="L991">
            <v>0</v>
          </cell>
          <cell r="N991">
            <v>0</v>
          </cell>
          <cell r="O991" t="str">
            <v>z</v>
          </cell>
          <cell r="Q991">
            <v>0</v>
          </cell>
        </row>
        <row r="992">
          <cell r="G992" t="str">
            <v>ST. FRANCIS XAVIER'S PEST CONTROL SERVICES</v>
          </cell>
          <cell r="I992">
            <v>0</v>
          </cell>
          <cell r="J992">
            <v>88</v>
          </cell>
          <cell r="K992">
            <v>88</v>
          </cell>
          <cell r="L992">
            <v>0</v>
          </cell>
          <cell r="N992">
            <v>0</v>
          </cell>
          <cell r="O992" t="str">
            <v>z</v>
          </cell>
          <cell r="Q992">
            <v>0</v>
          </cell>
        </row>
        <row r="993">
          <cell r="G993" t="str">
            <v>GUPTA CARPET SERVICES</v>
          </cell>
          <cell r="I993">
            <v>-88</v>
          </cell>
          <cell r="J993">
            <v>88</v>
          </cell>
          <cell r="K993">
            <v>88</v>
          </cell>
          <cell r="L993">
            <v>-88</v>
          </cell>
          <cell r="N993">
            <v>-88</v>
          </cell>
          <cell r="O993" t="str">
            <v>z</v>
          </cell>
          <cell r="Q993">
            <v>0</v>
          </cell>
        </row>
        <row r="994">
          <cell r="G994" t="str">
            <v>G.D.ENTERPRISES</v>
          </cell>
          <cell r="I994">
            <v>0</v>
          </cell>
          <cell r="J994">
            <v>0</v>
          </cell>
          <cell r="K994">
            <v>0</v>
          </cell>
          <cell r="L994">
            <v>0</v>
          </cell>
          <cell r="N994">
            <v>0</v>
          </cell>
          <cell r="O994" t="str">
            <v>z</v>
          </cell>
          <cell r="Q994">
            <v>0</v>
          </cell>
        </row>
        <row r="995">
          <cell r="G995" t="str">
            <v>GREEN ROADLINES CHANDIGARH</v>
          </cell>
          <cell r="I995">
            <v>0</v>
          </cell>
          <cell r="J995">
            <v>0</v>
          </cell>
          <cell r="K995">
            <v>2263</v>
          </cell>
          <cell r="L995">
            <v>-2263</v>
          </cell>
          <cell r="N995">
            <v>-2263</v>
          </cell>
          <cell r="O995" t="str">
            <v>z</v>
          </cell>
          <cell r="Q995">
            <v>0</v>
          </cell>
        </row>
        <row r="996">
          <cell r="G996" t="str">
            <v>HERAMB COMPUTER SYSTEMS</v>
          </cell>
          <cell r="I996">
            <v>0</v>
          </cell>
          <cell r="J996">
            <v>0</v>
          </cell>
          <cell r="K996">
            <v>0</v>
          </cell>
          <cell r="L996">
            <v>0</v>
          </cell>
          <cell r="N996">
            <v>0</v>
          </cell>
          <cell r="O996" t="str">
            <v>z</v>
          </cell>
          <cell r="Q996">
            <v>0</v>
          </cell>
        </row>
        <row r="997">
          <cell r="G997" t="str">
            <v>HERALD PUBLICATIONS PVT. LTD.</v>
          </cell>
          <cell r="I997">
            <v>-801</v>
          </cell>
          <cell r="J997">
            <v>801</v>
          </cell>
          <cell r="K997">
            <v>0</v>
          </cell>
          <cell r="L997">
            <v>0</v>
          </cell>
          <cell r="N997">
            <v>0</v>
          </cell>
          <cell r="O997" t="str">
            <v>z</v>
          </cell>
          <cell r="Q997">
            <v>0</v>
          </cell>
        </row>
        <row r="998">
          <cell r="G998" t="str">
            <v>INSYST BUSINESS SOLUTIONS PVT. LTD</v>
          </cell>
          <cell r="I998">
            <v>0</v>
          </cell>
          <cell r="J998">
            <v>0</v>
          </cell>
          <cell r="K998">
            <v>330</v>
          </cell>
          <cell r="L998">
            <v>-330</v>
          </cell>
          <cell r="N998">
            <v>-330</v>
          </cell>
          <cell r="O998" t="str">
            <v>z</v>
          </cell>
          <cell r="Q998">
            <v>0</v>
          </cell>
        </row>
        <row r="999">
          <cell r="G999" t="str">
            <v>INDIAN EXPRESS NEWS PAPERS</v>
          </cell>
          <cell r="I999">
            <v>0</v>
          </cell>
          <cell r="J999">
            <v>0</v>
          </cell>
          <cell r="K999">
            <v>0</v>
          </cell>
          <cell r="L999">
            <v>0</v>
          </cell>
          <cell r="N999">
            <v>0</v>
          </cell>
          <cell r="O999" t="str">
            <v>z</v>
          </cell>
          <cell r="Q999">
            <v>0</v>
          </cell>
        </row>
        <row r="1000">
          <cell r="G1000" t="str">
            <v>INDUSTRIAL FILTRATION SERVICES</v>
          </cell>
          <cell r="I1000">
            <v>0</v>
          </cell>
          <cell r="J1000">
            <v>0</v>
          </cell>
          <cell r="K1000">
            <v>0</v>
          </cell>
          <cell r="L1000">
            <v>0</v>
          </cell>
          <cell r="N1000">
            <v>0</v>
          </cell>
          <cell r="O1000" t="str">
            <v>z</v>
          </cell>
          <cell r="Q1000">
            <v>0</v>
          </cell>
        </row>
        <row r="1001">
          <cell r="G1001" t="str">
            <v>INDO-GERMAN SERVICE CENTRE</v>
          </cell>
          <cell r="I1001">
            <v>0</v>
          </cell>
          <cell r="J1001">
            <v>0</v>
          </cell>
          <cell r="K1001">
            <v>0</v>
          </cell>
          <cell r="L1001">
            <v>0</v>
          </cell>
          <cell r="N1001">
            <v>0</v>
          </cell>
          <cell r="O1001" t="str">
            <v>z</v>
          </cell>
          <cell r="Q1001">
            <v>0</v>
          </cell>
        </row>
        <row r="1002">
          <cell r="G1002" t="str">
            <v>INDUSTRIAL SECURITY CENTRE</v>
          </cell>
          <cell r="I1002">
            <v>312</v>
          </cell>
          <cell r="J1002">
            <v>311</v>
          </cell>
          <cell r="K1002">
            <v>623</v>
          </cell>
          <cell r="L1002">
            <v>0</v>
          </cell>
          <cell r="N1002">
            <v>0</v>
          </cell>
          <cell r="O1002" t="str">
            <v>z</v>
          </cell>
          <cell r="Q1002">
            <v>0</v>
          </cell>
        </row>
        <row r="1003">
          <cell r="G1003" t="str">
            <v>JK SERVICE AGENCIES</v>
          </cell>
          <cell r="I1003">
            <v>0</v>
          </cell>
          <cell r="J1003">
            <v>0</v>
          </cell>
          <cell r="K1003">
            <v>207</v>
          </cell>
          <cell r="L1003">
            <v>-207</v>
          </cell>
          <cell r="N1003">
            <v>-207</v>
          </cell>
          <cell r="O1003" t="str">
            <v>z</v>
          </cell>
          <cell r="Q1003">
            <v>0</v>
          </cell>
        </row>
        <row r="1004">
          <cell r="G1004" t="str">
            <v>KIRAN FIRE SERVICES</v>
          </cell>
          <cell r="I1004">
            <v>0</v>
          </cell>
          <cell r="J1004">
            <v>0</v>
          </cell>
          <cell r="K1004">
            <v>0</v>
          </cell>
          <cell r="L1004">
            <v>0</v>
          </cell>
          <cell r="N1004">
            <v>0</v>
          </cell>
          <cell r="O1004" t="str">
            <v>z</v>
          </cell>
          <cell r="Q1004">
            <v>0</v>
          </cell>
        </row>
        <row r="1005">
          <cell r="G1005" t="str">
            <v>KALPAKA TRANSPORT CO. LTD.</v>
          </cell>
          <cell r="I1005">
            <v>-1</v>
          </cell>
          <cell r="J1005">
            <v>0</v>
          </cell>
          <cell r="K1005">
            <v>0</v>
          </cell>
          <cell r="L1005">
            <v>-1</v>
          </cell>
          <cell r="N1005">
            <v>-1</v>
          </cell>
          <cell r="O1005" t="str">
            <v>z</v>
          </cell>
          <cell r="Q1005">
            <v>0</v>
          </cell>
        </row>
        <row r="1006">
          <cell r="G1006" t="str">
            <v>LOVELOCK &amp; LEWES</v>
          </cell>
          <cell r="I1006">
            <v>-27720</v>
          </cell>
          <cell r="J1006">
            <v>27720</v>
          </cell>
          <cell r="K1006">
            <v>0</v>
          </cell>
          <cell r="L1006">
            <v>0</v>
          </cell>
          <cell r="N1006">
            <v>0</v>
          </cell>
          <cell r="O1006" t="str">
            <v>z</v>
          </cell>
          <cell r="Q1006">
            <v>0</v>
          </cell>
        </row>
        <row r="1007">
          <cell r="G1007" t="str">
            <v>LAUREN SOFTWARE PVT. LTD</v>
          </cell>
          <cell r="I1007">
            <v>0</v>
          </cell>
          <cell r="J1007">
            <v>0</v>
          </cell>
          <cell r="K1007">
            <v>0</v>
          </cell>
          <cell r="L1007">
            <v>0</v>
          </cell>
          <cell r="N1007">
            <v>0</v>
          </cell>
          <cell r="O1007" t="str">
            <v>z</v>
          </cell>
          <cell r="Q1007">
            <v>0</v>
          </cell>
        </row>
        <row r="1008">
          <cell r="G1008" t="str">
            <v>MENEZES AIR TRAVEL</v>
          </cell>
          <cell r="I1008">
            <v>0</v>
          </cell>
          <cell r="J1008">
            <v>0</v>
          </cell>
          <cell r="K1008">
            <v>0</v>
          </cell>
          <cell r="L1008">
            <v>0</v>
          </cell>
          <cell r="N1008">
            <v>0</v>
          </cell>
          <cell r="O1008" t="str">
            <v>z</v>
          </cell>
          <cell r="Q1008">
            <v>0</v>
          </cell>
        </row>
        <row r="1009">
          <cell r="G1009" t="str">
            <v>MICROCITY INDIA LTD.</v>
          </cell>
          <cell r="I1009">
            <v>0</v>
          </cell>
          <cell r="J1009">
            <v>0</v>
          </cell>
          <cell r="K1009">
            <v>0</v>
          </cell>
          <cell r="L1009">
            <v>0</v>
          </cell>
          <cell r="N1009">
            <v>0</v>
          </cell>
          <cell r="O1009" t="str">
            <v>z</v>
          </cell>
          <cell r="Q1009">
            <v>0</v>
          </cell>
        </row>
        <row r="1010">
          <cell r="G1010" t="str">
            <v>METAFORM INDUSTRIES</v>
          </cell>
          <cell r="I1010">
            <v>0</v>
          </cell>
          <cell r="J1010">
            <v>0</v>
          </cell>
          <cell r="K1010">
            <v>0</v>
          </cell>
          <cell r="L1010">
            <v>0</v>
          </cell>
          <cell r="N1010">
            <v>0</v>
          </cell>
          <cell r="O1010" t="str">
            <v>z</v>
          </cell>
          <cell r="Q1010">
            <v>0</v>
          </cell>
        </row>
        <row r="1011">
          <cell r="G1011" t="str">
            <v>MAC INPHASYST PVT. LTD.</v>
          </cell>
          <cell r="I1011">
            <v>0</v>
          </cell>
          <cell r="J1011">
            <v>0</v>
          </cell>
          <cell r="K1011">
            <v>0</v>
          </cell>
          <cell r="L1011">
            <v>0</v>
          </cell>
          <cell r="N1011">
            <v>0</v>
          </cell>
          <cell r="O1011" t="str">
            <v>z</v>
          </cell>
          <cell r="Q1011">
            <v>0</v>
          </cell>
        </row>
        <row r="1012">
          <cell r="G1012" t="str">
            <v>NIMBUS</v>
          </cell>
          <cell r="I1012">
            <v>0</v>
          </cell>
          <cell r="J1012">
            <v>0</v>
          </cell>
          <cell r="K1012">
            <v>0</v>
          </cell>
          <cell r="L1012">
            <v>0</v>
          </cell>
          <cell r="N1012">
            <v>0</v>
          </cell>
          <cell r="O1012" t="str">
            <v>z</v>
          </cell>
          <cell r="Q1012">
            <v>0</v>
          </cell>
        </row>
        <row r="1013">
          <cell r="G1013" t="str">
            <v>NAGARKOT CLEARING AGENCY</v>
          </cell>
          <cell r="I1013">
            <v>0</v>
          </cell>
          <cell r="J1013">
            <v>0</v>
          </cell>
          <cell r="K1013">
            <v>1431</v>
          </cell>
          <cell r="L1013">
            <v>-1431</v>
          </cell>
          <cell r="N1013">
            <v>-1431</v>
          </cell>
          <cell r="O1013" t="str">
            <v>z</v>
          </cell>
          <cell r="Q1013">
            <v>0</v>
          </cell>
        </row>
        <row r="1014">
          <cell r="G1014" t="str">
            <v>NORTH EASTERN CARRYING CORPN.</v>
          </cell>
          <cell r="I1014">
            <v>-343</v>
          </cell>
          <cell r="J1014">
            <v>4180</v>
          </cell>
          <cell r="K1014">
            <v>8328</v>
          </cell>
          <cell r="L1014">
            <v>-4491</v>
          </cell>
          <cell r="N1014">
            <v>-4491</v>
          </cell>
          <cell r="O1014" t="str">
            <v>z</v>
          </cell>
          <cell r="Q1014">
            <v>0</v>
          </cell>
        </row>
        <row r="1015">
          <cell r="G1015" t="str">
            <v>NEW NATIONAL ELECTRICAL</v>
          </cell>
          <cell r="I1015">
            <v>0</v>
          </cell>
          <cell r="J1015">
            <v>0</v>
          </cell>
          <cell r="K1015">
            <v>0</v>
          </cell>
          <cell r="L1015">
            <v>0</v>
          </cell>
          <cell r="N1015">
            <v>0</v>
          </cell>
          <cell r="O1015" t="str">
            <v>z</v>
          </cell>
          <cell r="Q1015">
            <v>0</v>
          </cell>
        </row>
        <row r="1016">
          <cell r="G1016" t="str">
            <v>PIPE DREAMS</v>
          </cell>
          <cell r="I1016">
            <v>-857</v>
          </cell>
          <cell r="J1016">
            <v>857</v>
          </cell>
          <cell r="K1016">
            <v>0</v>
          </cell>
          <cell r="L1016">
            <v>0</v>
          </cell>
          <cell r="N1016">
            <v>0</v>
          </cell>
          <cell r="O1016" t="str">
            <v>z</v>
          </cell>
          <cell r="Q1016">
            <v>0</v>
          </cell>
        </row>
        <row r="1017">
          <cell r="G1017" t="str">
            <v>PADMAVI ENGINEERS</v>
          </cell>
          <cell r="I1017">
            <v>0</v>
          </cell>
          <cell r="J1017">
            <v>0</v>
          </cell>
          <cell r="K1017">
            <v>0</v>
          </cell>
          <cell r="L1017">
            <v>0</v>
          </cell>
          <cell r="N1017">
            <v>0</v>
          </cell>
          <cell r="O1017" t="str">
            <v>z</v>
          </cell>
          <cell r="Q1017">
            <v>0</v>
          </cell>
        </row>
        <row r="1018">
          <cell r="G1018" t="str">
            <v>PARIMAL KULKARNI</v>
          </cell>
          <cell r="I1018">
            <v>-248</v>
          </cell>
          <cell r="J1018">
            <v>248</v>
          </cell>
          <cell r="K1018">
            <v>248</v>
          </cell>
          <cell r="L1018">
            <v>-248</v>
          </cell>
          <cell r="N1018">
            <v>-248</v>
          </cell>
          <cell r="O1018" t="str">
            <v>z</v>
          </cell>
          <cell r="Q1018">
            <v>0</v>
          </cell>
        </row>
        <row r="1019">
          <cell r="G1019" t="str">
            <v>P.K.MUTHA &amp; CO.</v>
          </cell>
          <cell r="I1019">
            <v>-55</v>
          </cell>
          <cell r="J1019">
            <v>55</v>
          </cell>
          <cell r="K1019">
            <v>0</v>
          </cell>
          <cell r="L1019">
            <v>0</v>
          </cell>
          <cell r="N1019">
            <v>0</v>
          </cell>
          <cell r="O1019" t="str">
            <v>z</v>
          </cell>
          <cell r="Q1019">
            <v>0</v>
          </cell>
        </row>
        <row r="1020">
          <cell r="G1020" t="str">
            <v>PATEL ROADWAYS LTD.</v>
          </cell>
          <cell r="I1020">
            <v>0</v>
          </cell>
          <cell r="J1020">
            <v>0</v>
          </cell>
          <cell r="K1020">
            <v>0</v>
          </cell>
          <cell r="L1020">
            <v>0</v>
          </cell>
          <cell r="N1020">
            <v>0</v>
          </cell>
          <cell r="O1020" t="str">
            <v>z</v>
          </cell>
          <cell r="Q1020">
            <v>0</v>
          </cell>
        </row>
        <row r="1021">
          <cell r="G1021" t="str">
            <v>P.V.BHANDARE &amp; CO</v>
          </cell>
          <cell r="I1021">
            <v>0</v>
          </cell>
          <cell r="J1021">
            <v>58</v>
          </cell>
          <cell r="K1021">
            <v>58</v>
          </cell>
          <cell r="L1021">
            <v>0</v>
          </cell>
          <cell r="N1021">
            <v>0</v>
          </cell>
          <cell r="O1021" t="str">
            <v>z</v>
          </cell>
          <cell r="Q1021">
            <v>0</v>
          </cell>
        </row>
        <row r="1022">
          <cell r="G1022" t="str">
            <v>RAMESH MAKHIJA &amp; CO</v>
          </cell>
          <cell r="I1022">
            <v>-688</v>
          </cell>
          <cell r="J1022">
            <v>688</v>
          </cell>
          <cell r="K1022">
            <v>688</v>
          </cell>
          <cell r="L1022">
            <v>-688</v>
          </cell>
          <cell r="N1022">
            <v>-688</v>
          </cell>
          <cell r="O1022" t="str">
            <v>z</v>
          </cell>
          <cell r="Q1022">
            <v>0</v>
          </cell>
        </row>
        <row r="1023">
          <cell r="G1023" t="str">
            <v>REEMA TRANSPORT PVT. LTD.</v>
          </cell>
          <cell r="I1023">
            <v>0</v>
          </cell>
          <cell r="J1023">
            <v>64</v>
          </cell>
          <cell r="K1023">
            <v>64</v>
          </cell>
          <cell r="L1023">
            <v>0</v>
          </cell>
          <cell r="N1023">
            <v>0</v>
          </cell>
          <cell r="O1023" t="str">
            <v>z</v>
          </cell>
          <cell r="Q1023">
            <v>0</v>
          </cell>
        </row>
        <row r="1024">
          <cell r="G1024" t="str">
            <v>SPEEDAGE</v>
          </cell>
          <cell r="I1024">
            <v>0</v>
          </cell>
          <cell r="J1024">
            <v>0</v>
          </cell>
          <cell r="K1024">
            <v>0</v>
          </cell>
          <cell r="L1024">
            <v>0</v>
          </cell>
          <cell r="N1024">
            <v>0</v>
          </cell>
          <cell r="O1024" t="str">
            <v>z</v>
          </cell>
          <cell r="Q1024">
            <v>0</v>
          </cell>
        </row>
        <row r="1025">
          <cell r="G1025" t="str">
            <v>SIMCA ALUMINIUM PVT. LTD.</v>
          </cell>
          <cell r="I1025">
            <v>0</v>
          </cell>
          <cell r="J1025">
            <v>0</v>
          </cell>
          <cell r="K1025">
            <v>0</v>
          </cell>
          <cell r="L1025">
            <v>0</v>
          </cell>
          <cell r="N1025">
            <v>0</v>
          </cell>
          <cell r="O1025" t="str">
            <v>z</v>
          </cell>
          <cell r="Q1025">
            <v>0</v>
          </cell>
        </row>
        <row r="1026">
          <cell r="G1026" t="str">
            <v>SAFEXPRESS</v>
          </cell>
          <cell r="I1026">
            <v>0</v>
          </cell>
          <cell r="J1026">
            <v>2753</v>
          </cell>
          <cell r="K1026">
            <v>5647</v>
          </cell>
          <cell r="L1026">
            <v>-2894</v>
          </cell>
          <cell r="N1026">
            <v>-2894</v>
          </cell>
          <cell r="O1026" t="str">
            <v>z</v>
          </cell>
          <cell r="Q1026">
            <v>0</v>
          </cell>
        </row>
        <row r="1027">
          <cell r="G1027" t="str">
            <v>SUNNY FORESIGHT P. LTD.</v>
          </cell>
          <cell r="I1027">
            <v>0</v>
          </cell>
          <cell r="J1027">
            <v>0</v>
          </cell>
          <cell r="K1027">
            <v>0</v>
          </cell>
          <cell r="L1027">
            <v>0</v>
          </cell>
          <cell r="N1027">
            <v>0</v>
          </cell>
          <cell r="O1027" t="str">
            <v>z</v>
          </cell>
          <cell r="Q1027">
            <v>0</v>
          </cell>
        </row>
        <row r="1028">
          <cell r="G1028" t="str">
            <v>SPACE HVAC SYSTEMS PRIVATE LIMITED</v>
          </cell>
          <cell r="I1028">
            <v>0</v>
          </cell>
          <cell r="J1028">
            <v>0</v>
          </cell>
          <cell r="K1028">
            <v>0</v>
          </cell>
          <cell r="L1028">
            <v>0</v>
          </cell>
          <cell r="N1028">
            <v>0</v>
          </cell>
          <cell r="O1028" t="str">
            <v>z</v>
          </cell>
          <cell r="Q1028">
            <v>0</v>
          </cell>
        </row>
        <row r="1029">
          <cell r="G1029" t="str">
            <v>SANKET ENTERPRISE</v>
          </cell>
          <cell r="I1029">
            <v>0</v>
          </cell>
          <cell r="J1029">
            <v>0</v>
          </cell>
          <cell r="K1029">
            <v>0</v>
          </cell>
          <cell r="L1029">
            <v>0</v>
          </cell>
          <cell r="N1029">
            <v>0</v>
          </cell>
          <cell r="O1029" t="str">
            <v>z</v>
          </cell>
          <cell r="Q1029">
            <v>0</v>
          </cell>
        </row>
        <row r="1030">
          <cell r="G1030" t="str">
            <v>SANDEEP R. S. KHANDEPARKER</v>
          </cell>
          <cell r="I1030">
            <v>0</v>
          </cell>
          <cell r="J1030">
            <v>0</v>
          </cell>
          <cell r="K1030">
            <v>0</v>
          </cell>
          <cell r="L1030">
            <v>0</v>
          </cell>
          <cell r="N1030">
            <v>0</v>
          </cell>
          <cell r="O1030" t="str">
            <v>z</v>
          </cell>
          <cell r="Q1030">
            <v>0</v>
          </cell>
        </row>
        <row r="1031">
          <cell r="G1031" t="str">
            <v>SENIOR TRANSLINE</v>
          </cell>
          <cell r="I1031">
            <v>0</v>
          </cell>
          <cell r="J1031">
            <v>56</v>
          </cell>
          <cell r="K1031">
            <v>987</v>
          </cell>
          <cell r="L1031">
            <v>-931</v>
          </cell>
          <cell r="N1031">
            <v>-931</v>
          </cell>
          <cell r="O1031" t="str">
            <v>z</v>
          </cell>
          <cell r="Q1031">
            <v>0</v>
          </cell>
        </row>
        <row r="1032">
          <cell r="G1032" t="str">
            <v>UNIVERSAL FABRICATION &amp; BLOWER INDUSTRIES</v>
          </cell>
          <cell r="I1032">
            <v>0</v>
          </cell>
          <cell r="J1032">
            <v>0</v>
          </cell>
          <cell r="K1032">
            <v>0</v>
          </cell>
          <cell r="L1032">
            <v>0</v>
          </cell>
          <cell r="N1032">
            <v>0</v>
          </cell>
          <cell r="O1032" t="str">
            <v>z</v>
          </cell>
          <cell r="Q1032">
            <v>0</v>
          </cell>
        </row>
        <row r="1033">
          <cell r="G1033" t="str">
            <v>VOLTAS LIMITED</v>
          </cell>
          <cell r="I1033">
            <v>0</v>
          </cell>
          <cell r="J1033">
            <v>0</v>
          </cell>
          <cell r="K1033">
            <v>0</v>
          </cell>
          <cell r="L1033">
            <v>0</v>
          </cell>
          <cell r="N1033">
            <v>0</v>
          </cell>
          <cell r="O1033" t="str">
            <v>z</v>
          </cell>
          <cell r="Q1033">
            <v>0</v>
          </cell>
        </row>
        <row r="1034">
          <cell r="G1034" t="str">
            <v>VIJAY NURSERY</v>
          </cell>
          <cell r="I1034">
            <v>0</v>
          </cell>
          <cell r="J1034">
            <v>0</v>
          </cell>
          <cell r="K1034">
            <v>0</v>
          </cell>
          <cell r="L1034">
            <v>0</v>
          </cell>
          <cell r="N1034">
            <v>0</v>
          </cell>
          <cell r="O1034" t="str">
            <v>z</v>
          </cell>
          <cell r="Q1034">
            <v>0</v>
          </cell>
        </row>
        <row r="1035">
          <cell r="G1035" t="str">
            <v>WALLACE PHARMA LTD.</v>
          </cell>
          <cell r="I1035">
            <v>0</v>
          </cell>
          <cell r="J1035">
            <v>0</v>
          </cell>
          <cell r="K1035">
            <v>0</v>
          </cell>
          <cell r="L1035">
            <v>0</v>
          </cell>
          <cell r="N1035">
            <v>0</v>
          </cell>
          <cell r="O1035" t="str">
            <v>z</v>
          </cell>
          <cell r="Q1035">
            <v>0</v>
          </cell>
        </row>
        <row r="1036">
          <cell r="G1036" t="str">
            <v>XPS CARGO SERVICE</v>
          </cell>
          <cell r="I1036">
            <v>0</v>
          </cell>
          <cell r="J1036">
            <v>0</v>
          </cell>
          <cell r="K1036">
            <v>0</v>
          </cell>
          <cell r="L1036">
            <v>0</v>
          </cell>
          <cell r="N1036">
            <v>0</v>
          </cell>
          <cell r="O1036" t="str">
            <v>z</v>
          </cell>
          <cell r="Q1036">
            <v>0</v>
          </cell>
        </row>
        <row r="1037">
          <cell r="G1037" t="str">
            <v>YASH AGENCIES</v>
          </cell>
          <cell r="I1037">
            <v>0</v>
          </cell>
          <cell r="J1037">
            <v>0</v>
          </cell>
          <cell r="K1037">
            <v>0</v>
          </cell>
          <cell r="L1037">
            <v>0</v>
          </cell>
          <cell r="N1037">
            <v>0</v>
          </cell>
          <cell r="O1037" t="str">
            <v>z</v>
          </cell>
          <cell r="Q1037">
            <v>0</v>
          </cell>
        </row>
        <row r="1038">
          <cell r="G1038" t="str">
            <v>INTEREST - NON GROUP COMPANIES</v>
          </cell>
          <cell r="I1038">
            <v>0</v>
          </cell>
          <cell r="J1038">
            <v>0</v>
          </cell>
          <cell r="K1038">
            <v>8250</v>
          </cell>
          <cell r="L1038">
            <v>-8250</v>
          </cell>
          <cell r="N1038">
            <v>-8250</v>
          </cell>
          <cell r="O1038" t="str">
            <v>z</v>
          </cell>
          <cell r="Q1038">
            <v>0</v>
          </cell>
        </row>
        <row r="1039">
          <cell r="G1039" t="str">
            <v>IN HOUSE SERVICES</v>
          </cell>
          <cell r="I1039">
            <v>-132</v>
          </cell>
          <cell r="J1039">
            <v>132</v>
          </cell>
          <cell r="K1039">
            <v>132</v>
          </cell>
          <cell r="L1039">
            <v>-132</v>
          </cell>
          <cell r="N1039">
            <v>-132</v>
          </cell>
          <cell r="O1039" t="str">
            <v>z</v>
          </cell>
          <cell r="Q1039">
            <v>0</v>
          </cell>
        </row>
        <row r="1040">
          <cell r="G1040" t="str">
            <v>V. B. GOEL &amp; CO.</v>
          </cell>
          <cell r="I1040">
            <v>-1788</v>
          </cell>
          <cell r="J1040">
            <v>1788</v>
          </cell>
          <cell r="K1040">
            <v>0</v>
          </cell>
          <cell r="L1040">
            <v>0</v>
          </cell>
          <cell r="N1040">
            <v>0</v>
          </cell>
          <cell r="O1040" t="str">
            <v>z</v>
          </cell>
          <cell r="Q1040">
            <v>0</v>
          </cell>
        </row>
        <row r="1041">
          <cell r="G1041" t="str">
            <v>C. N. GANDHEVIA CLEAING &amp; FORWARDING AGENTS P. LTD</v>
          </cell>
          <cell r="I1041">
            <v>0</v>
          </cell>
          <cell r="J1041">
            <v>0</v>
          </cell>
          <cell r="K1041">
            <v>0</v>
          </cell>
          <cell r="L1041">
            <v>0</v>
          </cell>
          <cell r="N1041">
            <v>0</v>
          </cell>
          <cell r="O1041" t="str">
            <v>z</v>
          </cell>
          <cell r="Q1041">
            <v>0</v>
          </cell>
          <cell r="U1041">
            <v>0</v>
          </cell>
        </row>
        <row r="1042">
          <cell r="G1042" t="str">
            <v>FURTADO &amp; CO.</v>
          </cell>
          <cell r="I1042">
            <v>0</v>
          </cell>
          <cell r="J1042">
            <v>0</v>
          </cell>
          <cell r="K1042">
            <v>0</v>
          </cell>
          <cell r="L1042">
            <v>0</v>
          </cell>
          <cell r="N1042">
            <v>0</v>
          </cell>
          <cell r="O1042" t="str">
            <v>z</v>
          </cell>
          <cell r="Q1042">
            <v>0</v>
          </cell>
        </row>
        <row r="1043">
          <cell r="G1043" t="str">
            <v>NAGARKOT CLEARING AGENCY</v>
          </cell>
          <cell r="I1043">
            <v>0</v>
          </cell>
          <cell r="J1043">
            <v>0</v>
          </cell>
          <cell r="K1043">
            <v>0</v>
          </cell>
          <cell r="L1043">
            <v>0</v>
          </cell>
          <cell r="N1043">
            <v>0</v>
          </cell>
          <cell r="O1043" t="str">
            <v>z</v>
          </cell>
          <cell r="Q1043">
            <v>0</v>
          </cell>
        </row>
        <row r="1044">
          <cell r="G1044" t="str">
            <v>SALARIES &amp; WAGES PAYABLE</v>
          </cell>
          <cell r="H1044" t="str">
            <v>Salaries &amp; Wages Payable</v>
          </cell>
          <cell r="I1044">
            <v>-94911.360000000001</v>
          </cell>
          <cell r="J1044">
            <v>1049502</v>
          </cell>
          <cell r="K1044">
            <v>989121.08</v>
          </cell>
          <cell r="L1044">
            <v>-34530.44</v>
          </cell>
          <cell r="N1044">
            <v>-34530.44</v>
          </cell>
          <cell r="O1044" t="str">
            <v>z</v>
          </cell>
          <cell r="Q1044">
            <v>0</v>
          </cell>
          <cell r="U1044">
            <v>-1697598.44</v>
          </cell>
        </row>
        <row r="1045">
          <cell r="G1045" t="str">
            <v>PROVISION FOR INCENTIVE</v>
          </cell>
          <cell r="H1045" t="str">
            <v>Provision for Incentives</v>
          </cell>
          <cell r="I1045">
            <v>-1806750</v>
          </cell>
          <cell r="J1045">
            <v>128652</v>
          </cell>
          <cell r="K1045">
            <v>0</v>
          </cell>
          <cell r="L1045">
            <v>-1663068</v>
          </cell>
          <cell r="N1045">
            <v>-1663068</v>
          </cell>
          <cell r="O1045" t="str">
            <v>z</v>
          </cell>
          <cell r="Q1045">
            <v>0</v>
          </cell>
        </row>
        <row r="1046">
          <cell r="G1046" t="str">
            <v>UNION FEES PAYABLE</v>
          </cell>
          <cell r="I1046">
            <v>0</v>
          </cell>
          <cell r="J1046">
            <v>15</v>
          </cell>
          <cell r="K1046">
            <v>15</v>
          </cell>
          <cell r="L1046">
            <v>0</v>
          </cell>
          <cell r="N1046">
            <v>0</v>
          </cell>
          <cell r="O1046" t="str">
            <v>z</v>
          </cell>
          <cell r="Q1046">
            <v>0</v>
          </cell>
        </row>
        <row r="1047">
          <cell r="G1047" t="str">
            <v>OTHER REMAINING LIABILITIES</v>
          </cell>
          <cell r="H1047" t="str">
            <v>Other liabilities</v>
          </cell>
          <cell r="I1047">
            <v>-889638</v>
          </cell>
          <cell r="J1047">
            <v>500000</v>
          </cell>
          <cell r="K1047">
            <v>0</v>
          </cell>
          <cell r="L1047">
            <v>-389638</v>
          </cell>
          <cell r="N1047">
            <v>-389638</v>
          </cell>
          <cell r="O1047" t="str">
            <v>z</v>
          </cell>
          <cell r="Q1047">
            <v>0</v>
          </cell>
          <cell r="U1047">
            <v>-1993494.14</v>
          </cell>
        </row>
        <row r="1048">
          <cell r="G1048" t="str">
            <v>COSMED ANALYTICAL &amp; CENTRAL SERVICES</v>
          </cell>
          <cell r="H1048" t="str">
            <v>COSMED ANALYTICAL &amp; CENTRAL SERVICES</v>
          </cell>
          <cell r="I1048">
            <v>10036.84</v>
          </cell>
          <cell r="J1048">
            <v>0</v>
          </cell>
          <cell r="K1048">
            <v>0</v>
          </cell>
          <cell r="L1048">
            <v>10036.84</v>
          </cell>
          <cell r="N1048">
            <v>10036.84</v>
          </cell>
          <cell r="O1048" t="str">
            <v>z</v>
          </cell>
          <cell r="Q1048">
            <v>0</v>
          </cell>
        </row>
        <row r="1049">
          <cell r="G1049" t="str">
            <v>WALLACE PHARMA LTD.</v>
          </cell>
          <cell r="H1049" t="str">
            <v>WALLACE PHARMA LTD.</v>
          </cell>
          <cell r="I1049">
            <v>9773.52</v>
          </cell>
          <cell r="J1049">
            <v>0</v>
          </cell>
          <cell r="K1049">
            <v>0</v>
          </cell>
          <cell r="L1049">
            <v>9773.52</v>
          </cell>
          <cell r="N1049">
            <v>9773.52</v>
          </cell>
          <cell r="O1049" t="str">
            <v>z</v>
          </cell>
          <cell r="Q1049">
            <v>0</v>
          </cell>
        </row>
        <row r="1050">
          <cell r="G1050" t="str">
            <v>CFL PHARMA LTD.</v>
          </cell>
          <cell r="H1050" t="str">
            <v>CFL Pharma Ltd.</v>
          </cell>
          <cell r="I1050">
            <v>-1717.06</v>
          </cell>
          <cell r="J1050">
            <v>0</v>
          </cell>
          <cell r="K1050">
            <v>0</v>
          </cell>
          <cell r="L1050">
            <v>-1717.06</v>
          </cell>
          <cell r="N1050">
            <v>-1717.06</v>
          </cell>
          <cell r="O1050" t="str">
            <v>z</v>
          </cell>
          <cell r="Q1050">
            <v>0</v>
          </cell>
        </row>
        <row r="1051">
          <cell r="G1051" t="str">
            <v>MAHARASHRA PROFESSION TAX</v>
          </cell>
          <cell r="I1051">
            <v>0</v>
          </cell>
          <cell r="J1051">
            <v>0</v>
          </cell>
          <cell r="K1051">
            <v>0</v>
          </cell>
          <cell r="L1051">
            <v>0</v>
          </cell>
          <cell r="N1051">
            <v>0</v>
          </cell>
          <cell r="O1051" t="str">
            <v>z</v>
          </cell>
          <cell r="Q1051">
            <v>0</v>
          </cell>
        </row>
        <row r="1052">
          <cell r="G1052" t="str">
            <v>BEIERSDORF (INDIA) LIMITED</v>
          </cell>
          <cell r="H1052" t="str">
            <v>BEIERSDORF (INDIA) LIMITED</v>
          </cell>
          <cell r="I1052">
            <v>-4710</v>
          </cell>
          <cell r="J1052">
            <v>0</v>
          </cell>
          <cell r="K1052">
            <v>0</v>
          </cell>
          <cell r="L1052">
            <v>-4710</v>
          </cell>
          <cell r="N1052">
            <v>-4710</v>
          </cell>
          <cell r="O1052" t="str">
            <v>z</v>
          </cell>
          <cell r="Q1052">
            <v>0</v>
          </cell>
        </row>
        <row r="1053">
          <cell r="G1053" t="str">
            <v>COLFAX  LAB. (INDIA) LIMITED</v>
          </cell>
          <cell r="H1053" t="str">
            <v>COLFAX  LAB. (INDIA) LIMITED</v>
          </cell>
          <cell r="I1053">
            <v>0</v>
          </cell>
          <cell r="J1053">
            <v>15888</v>
          </cell>
          <cell r="K1053">
            <v>15888</v>
          </cell>
          <cell r="L1053">
            <v>0</v>
          </cell>
          <cell r="N1053">
            <v>0</v>
          </cell>
          <cell r="O1053" t="str">
            <v>z</v>
          </cell>
          <cell r="Q1053">
            <v>0</v>
          </cell>
        </row>
        <row r="1054">
          <cell r="G1054" t="str">
            <v>INTEREST ACCRUED BUT NOT PAID</v>
          </cell>
          <cell r="H1054" t="str">
            <v>Interest Accrued But not Due</v>
          </cell>
          <cell r="I1054">
            <v>0</v>
          </cell>
          <cell r="J1054">
            <v>0</v>
          </cell>
          <cell r="K1054">
            <v>0</v>
          </cell>
          <cell r="L1054">
            <v>0</v>
          </cell>
          <cell r="N1054">
            <v>0</v>
          </cell>
          <cell r="O1054" t="str">
            <v>z</v>
          </cell>
          <cell r="Q1054">
            <v>0</v>
          </cell>
        </row>
        <row r="1055">
          <cell r="G1055" t="str">
            <v>PROVISION FOR CUSTOM DUTY</v>
          </cell>
          <cell r="H1055" t="str">
            <v>Provision for Custom Duty on GIT</v>
          </cell>
          <cell r="I1055">
            <v>-16777525.27</v>
          </cell>
          <cell r="J1055">
            <v>15041839.699999999</v>
          </cell>
          <cell r="K1055">
            <v>9012753.8800000008</v>
          </cell>
          <cell r="L1055">
            <v>-1101596.44</v>
          </cell>
          <cell r="N1055">
            <v>-1101596.44</v>
          </cell>
          <cell r="O1055" t="str">
            <v>z</v>
          </cell>
          <cell r="Q1055">
            <v>0</v>
          </cell>
        </row>
        <row r="1056">
          <cell r="G1056" t="str">
            <v>COSME MATIAS MENEZES FINANCE LTD</v>
          </cell>
          <cell r="H1056" t="str">
            <v>Cosme Mathias Menezes Finance Ltd.</v>
          </cell>
          <cell r="I1056">
            <v>-579</v>
          </cell>
          <cell r="J1056">
            <v>0</v>
          </cell>
          <cell r="K1056">
            <v>0</v>
          </cell>
          <cell r="L1056">
            <v>-579</v>
          </cell>
          <cell r="N1056">
            <v>-579</v>
          </cell>
          <cell r="O1056" t="str">
            <v>z</v>
          </cell>
          <cell r="Q1056">
            <v>0</v>
          </cell>
        </row>
        <row r="1057">
          <cell r="G1057" t="str">
            <v>PROVISION FOR COMMISSION ON SALES</v>
          </cell>
          <cell r="H1057" t="str">
            <v>Provision For Commission on Sales</v>
          </cell>
          <cell r="I1057">
            <v>-393204</v>
          </cell>
          <cell r="J1057">
            <v>40000</v>
          </cell>
          <cell r="K1057">
            <v>161860</v>
          </cell>
          <cell r="L1057">
            <v>-515064</v>
          </cell>
          <cell r="N1057">
            <v>-515064</v>
          </cell>
          <cell r="O1057" t="str">
            <v>z</v>
          </cell>
          <cell r="Q1057">
            <v>0</v>
          </cell>
        </row>
        <row r="1058">
          <cell r="G1058" t="str">
            <v>RETAINTION MONEY - BHARAT ENG.</v>
          </cell>
          <cell r="I1058">
            <v>0</v>
          </cell>
          <cell r="J1058">
            <v>0</v>
          </cell>
          <cell r="K1058">
            <v>0</v>
          </cell>
          <cell r="L1058">
            <v>0</v>
          </cell>
          <cell r="N1058">
            <v>0</v>
          </cell>
          <cell r="O1058" t="str">
            <v>z</v>
          </cell>
          <cell r="Q1058">
            <v>0</v>
          </cell>
        </row>
        <row r="1059">
          <cell r="G1059" t="str">
            <v>G.D.ENTERPRISES</v>
          </cell>
          <cell r="H1059" t="str">
            <v>Security Deposits (G.D.Enterprises)</v>
          </cell>
          <cell r="I1059">
            <v>-2000000</v>
          </cell>
          <cell r="J1059">
            <v>0</v>
          </cell>
          <cell r="K1059">
            <v>0</v>
          </cell>
          <cell r="L1059">
            <v>-2000000</v>
          </cell>
          <cell r="N1059">
            <v>-2000000</v>
          </cell>
          <cell r="O1059" t="str">
            <v>z</v>
          </cell>
          <cell r="Q1059">
            <v>0</v>
          </cell>
          <cell r="U1059">
            <v>-2014999.6</v>
          </cell>
        </row>
        <row r="1060">
          <cell r="G1060" t="str">
            <v>K. K. SURGICALS</v>
          </cell>
          <cell r="H1060" t="str">
            <v>Security Deposits (K.K.Surgicals)</v>
          </cell>
          <cell r="I1060">
            <v>-15000</v>
          </cell>
          <cell r="J1060">
            <v>0</v>
          </cell>
          <cell r="K1060">
            <v>0</v>
          </cell>
          <cell r="L1060">
            <v>-15000</v>
          </cell>
          <cell r="N1060">
            <v>-15000</v>
          </cell>
          <cell r="O1060" t="str">
            <v>z</v>
          </cell>
          <cell r="Q1060">
            <v>0</v>
          </cell>
        </row>
        <row r="1061">
          <cell r="G1061" t="str">
            <v>HI TECH PHARMA</v>
          </cell>
          <cell r="H1061" t="str">
            <v>Security Deposits (Hi-Tech Pharma)</v>
          </cell>
          <cell r="I1061">
            <v>0.4</v>
          </cell>
          <cell r="J1061">
            <v>0</v>
          </cell>
          <cell r="K1061">
            <v>0</v>
          </cell>
          <cell r="L1061">
            <v>0.4</v>
          </cell>
          <cell r="N1061">
            <v>0.4</v>
          </cell>
          <cell r="O1061" t="str">
            <v>z</v>
          </cell>
          <cell r="Q1061">
            <v>0</v>
          </cell>
        </row>
        <row r="1062">
          <cell r="G1062" t="str">
            <v>DOMESTIC SALES - 3RD PARTY</v>
          </cell>
          <cell r="H1062" t="str">
            <v xml:space="preserve">        Traded Goods</v>
          </cell>
          <cell r="I1062">
            <v>-237027746.13</v>
          </cell>
          <cell r="J1062">
            <v>0</v>
          </cell>
          <cell r="K1062">
            <v>42829787.75</v>
          </cell>
          <cell r="L1062">
            <v>-279857533.88</v>
          </cell>
          <cell r="M1062">
            <v>-279857533.88</v>
          </cell>
          <cell r="O1062" t="str">
            <v>z</v>
          </cell>
          <cell r="P1062">
            <v>-318065736.33999997</v>
          </cell>
        </row>
        <row r="1063">
          <cell r="G1063" t="str">
            <v>SALES REVERSAL TRADE-(RATE DIFF.) DOMESTIC - 3RD PARTY</v>
          </cell>
          <cell r="H1063" t="str">
            <v xml:space="preserve">Less : Sales Return </v>
          </cell>
          <cell r="I1063">
            <v>13995</v>
          </cell>
          <cell r="J1063">
            <v>0</v>
          </cell>
          <cell r="K1063">
            <v>0</v>
          </cell>
          <cell r="L1063">
            <v>13995</v>
          </cell>
          <cell r="M1063">
            <v>10504629.76</v>
          </cell>
          <cell r="O1063">
            <v>51</v>
          </cell>
        </row>
        <row r="1064">
          <cell r="G1064" t="str">
            <v>SALES (MFG.) DOMESTIC -3RD PARTY</v>
          </cell>
          <cell r="H1064" t="str">
            <v xml:space="preserve">        Manufactured Goods</v>
          </cell>
          <cell r="I1064">
            <v>-22512945.649999999</v>
          </cell>
          <cell r="J1064">
            <v>0</v>
          </cell>
          <cell r="K1064">
            <v>2443907.5</v>
          </cell>
          <cell r="L1064">
            <v>-24956853.149999999</v>
          </cell>
          <cell r="M1064">
            <v>-24956853.149999999</v>
          </cell>
          <cell r="O1064" t="str">
            <v>z</v>
          </cell>
        </row>
        <row r="1065">
          <cell r="G1065" t="str">
            <v>CENTRAL EXCISE DUTY</v>
          </cell>
          <cell r="H1065" t="str">
            <v>Excise Duty</v>
          </cell>
          <cell r="I1065">
            <v>652140</v>
          </cell>
          <cell r="J1065">
            <v>0</v>
          </cell>
          <cell r="K1065">
            <v>0</v>
          </cell>
          <cell r="L1065">
            <v>652140</v>
          </cell>
          <cell r="M1065">
            <v>652140</v>
          </cell>
          <cell r="O1065" t="str">
            <v>z</v>
          </cell>
        </row>
        <row r="1066">
          <cell r="G1066" t="str">
            <v>SALES RETURN- TRADE DOMESTIC - 3RD PARTY</v>
          </cell>
          <cell r="I1066">
            <v>9635212.3599999994</v>
          </cell>
          <cell r="J1066">
            <v>214172.4</v>
          </cell>
          <cell r="K1066">
            <v>0</v>
          </cell>
          <cell r="L1066">
            <v>9849384.7599999998</v>
          </cell>
          <cell r="O1066">
            <v>51</v>
          </cell>
        </row>
        <row r="1067">
          <cell r="G1067" t="str">
            <v>SALES RETURN (MFG) DOMESTIC - 3RD PARTY</v>
          </cell>
          <cell r="I1067">
            <v>641250</v>
          </cell>
          <cell r="J1067">
            <v>0</v>
          </cell>
          <cell r="K1067">
            <v>0</v>
          </cell>
          <cell r="L1067">
            <v>641250</v>
          </cell>
          <cell r="O1067">
            <v>51</v>
          </cell>
        </row>
        <row r="1068">
          <cell r="G1068" t="str">
            <v>ADDITIONAL REVENUE FROM DISPOSAL OF ENERGY AND WASTE</v>
          </cell>
          <cell r="H1068" t="str">
            <v>Scrap Sales</v>
          </cell>
          <cell r="I1068">
            <v>-30007.5</v>
          </cell>
          <cell r="J1068">
            <v>0</v>
          </cell>
          <cell r="K1068">
            <v>5302</v>
          </cell>
          <cell r="L1068">
            <v>-35309.5</v>
          </cell>
          <cell r="M1068">
            <v>-35309.5</v>
          </cell>
          <cell r="O1068" t="str">
            <v>z</v>
          </cell>
        </row>
        <row r="1069">
          <cell r="G1069" t="str">
            <v>MISC. INCOME</v>
          </cell>
          <cell r="H1069" t="str">
            <v>Misc. Income</v>
          </cell>
          <cell r="I1069">
            <v>-317543.09000000003</v>
          </cell>
          <cell r="J1069">
            <v>625567.26</v>
          </cell>
          <cell r="K1069">
            <v>1258838.44</v>
          </cell>
          <cell r="L1069">
            <v>-950814.27</v>
          </cell>
          <cell r="M1069">
            <v>-950814.27</v>
          </cell>
          <cell r="O1069" t="str">
            <v>z</v>
          </cell>
        </row>
        <row r="1070">
          <cell r="G1070" t="str">
            <v>SERVICE CHARGES / REPAIR CHARGES (INCOME)</v>
          </cell>
          <cell r="H1070" t="str">
            <v>Service charges (y)</v>
          </cell>
          <cell r="I1070">
            <v>-534400.01</v>
          </cell>
          <cell r="J1070">
            <v>0</v>
          </cell>
          <cell r="K1070">
            <v>0</v>
          </cell>
          <cell r="L1070">
            <v>-534400.01</v>
          </cell>
          <cell r="M1070">
            <v>-534400.01</v>
          </cell>
          <cell r="O1070" t="str">
            <v>z</v>
          </cell>
        </row>
        <row r="1071">
          <cell r="G1071" t="str">
            <v>OTHER REVENUE FROM COMMISSION INCOME - ASIA PACIFIC (INTERCO</v>
          </cell>
          <cell r="H1071" t="str">
            <v>Other Revenue from Commission</v>
          </cell>
          <cell r="I1071">
            <v>-198942.78</v>
          </cell>
          <cell r="J1071">
            <v>13456</v>
          </cell>
          <cell r="K1071">
            <v>0</v>
          </cell>
          <cell r="L1071">
            <v>-185486.78</v>
          </cell>
          <cell r="M1071">
            <v>-22807984.370000001</v>
          </cell>
          <cell r="O1071">
            <v>2</v>
          </cell>
        </row>
        <row r="1072">
          <cell r="G1072" t="str">
            <v>OTHER REVENUE FROM COMMISSION INCOME - EXPORT(INTERCOMPANY)</v>
          </cell>
          <cell r="I1072">
            <v>-19324541.59</v>
          </cell>
          <cell r="J1072">
            <v>3143291</v>
          </cell>
          <cell r="K1072">
            <v>6441247</v>
          </cell>
          <cell r="L1072">
            <v>-22622497.59</v>
          </cell>
          <cell r="O1072">
            <v>2</v>
          </cell>
        </row>
        <row r="1073">
          <cell r="G1073" t="str">
            <v>REALISED FOREX GAINS</v>
          </cell>
          <cell r="H1073" t="str">
            <v>Forex Loss (Realised )</v>
          </cell>
          <cell r="I1073">
            <v>454662.19</v>
          </cell>
          <cell r="J1073">
            <v>789292.34</v>
          </cell>
          <cell r="K1073">
            <v>188188.64</v>
          </cell>
          <cell r="L1073">
            <v>-10098.74</v>
          </cell>
          <cell r="M1073">
            <v>3977314.5199999996</v>
          </cell>
          <cell r="O1073">
            <v>16</v>
          </cell>
        </row>
        <row r="1074">
          <cell r="G1074" t="str">
            <v>UNREALISED FOREX GAINS</v>
          </cell>
          <cell r="H1074" t="str">
            <v>Forex Loss (Unrealised)</v>
          </cell>
          <cell r="I1074">
            <v>30016</v>
          </cell>
          <cell r="J1074">
            <v>0</v>
          </cell>
          <cell r="K1074">
            <v>0</v>
          </cell>
          <cell r="L1074">
            <v>-210615</v>
          </cell>
          <cell r="M1074">
            <v>2931165</v>
          </cell>
          <cell r="O1074">
            <v>17</v>
          </cell>
        </row>
        <row r="1075">
          <cell r="G1075" t="str">
            <v>BAD DEBTS RECOVERED</v>
          </cell>
          <cell r="H1075" t="str">
            <v>Bad Debts Recovered</v>
          </cell>
          <cell r="I1075">
            <v>-78235</v>
          </cell>
          <cell r="J1075">
            <v>0</v>
          </cell>
          <cell r="K1075">
            <v>0</v>
          </cell>
          <cell r="L1075">
            <v>-78235</v>
          </cell>
          <cell r="M1075">
            <v>-78235</v>
          </cell>
          <cell r="O1075" t="str">
            <v>z</v>
          </cell>
        </row>
        <row r="1076">
          <cell r="G1076" t="str">
            <v>SUNDRY BAL. WRITTEN BACK</v>
          </cell>
          <cell r="H1076" t="str">
            <v>Sundry Balance Written Back</v>
          </cell>
          <cell r="I1076">
            <v>-7.92</v>
          </cell>
          <cell r="J1076">
            <v>0</v>
          </cell>
          <cell r="K1076">
            <v>0</v>
          </cell>
          <cell r="L1076">
            <v>-7.92</v>
          </cell>
          <cell r="M1076">
            <v>-7.92</v>
          </cell>
          <cell r="O1076" t="str">
            <v>z</v>
          </cell>
        </row>
        <row r="1077">
          <cell r="G1077" t="str">
            <v>BANK INTEREST &amp; FDR INTEREST</v>
          </cell>
          <cell r="H1077" t="str">
            <v>Bank Interest &amp; FDR Interest</v>
          </cell>
          <cell r="I1077">
            <v>-1368</v>
          </cell>
          <cell r="J1077">
            <v>0</v>
          </cell>
          <cell r="K1077">
            <v>0</v>
          </cell>
          <cell r="L1077">
            <v>-1368</v>
          </cell>
          <cell r="M1077">
            <v>-1368</v>
          </cell>
          <cell r="O1077" t="str">
            <v>z</v>
          </cell>
        </row>
        <row r="1078">
          <cell r="G1078" t="str">
            <v>RAW MATERIALS &amp; SUPPLIES - DOMESTIC 3RD PARTY</v>
          </cell>
          <cell r="H1078" t="str">
            <v xml:space="preserve">           Add : Purchases </v>
          </cell>
          <cell r="I1078">
            <v>13783339.4</v>
          </cell>
          <cell r="J1078">
            <v>1937001</v>
          </cell>
          <cell r="K1078">
            <v>0</v>
          </cell>
          <cell r="L1078">
            <v>15185410.4</v>
          </cell>
          <cell r="M1078">
            <v>16980796.649999999</v>
          </cell>
          <cell r="O1078">
            <v>3</v>
          </cell>
          <cell r="P1078">
            <v>320493499.07000005</v>
          </cell>
        </row>
        <row r="1079">
          <cell r="G1079" t="str">
            <v>CONSUMABLE STORES</v>
          </cell>
          <cell r="H1079" t="str">
            <v>Consumable stores</v>
          </cell>
          <cell r="I1079">
            <v>438521.02</v>
          </cell>
          <cell r="J1079">
            <v>72788</v>
          </cell>
          <cell r="K1079">
            <v>0</v>
          </cell>
          <cell r="L1079">
            <v>511309.02</v>
          </cell>
          <cell r="M1079">
            <v>511309.02</v>
          </cell>
          <cell r="O1079" t="str">
            <v>z</v>
          </cell>
        </row>
        <row r="1080">
          <cell r="G1080" t="str">
            <v>PACKING MATERIAL FOR MFG.GOODS</v>
          </cell>
          <cell r="H1080" t="str">
            <v xml:space="preserve">           Packing Material consumed</v>
          </cell>
          <cell r="I1080">
            <v>584458</v>
          </cell>
          <cell r="J1080">
            <v>87830</v>
          </cell>
          <cell r="K1080">
            <v>0</v>
          </cell>
          <cell r="L1080">
            <v>672288</v>
          </cell>
          <cell r="M1080">
            <v>672288</v>
          </cell>
          <cell r="O1080" t="str">
            <v>z</v>
          </cell>
        </row>
        <row r="1081">
          <cell r="G1081" t="str">
            <v>COGS -DOMESTIC 3 RD PARTY - MFG.</v>
          </cell>
          <cell r="I1081">
            <v>1206055.6499999999</v>
          </cell>
          <cell r="J1081">
            <v>580347</v>
          </cell>
          <cell r="K1081">
            <v>7781.4</v>
          </cell>
          <cell r="L1081">
            <v>1794416.25</v>
          </cell>
          <cell r="O1081">
            <v>3</v>
          </cell>
        </row>
        <row r="1082">
          <cell r="G1082" t="str">
            <v>CARRIAGE INWARD FOR MFG. GOODS</v>
          </cell>
          <cell r="I1082">
            <v>970</v>
          </cell>
          <cell r="J1082">
            <v>0</v>
          </cell>
          <cell r="K1082">
            <v>0</v>
          </cell>
          <cell r="L1082">
            <v>970</v>
          </cell>
          <cell r="O1082">
            <v>3</v>
          </cell>
        </row>
        <row r="1083">
          <cell r="G1083" t="str">
            <v>COGS -DOMESTIC 3 RD PARTY - TRADE</v>
          </cell>
          <cell r="H1083" t="str">
            <v xml:space="preserve">          Add: Purchases-tr</v>
          </cell>
          <cell r="I1083">
            <v>175738780.34</v>
          </cell>
          <cell r="J1083">
            <v>34915956.450000003</v>
          </cell>
          <cell r="K1083">
            <v>725213.53</v>
          </cell>
          <cell r="L1083">
            <v>207317860.86000001</v>
          </cell>
          <cell r="M1083">
            <v>208403989.93000004</v>
          </cell>
          <cell r="O1083">
            <v>4</v>
          </cell>
        </row>
        <row r="1084">
          <cell r="G1084" t="str">
            <v>CARRIAGE INWARD FOR TRADING GOODS</v>
          </cell>
          <cell r="I1084">
            <v>30245</v>
          </cell>
          <cell r="J1084">
            <v>4006</v>
          </cell>
          <cell r="K1084">
            <v>0</v>
          </cell>
          <cell r="L1084">
            <v>34251</v>
          </cell>
          <cell r="O1084">
            <v>4</v>
          </cell>
        </row>
        <row r="1085">
          <cell r="G1085" t="str">
            <v>INVENTORY ADJUSTMENT - DAMAGED GOODS</v>
          </cell>
          <cell r="I1085">
            <v>54258.65</v>
          </cell>
          <cell r="J1085">
            <v>110592.71</v>
          </cell>
          <cell r="K1085">
            <v>0</v>
          </cell>
          <cell r="L1085">
            <v>164851.35999999999</v>
          </cell>
          <cell r="O1085">
            <v>4</v>
          </cell>
        </row>
        <row r="1086">
          <cell r="G1086" t="str">
            <v>INVENTORY ADJUSTMENT - EXPIRED GOODS</v>
          </cell>
          <cell r="I1086">
            <v>384998.96</v>
          </cell>
          <cell r="J1086">
            <v>483630.9</v>
          </cell>
          <cell r="K1086">
            <v>0</v>
          </cell>
          <cell r="L1086">
            <v>868629.86</v>
          </cell>
          <cell r="O1086">
            <v>4</v>
          </cell>
        </row>
        <row r="1087">
          <cell r="G1087" t="str">
            <v>INVENTORY ADJUSTMENT - OTHERS</v>
          </cell>
          <cell r="I1087">
            <v>18396.849999999999</v>
          </cell>
          <cell r="J1087">
            <v>0</v>
          </cell>
          <cell r="K1087">
            <v>0</v>
          </cell>
          <cell r="L1087">
            <v>18396.849999999999</v>
          </cell>
          <cell r="O1087">
            <v>4</v>
          </cell>
        </row>
        <row r="1088">
          <cell r="G1088" t="str">
            <v>BASIC WAGES - PRODUCTION</v>
          </cell>
          <cell r="H1088" t="str">
            <v>Basic Salaries &amp; Wages</v>
          </cell>
          <cell r="I1088">
            <v>425846</v>
          </cell>
          <cell r="J1088">
            <v>47964</v>
          </cell>
          <cell r="K1088">
            <v>0</v>
          </cell>
          <cell r="L1088">
            <v>473810</v>
          </cell>
          <cell r="M1088">
            <v>6534477</v>
          </cell>
          <cell r="O1088">
            <v>5</v>
          </cell>
        </row>
        <row r="1089">
          <cell r="G1089" t="str">
            <v>ANNUAL BONUS - PRODUCION</v>
          </cell>
          <cell r="H1089" t="str">
            <v>Annual Bonus</v>
          </cell>
          <cell r="I1089">
            <v>83903</v>
          </cell>
          <cell r="J1089">
            <v>133324</v>
          </cell>
          <cell r="K1089">
            <v>0</v>
          </cell>
          <cell r="L1089">
            <v>217227</v>
          </cell>
          <cell r="M1089">
            <v>364644</v>
          </cell>
          <cell r="O1089">
            <v>6</v>
          </cell>
        </row>
        <row r="1090">
          <cell r="G1090" t="str">
            <v>OVERTIME ALLOWANCE-PRODUCTION</v>
          </cell>
          <cell r="H1090" t="str">
            <v xml:space="preserve">Overtime Allowance </v>
          </cell>
          <cell r="I1090">
            <v>17118.05</v>
          </cell>
          <cell r="J1090">
            <v>1191.07</v>
          </cell>
          <cell r="K1090">
            <v>0</v>
          </cell>
          <cell r="L1090">
            <v>18309.12</v>
          </cell>
          <cell r="M1090">
            <v>41459.339999999997</v>
          </cell>
          <cell r="O1090">
            <v>7</v>
          </cell>
        </row>
        <row r="1091">
          <cell r="G1091" t="str">
            <v>CENTRAL SERVICES - PERSONAL COST - (PRODUCTION)</v>
          </cell>
          <cell r="H1091" t="str">
            <v>Central Service - Personal</v>
          </cell>
          <cell r="I1091">
            <v>28353.919999999998</v>
          </cell>
          <cell r="J1091">
            <v>93000</v>
          </cell>
          <cell r="K1091">
            <v>0</v>
          </cell>
          <cell r="L1091">
            <v>121353.92</v>
          </cell>
          <cell r="M1091">
            <v>662503.16</v>
          </cell>
          <cell r="O1091">
            <v>8</v>
          </cell>
        </row>
        <row r="1092">
          <cell r="G1092" t="str">
            <v>BASIC SALARIES</v>
          </cell>
          <cell r="I1092">
            <v>5449871</v>
          </cell>
          <cell r="J1092">
            <v>610796</v>
          </cell>
          <cell r="K1092">
            <v>0</v>
          </cell>
          <cell r="L1092">
            <v>6060667</v>
          </cell>
          <cell r="O1092">
            <v>5</v>
          </cell>
        </row>
        <row r="1093">
          <cell r="G1093" t="str">
            <v>ANNUAL BONUS / EX GRATIA</v>
          </cell>
          <cell r="I1093">
            <v>320000</v>
          </cell>
          <cell r="J1093">
            <v>112100</v>
          </cell>
          <cell r="K1093">
            <v>0</v>
          </cell>
          <cell r="L1093">
            <v>147417</v>
          </cell>
          <cell r="O1093">
            <v>6</v>
          </cell>
        </row>
        <row r="1094">
          <cell r="G1094" t="str">
            <v>OVERTIME ALLOWANCE</v>
          </cell>
          <cell r="I1094">
            <v>20918.91</v>
          </cell>
          <cell r="J1094">
            <v>2231.31</v>
          </cell>
          <cell r="K1094">
            <v>0</v>
          </cell>
          <cell r="L1094">
            <v>23150.22</v>
          </cell>
          <cell r="O1094">
            <v>7</v>
          </cell>
        </row>
        <row r="1095">
          <cell r="G1095" t="str">
            <v>COMMISSION &amp; INCENTIVE</v>
          </cell>
          <cell r="H1095" t="str">
            <v>Incentives &amp; Commission to Staff</v>
          </cell>
          <cell r="I1095">
            <v>2384549</v>
          </cell>
          <cell r="J1095">
            <v>0</v>
          </cell>
          <cell r="K1095">
            <v>128652</v>
          </cell>
          <cell r="L1095">
            <v>2240867</v>
          </cell>
          <cell r="M1095">
            <v>2240867</v>
          </cell>
          <cell r="O1095" t="str">
            <v>z</v>
          </cell>
        </row>
        <row r="1096">
          <cell r="G1096" t="str">
            <v>CENTRAL SERVICES - PERSONAL COST</v>
          </cell>
          <cell r="I1096">
            <v>356149.24</v>
          </cell>
          <cell r="J1096">
            <v>217000</v>
          </cell>
          <cell r="K1096">
            <v>32000</v>
          </cell>
          <cell r="L1096">
            <v>541149.24</v>
          </cell>
          <cell r="O1096">
            <v>8</v>
          </cell>
        </row>
        <row r="1097">
          <cell r="G1097" t="str">
            <v>EMPLOYER'S CONTRIBUTION TO ESIC</v>
          </cell>
          <cell r="H1097" t="str">
            <v>Employer's Contribution ESIC</v>
          </cell>
          <cell r="I1097">
            <v>120830.39999999999</v>
          </cell>
          <cell r="J1097">
            <v>29624.1</v>
          </cell>
          <cell r="K1097">
            <v>0</v>
          </cell>
          <cell r="L1097">
            <v>150454.5</v>
          </cell>
          <cell r="M1097">
            <v>150454.5</v>
          </cell>
          <cell r="O1097" t="str">
            <v>z</v>
          </cell>
        </row>
        <row r="1098">
          <cell r="G1098" t="str">
            <v>EMPLOYER'S CONTRIBUTION TO DEATH BEN. WELFARE FUND,LABOUR WE</v>
          </cell>
          <cell r="H1098" t="str">
            <v>Employer's Cont. To Death Ben.Wel. Fund</v>
          </cell>
          <cell r="I1098">
            <v>5786</v>
          </cell>
          <cell r="J1098">
            <v>1210</v>
          </cell>
          <cell r="K1098">
            <v>0</v>
          </cell>
          <cell r="L1098">
            <v>6996</v>
          </cell>
          <cell r="M1098">
            <v>6996</v>
          </cell>
          <cell r="O1098" t="str">
            <v>z</v>
          </cell>
        </row>
        <row r="1099">
          <cell r="G1099" t="str">
            <v>EMPLOYER'S CONTRIBUTION TO PROVIDEND FUND</v>
          </cell>
          <cell r="H1099" t="str">
            <v>Employer's Contribution PF</v>
          </cell>
          <cell r="I1099">
            <v>309770</v>
          </cell>
          <cell r="J1099">
            <v>64621</v>
          </cell>
          <cell r="K1099">
            <v>0</v>
          </cell>
          <cell r="L1099">
            <v>374391</v>
          </cell>
          <cell r="M1099">
            <v>374391</v>
          </cell>
          <cell r="O1099" t="str">
            <v>z</v>
          </cell>
        </row>
        <row r="1100">
          <cell r="G1100" t="str">
            <v>EMPLOYER'S CONTRIBUTION TO FAMILY PENSION FUND</v>
          </cell>
          <cell r="H1100" t="str">
            <v>Employer's Cont. To Family Penson</v>
          </cell>
          <cell r="I1100">
            <v>437877</v>
          </cell>
          <cell r="J1100">
            <v>101715</v>
          </cell>
          <cell r="K1100">
            <v>0</v>
          </cell>
          <cell r="L1100">
            <v>539592</v>
          </cell>
          <cell r="M1100">
            <v>539592</v>
          </cell>
          <cell r="O1100" t="str">
            <v>z</v>
          </cell>
        </row>
        <row r="1101">
          <cell r="G1101" t="str">
            <v>EMPLOYER'S CONTRIBUTION TO SUPERANNUATION FUND</v>
          </cell>
          <cell r="H1101" t="str">
            <v>EMPLOYER'S CONTRIBUTION TO SUPERANNUATION FUND</v>
          </cell>
          <cell r="I1101">
            <v>2032</v>
          </cell>
          <cell r="J1101">
            <v>0</v>
          </cell>
          <cell r="K1101">
            <v>0</v>
          </cell>
          <cell r="L1101">
            <v>2032</v>
          </cell>
          <cell r="M1101">
            <v>2032</v>
          </cell>
          <cell r="O1101" t="str">
            <v>z</v>
          </cell>
        </row>
        <row r="1102">
          <cell r="G1102" t="str">
            <v>TRAINING &amp; RECRUITMENT EXPENSES</v>
          </cell>
          <cell r="H1102" t="str">
            <v>TRAINING &amp; RECRUITMENT EXPENSES</v>
          </cell>
          <cell r="I1102">
            <v>767103</v>
          </cell>
          <cell r="J1102">
            <v>38696</v>
          </cell>
          <cell r="K1102">
            <v>0</v>
          </cell>
          <cell r="L1102">
            <v>805799</v>
          </cell>
          <cell r="M1102">
            <v>805799</v>
          </cell>
          <cell r="O1102" t="str">
            <v>z</v>
          </cell>
        </row>
        <row r="1103">
          <cell r="G1103" t="str">
            <v>EMPLOYER'S CONTRIBUTION TO EMPLOYEES MEDICLAIM INSURANCE FUN</v>
          </cell>
          <cell r="H1103" t="str">
            <v>Employer's Cont. To Employees Ins. Fund</v>
          </cell>
          <cell r="I1103">
            <v>12005</v>
          </cell>
          <cell r="J1103">
            <v>0</v>
          </cell>
          <cell r="K1103">
            <v>0</v>
          </cell>
          <cell r="L1103">
            <v>12005</v>
          </cell>
          <cell r="M1103">
            <v>12005</v>
          </cell>
          <cell r="O1103" t="str">
            <v>z</v>
          </cell>
        </row>
        <row r="1104">
          <cell r="G1104" t="str">
            <v>STAFF EVENTS</v>
          </cell>
          <cell r="H1104" t="str">
            <v>Staff Events</v>
          </cell>
          <cell r="I1104">
            <v>1716</v>
          </cell>
          <cell r="J1104">
            <v>0</v>
          </cell>
          <cell r="K1104">
            <v>0</v>
          </cell>
          <cell r="L1104">
            <v>1716</v>
          </cell>
          <cell r="M1104">
            <v>1716</v>
          </cell>
          <cell r="O1104" t="str">
            <v>z</v>
          </cell>
        </row>
        <row r="1105">
          <cell r="G1105" t="str">
            <v>STAFF WELFARE EXPENSES</v>
          </cell>
          <cell r="H1105" t="str">
            <v>Staff Walfare Expenses</v>
          </cell>
          <cell r="I1105">
            <v>145794</v>
          </cell>
          <cell r="J1105">
            <v>35368</v>
          </cell>
          <cell r="K1105">
            <v>250</v>
          </cell>
          <cell r="L1105">
            <v>180912</v>
          </cell>
          <cell r="M1105">
            <v>180912</v>
          </cell>
          <cell r="O1105" t="str">
            <v>z</v>
          </cell>
        </row>
        <row r="1106">
          <cell r="G1106" t="str">
            <v>MEDICAL EXPENSES</v>
          </cell>
          <cell r="H1106" t="str">
            <v>Medical Expenses</v>
          </cell>
          <cell r="I1106">
            <v>41364</v>
          </cell>
          <cell r="J1106">
            <v>389846</v>
          </cell>
          <cell r="K1106">
            <v>35000</v>
          </cell>
          <cell r="L1106">
            <v>396210</v>
          </cell>
          <cell r="M1106">
            <v>396210</v>
          </cell>
          <cell r="O1106" t="str">
            <v>z</v>
          </cell>
        </row>
        <row r="1107">
          <cell r="G1107" t="str">
            <v>LEAVE TRAVEL CONCESSION</v>
          </cell>
          <cell r="H1107" t="str">
            <v>Leave Travel Concession</v>
          </cell>
          <cell r="I1107">
            <v>-14939</v>
          </cell>
          <cell r="J1107">
            <v>520770</v>
          </cell>
          <cell r="K1107">
            <v>35000</v>
          </cell>
          <cell r="L1107">
            <v>470831</v>
          </cell>
          <cell r="M1107">
            <v>470831</v>
          </cell>
          <cell r="O1107" t="str">
            <v>z</v>
          </cell>
        </row>
        <row r="1108">
          <cell r="G1108" t="str">
            <v>HOUSE RENT ALLOWANCE</v>
          </cell>
          <cell r="H1108" t="str">
            <v>HRA Allowance</v>
          </cell>
          <cell r="I1108">
            <v>1265564</v>
          </cell>
          <cell r="J1108">
            <v>146014</v>
          </cell>
          <cell r="K1108">
            <v>0</v>
          </cell>
          <cell r="L1108">
            <v>1411578</v>
          </cell>
          <cell r="M1108">
            <v>1411578</v>
          </cell>
          <cell r="O1108" t="str">
            <v>z</v>
          </cell>
        </row>
        <row r="1109">
          <cell r="G1109" t="str">
            <v>OTHER ALLOWANCES</v>
          </cell>
          <cell r="H1109" t="str">
            <v>Other Allowance</v>
          </cell>
          <cell r="I1109">
            <v>4035899</v>
          </cell>
          <cell r="J1109">
            <v>883912</v>
          </cell>
          <cell r="K1109">
            <v>16668</v>
          </cell>
          <cell r="L1109">
            <v>4903143</v>
          </cell>
          <cell r="M1109">
            <v>4903143</v>
          </cell>
          <cell r="O1109" t="str">
            <v>z</v>
          </cell>
        </row>
        <row r="1110">
          <cell r="G1110" t="str">
            <v>REPAIRS &amp; MAINTENANCE - CAR (G.M .)</v>
          </cell>
          <cell r="I1110">
            <v>87087</v>
          </cell>
          <cell r="J1110">
            <v>0</v>
          </cell>
          <cell r="K1110">
            <v>0</v>
          </cell>
          <cell r="L1110">
            <v>87087</v>
          </cell>
          <cell r="O1110">
            <v>1</v>
          </cell>
        </row>
        <row r="1111">
          <cell r="G1111" t="str">
            <v>REPAIRS &amp; MAINTENANCE - CAR (M.D)</v>
          </cell>
          <cell r="H1111" t="str">
            <v xml:space="preserve">Repairs &amp; Maintainance Car </v>
          </cell>
          <cell r="I1111">
            <v>143056</v>
          </cell>
          <cell r="J1111">
            <v>13390</v>
          </cell>
          <cell r="K1111">
            <v>0</v>
          </cell>
          <cell r="L1111">
            <v>156446</v>
          </cell>
          <cell r="M1111">
            <v>243533</v>
          </cell>
          <cell r="O1111">
            <v>1</v>
          </cell>
        </row>
        <row r="1112">
          <cell r="G1112" t="str">
            <v>FREIGHT OUT &amp; INSURANCE -DOMESTIC 3RD PARTY</v>
          </cell>
          <cell r="H1112" t="str">
            <v xml:space="preserve"> Freight Outwards</v>
          </cell>
          <cell r="I1112">
            <v>4388796.47</v>
          </cell>
          <cell r="J1112">
            <v>1933207</v>
          </cell>
          <cell r="K1112">
            <v>98000</v>
          </cell>
          <cell r="L1112">
            <v>6224003.4699999997</v>
          </cell>
          <cell r="M1112">
            <v>6229958.4699999997</v>
          </cell>
          <cell r="O1112">
            <v>9</v>
          </cell>
        </row>
        <row r="1113">
          <cell r="G1113" t="str">
            <v>FREIGHT OUT &amp; INSURANCE - DOMESTIC INTERCOMPANY</v>
          </cell>
          <cell r="I1113">
            <v>234</v>
          </cell>
          <cell r="J1113">
            <v>0</v>
          </cell>
          <cell r="K1113">
            <v>0</v>
          </cell>
          <cell r="L1113">
            <v>234</v>
          </cell>
          <cell r="O1113">
            <v>9</v>
          </cell>
        </row>
        <row r="1114">
          <cell r="G1114" t="str">
            <v>FREIGHT OUT &amp; INSURANCE - ASIA PACIFIC 3RD PARTY</v>
          </cell>
          <cell r="I1114">
            <v>5721</v>
          </cell>
          <cell r="J1114">
            <v>0</v>
          </cell>
          <cell r="K1114">
            <v>0</v>
          </cell>
          <cell r="L1114">
            <v>5721</v>
          </cell>
          <cell r="O1114">
            <v>9</v>
          </cell>
        </row>
        <row r="1115">
          <cell r="G1115" t="str">
            <v>BANK CHARGES &amp; DOCUMENTATION FEES DOMESTIC 3RD PARTY</v>
          </cell>
          <cell r="H1115" t="str">
            <v xml:space="preserve"> Bank Charges </v>
          </cell>
          <cell r="I1115">
            <v>42804</v>
          </cell>
          <cell r="J1115">
            <v>0</v>
          </cell>
          <cell r="K1115">
            <v>0</v>
          </cell>
          <cell r="L1115">
            <v>42804</v>
          </cell>
          <cell r="M1115">
            <v>585658.47</v>
          </cell>
          <cell r="O1115">
            <v>10</v>
          </cell>
        </row>
        <row r="1116">
          <cell r="G1116" t="str">
            <v>BANK CHARGES &amp; DOCUMENTATION FEES ASIA PACIFIC 3RD PARTY</v>
          </cell>
          <cell r="I1116">
            <v>1300</v>
          </cell>
          <cell r="J1116">
            <v>0</v>
          </cell>
          <cell r="K1116">
            <v>0</v>
          </cell>
          <cell r="L1116">
            <v>1300</v>
          </cell>
          <cell r="O1116">
            <v>10</v>
          </cell>
        </row>
        <row r="1117">
          <cell r="G1117" t="str">
            <v>BANK CHARGES &amp; DOCUMENTATION FEES ASIA PACIFIC INTERCOMPANY</v>
          </cell>
          <cell r="I1117">
            <v>242118.8</v>
          </cell>
          <cell r="J1117">
            <v>56226</v>
          </cell>
          <cell r="K1117">
            <v>0</v>
          </cell>
          <cell r="L1117">
            <v>298344.8</v>
          </cell>
          <cell r="O1117">
            <v>10</v>
          </cell>
        </row>
        <row r="1118">
          <cell r="G1118" t="str">
            <v>BANK CHARGES &amp; DOCUMENTATION FEES - EXPORT INTERCOMPANY</v>
          </cell>
          <cell r="I1118">
            <v>219716.67</v>
          </cell>
          <cell r="J1118">
            <v>23493</v>
          </cell>
          <cell r="K1118">
            <v>0</v>
          </cell>
          <cell r="L1118">
            <v>243209.67</v>
          </cell>
          <cell r="O1118">
            <v>10</v>
          </cell>
        </row>
        <row r="1119">
          <cell r="G1119" t="str">
            <v>COMMISSION TO 3RD PARTY</v>
          </cell>
          <cell r="H1119" t="str">
            <v>Commission To 3rd Party</v>
          </cell>
          <cell r="I1119">
            <v>55995</v>
          </cell>
          <cell r="J1119">
            <v>0</v>
          </cell>
          <cell r="K1119">
            <v>0</v>
          </cell>
          <cell r="L1119">
            <v>55995</v>
          </cell>
          <cell r="M1119">
            <v>55995</v>
          </cell>
          <cell r="O1119" t="str">
            <v>z</v>
          </cell>
        </row>
        <row r="1120">
          <cell r="G1120" t="str">
            <v>MEMBERSHIP SUBSCRIPTION -  SALES &amp; MARKETING</v>
          </cell>
          <cell r="H1120" t="str">
            <v>Membership Subscriptions</v>
          </cell>
          <cell r="I1120">
            <v>62400</v>
          </cell>
          <cell r="J1120">
            <v>16042</v>
          </cell>
          <cell r="K1120">
            <v>0</v>
          </cell>
          <cell r="L1120">
            <v>78442</v>
          </cell>
          <cell r="M1120">
            <v>78442</v>
          </cell>
          <cell r="O1120" t="str">
            <v>z</v>
          </cell>
        </row>
        <row r="1121">
          <cell r="G1121" t="str">
            <v>DEFF.REV. EXPENSES KALINA OFFICE &amp; GODOWN</v>
          </cell>
          <cell r="H1121" t="str">
            <v>Deff. Rev. Expenses</v>
          </cell>
          <cell r="I1121">
            <v>623040</v>
          </cell>
          <cell r="J1121">
            <v>56640</v>
          </cell>
          <cell r="K1121">
            <v>0</v>
          </cell>
          <cell r="L1121">
            <v>679680</v>
          </cell>
          <cell r="M1121">
            <v>679680</v>
          </cell>
          <cell r="O1121" t="str">
            <v>z</v>
          </cell>
        </row>
        <row r="1122">
          <cell r="G1122" t="str">
            <v>COMPANY'S ANNUAL FUNCTION COST</v>
          </cell>
          <cell r="H1122" t="str">
            <v xml:space="preserve">Company's Annual Function </v>
          </cell>
          <cell r="I1122">
            <v>247700</v>
          </cell>
          <cell r="J1122">
            <v>0</v>
          </cell>
          <cell r="K1122">
            <v>0</v>
          </cell>
          <cell r="L1122">
            <v>247700</v>
          </cell>
          <cell r="M1122">
            <v>247700</v>
          </cell>
          <cell r="O1122" t="str">
            <v>z</v>
          </cell>
        </row>
        <row r="1123">
          <cell r="G1123" t="str">
            <v>RENT FOR PRODUCTION PREMISES</v>
          </cell>
          <cell r="H1123" t="str">
            <v>RENT FOR PRODUCTION PREMISES</v>
          </cell>
          <cell r="I1123">
            <v>166000</v>
          </cell>
          <cell r="J1123">
            <v>0</v>
          </cell>
          <cell r="K1123">
            <v>0</v>
          </cell>
          <cell r="L1123">
            <v>166000</v>
          </cell>
          <cell r="M1123">
            <v>166000</v>
          </cell>
          <cell r="O1123" t="str">
            <v>z</v>
          </cell>
        </row>
        <row r="1124">
          <cell r="G1124" t="str">
            <v>REPAIRS &amp; MAINTENANCE-PRODUCTION BLDGS / PREMISES</v>
          </cell>
          <cell r="I1124">
            <v>149975.5</v>
          </cell>
          <cell r="J1124">
            <v>97726.75</v>
          </cell>
          <cell r="K1124">
            <v>0</v>
          </cell>
          <cell r="L1124">
            <v>247702.25</v>
          </cell>
          <cell r="O1124">
            <v>12</v>
          </cell>
        </row>
        <row r="1125">
          <cell r="G1125" t="str">
            <v>ELECTRICITY  &amp; WATER CHARGES - PRODUCTION  PREMISES</v>
          </cell>
          <cell r="H1125" t="str">
            <v>Electricity &amp; Water Charges - Prodn</v>
          </cell>
          <cell r="I1125">
            <v>1198831</v>
          </cell>
          <cell r="J1125">
            <v>116917</v>
          </cell>
          <cell r="K1125">
            <v>0</v>
          </cell>
          <cell r="L1125">
            <v>1315748</v>
          </cell>
          <cell r="M1125">
            <v>1315748</v>
          </cell>
          <cell r="O1125" t="str">
            <v>z</v>
          </cell>
        </row>
        <row r="1126">
          <cell r="G1126" t="str">
            <v>RENT FOR OFFICE PREMISES</v>
          </cell>
          <cell r="H1126" t="str">
            <v>Rent For Warehouse &amp; Office Premises</v>
          </cell>
          <cell r="I1126">
            <v>264907</v>
          </cell>
          <cell r="J1126">
            <v>63500</v>
          </cell>
          <cell r="K1126">
            <v>9500</v>
          </cell>
          <cell r="L1126">
            <v>318907</v>
          </cell>
          <cell r="M1126">
            <v>1111971</v>
          </cell>
          <cell r="O1126">
            <v>11</v>
          </cell>
        </row>
        <row r="1127">
          <cell r="G1127" t="str">
            <v>REPAIRS &amp; MAINTENANCE - OFFICE BLDGS</v>
          </cell>
          <cell r="H1127" t="str">
            <v>Repairs &amp; Maintainance - Prodn&amp; off.  Bldg</v>
          </cell>
          <cell r="I1127">
            <v>41009</v>
          </cell>
          <cell r="J1127">
            <v>0</v>
          </cell>
          <cell r="K1127">
            <v>0</v>
          </cell>
          <cell r="L1127">
            <v>41009</v>
          </cell>
          <cell r="M1127">
            <v>288711.25</v>
          </cell>
          <cell r="O1127">
            <v>12</v>
          </cell>
        </row>
        <row r="1128">
          <cell r="G1128" t="str">
            <v>ELECTRICITY  &amp; WATER CHARGES -OFFICE</v>
          </cell>
          <cell r="H1128" t="str">
            <v>Electricity &amp; Water Charges - Office</v>
          </cell>
          <cell r="I1128">
            <v>488425</v>
          </cell>
          <cell r="J1128">
            <v>103674</v>
          </cell>
          <cell r="K1128">
            <v>3802</v>
          </cell>
          <cell r="L1128">
            <v>588297</v>
          </cell>
          <cell r="M1128">
            <v>588297</v>
          </cell>
          <cell r="O1128" t="str">
            <v>z</v>
          </cell>
        </row>
        <row r="1129">
          <cell r="G1129" t="str">
            <v>RENT FOR WAREHOUSE</v>
          </cell>
          <cell r="I1129">
            <v>717714</v>
          </cell>
          <cell r="J1129">
            <v>119350</v>
          </cell>
          <cell r="K1129">
            <v>44000</v>
          </cell>
          <cell r="L1129">
            <v>793064</v>
          </cell>
          <cell r="O1129">
            <v>11</v>
          </cell>
        </row>
        <row r="1130">
          <cell r="G1130" t="str">
            <v>REPAIRS &amp; MAINTENANCE - WAREHOUSE /RESIDENTIAL BLDGS</v>
          </cell>
          <cell r="H1130" t="str">
            <v>Repairs &amp; Maintainance - Warehouse</v>
          </cell>
          <cell r="I1130">
            <v>161928.5</v>
          </cell>
          <cell r="J1130">
            <v>18187.75</v>
          </cell>
          <cell r="K1130">
            <v>0</v>
          </cell>
          <cell r="L1130">
            <v>180116.25</v>
          </cell>
          <cell r="M1130">
            <v>180116.25</v>
          </cell>
          <cell r="O1130" t="str">
            <v>z</v>
          </cell>
        </row>
        <row r="1131">
          <cell r="G1131" t="str">
            <v>ELECTRICITY  &amp; WATER CHARGES - WAREHOUSE</v>
          </cell>
          <cell r="H1131" t="str">
            <v>Electricity &amp; Water Charges - Warehouse</v>
          </cell>
          <cell r="I1131">
            <v>13656</v>
          </cell>
          <cell r="J1131">
            <v>3993</v>
          </cell>
          <cell r="K1131">
            <v>0</v>
          </cell>
          <cell r="L1131">
            <v>17649</v>
          </cell>
          <cell r="M1131">
            <v>17649</v>
          </cell>
          <cell r="O1131" t="str">
            <v>z</v>
          </cell>
        </row>
        <row r="1132">
          <cell r="G1132" t="str">
            <v>RENT FOR RESIDENCE</v>
          </cell>
          <cell r="H1132" t="str">
            <v>Rent For Resident</v>
          </cell>
          <cell r="I1132">
            <v>275000</v>
          </cell>
          <cell r="J1132">
            <v>0</v>
          </cell>
          <cell r="K1132">
            <v>0</v>
          </cell>
          <cell r="L1132">
            <v>275000</v>
          </cell>
          <cell r="M1132">
            <v>275000</v>
          </cell>
          <cell r="O1132" t="str">
            <v>z</v>
          </cell>
        </row>
        <row r="1133">
          <cell r="G1133" t="str">
            <v>REPAIRS &amp; MAIN. - OFFICE</v>
          </cell>
          <cell r="H1133" t="str">
            <v>Repairs &amp; Maintainance - Office</v>
          </cell>
          <cell r="I1133">
            <v>374460.5</v>
          </cell>
          <cell r="J1133">
            <v>35441.5</v>
          </cell>
          <cell r="K1133">
            <v>0</v>
          </cell>
          <cell r="L1133">
            <v>409902</v>
          </cell>
          <cell r="M1133">
            <v>409902</v>
          </cell>
          <cell r="O1133" t="str">
            <v>z</v>
          </cell>
        </row>
        <row r="1134">
          <cell r="G1134" t="str">
            <v>RATES &amp; TAXES</v>
          </cell>
          <cell r="H1134" t="str">
            <v>Rates &amp; Taxes</v>
          </cell>
          <cell r="I1134">
            <v>9267</v>
          </cell>
          <cell r="J1134">
            <v>1001.5</v>
          </cell>
          <cell r="K1134">
            <v>0</v>
          </cell>
          <cell r="L1134">
            <v>10268.5</v>
          </cell>
          <cell r="M1134">
            <v>10673.5</v>
          </cell>
          <cell r="O1134">
            <v>18</v>
          </cell>
        </row>
        <row r="1135">
          <cell r="G1135" t="str">
            <v>SERVICE CHARGES</v>
          </cell>
          <cell r="H1135" t="str">
            <v>Service Charges</v>
          </cell>
          <cell r="I1135">
            <v>2371783</v>
          </cell>
          <cell r="J1135">
            <v>210000</v>
          </cell>
          <cell r="K1135">
            <v>0</v>
          </cell>
          <cell r="L1135">
            <v>2581783</v>
          </cell>
          <cell r="M1135">
            <v>2581783</v>
          </cell>
          <cell r="O1135" t="str">
            <v>z</v>
          </cell>
        </row>
        <row r="1136">
          <cell r="G1136" t="str">
            <v>REPAIRS &amp; MAINTENANCE - PLANT &amp; MACHINERY</v>
          </cell>
          <cell r="H1136" t="str">
            <v>Repairs &amp; Maintainance - Plant &amp; Mach.</v>
          </cell>
          <cell r="I1136">
            <v>34148</v>
          </cell>
          <cell r="J1136">
            <v>24040</v>
          </cell>
          <cell r="K1136">
            <v>21500</v>
          </cell>
          <cell r="L1136">
            <v>36688</v>
          </cell>
          <cell r="M1136">
            <v>36688</v>
          </cell>
          <cell r="O1136" t="str">
            <v>z</v>
          </cell>
        </row>
        <row r="1137">
          <cell r="G1137" t="str">
            <v>LEASE RENT - TRANSPORT VEHICLES</v>
          </cell>
          <cell r="H1137" t="str">
            <v>Lease Rent</v>
          </cell>
          <cell r="I1137">
            <v>198981.25</v>
          </cell>
          <cell r="J1137">
            <v>25203.49</v>
          </cell>
          <cell r="K1137">
            <v>0</v>
          </cell>
          <cell r="L1137">
            <v>224184.74</v>
          </cell>
          <cell r="M1137">
            <v>224184.74</v>
          </cell>
          <cell r="O1137" t="str">
            <v>z</v>
          </cell>
        </row>
        <row r="1138">
          <cell r="G1138" t="str">
            <v>LEASE RENT - TOOLS &amp; MACHINERY</v>
          </cell>
          <cell r="H1138" t="str">
            <v>Lease Rent For Production</v>
          </cell>
          <cell r="I1138">
            <v>14130</v>
          </cell>
          <cell r="J1138">
            <v>0</v>
          </cell>
          <cell r="K1138">
            <v>0</v>
          </cell>
          <cell r="L1138">
            <v>14130</v>
          </cell>
          <cell r="M1138">
            <v>14130</v>
          </cell>
          <cell r="O1138" t="str">
            <v>z</v>
          </cell>
        </row>
        <row r="1139">
          <cell r="G1139" t="str">
            <v>REPAIRS &amp; MAIN. - COMPUTER HARDWARE</v>
          </cell>
          <cell r="H1139" t="str">
            <v>Repairs &amp; Maintainance - Computer</v>
          </cell>
          <cell r="I1139">
            <v>49757</v>
          </cell>
          <cell r="J1139">
            <v>13200</v>
          </cell>
          <cell r="K1139">
            <v>0</v>
          </cell>
          <cell r="L1139">
            <v>62957</v>
          </cell>
          <cell r="M1139">
            <v>62957</v>
          </cell>
          <cell r="O1139" t="str">
            <v>z</v>
          </cell>
        </row>
        <row r="1140">
          <cell r="G1140" t="str">
            <v>REPAIRS &amp; MAIN. - COMPUTER SOFTWARE</v>
          </cell>
          <cell r="H1140" t="str">
            <v>Repairs &amp; Maintainance -Software</v>
          </cell>
          <cell r="I1140">
            <v>408727</v>
          </cell>
          <cell r="J1140">
            <v>59622</v>
          </cell>
          <cell r="K1140">
            <v>40000</v>
          </cell>
          <cell r="L1140">
            <v>428349</v>
          </cell>
          <cell r="M1140">
            <v>428349</v>
          </cell>
          <cell r="O1140" t="str">
            <v>z</v>
          </cell>
        </row>
        <row r="1141">
          <cell r="G1141" t="str">
            <v>LICENCE FEES</v>
          </cell>
          <cell r="H1141" t="str">
            <v>Licence Fees</v>
          </cell>
          <cell r="I1141">
            <v>32705</v>
          </cell>
          <cell r="J1141">
            <v>0</v>
          </cell>
          <cell r="K1141">
            <v>0</v>
          </cell>
          <cell r="L1141">
            <v>32705</v>
          </cell>
          <cell r="M1141">
            <v>32705</v>
          </cell>
          <cell r="O1141" t="str">
            <v>z</v>
          </cell>
        </row>
        <row r="1142">
          <cell r="G1142" t="str">
            <v>TESTING &amp; ANALYSIS CHARGES</v>
          </cell>
          <cell r="H1142" t="str">
            <v>Testing &amp; Analysis Charges</v>
          </cell>
          <cell r="I1142">
            <v>506634</v>
          </cell>
          <cell r="J1142">
            <v>150000</v>
          </cell>
          <cell r="K1142">
            <v>85000</v>
          </cell>
          <cell r="L1142">
            <v>571634</v>
          </cell>
          <cell r="M1142">
            <v>571634</v>
          </cell>
          <cell r="O1142" t="str">
            <v>z</v>
          </cell>
        </row>
        <row r="1143">
          <cell r="G1143" t="str">
            <v>PART TIME STAFF(NON PAYROLL)</v>
          </cell>
          <cell r="H1143" t="str">
            <v>PART TIME STAFF(NON PAYROLL)</v>
          </cell>
          <cell r="I1143">
            <v>195114</v>
          </cell>
          <cell r="J1143">
            <v>35120</v>
          </cell>
          <cell r="K1143">
            <v>0</v>
          </cell>
          <cell r="L1143">
            <v>230234</v>
          </cell>
          <cell r="M1143">
            <v>230234</v>
          </cell>
          <cell r="O1143" t="str">
            <v>z</v>
          </cell>
        </row>
        <row r="1144">
          <cell r="G1144" t="str">
            <v>BANK CHARGES FOR MONETRY TRANSACTION AND PROCUREMENT OF CAPI</v>
          </cell>
          <cell r="H1144" t="str">
            <v>Bank Charges For Monetary Transaction</v>
          </cell>
          <cell r="I1144">
            <v>600393.4</v>
          </cell>
          <cell r="J1144">
            <v>120128.77</v>
          </cell>
          <cell r="K1144">
            <v>3015</v>
          </cell>
          <cell r="L1144">
            <v>717507.17</v>
          </cell>
          <cell r="M1144">
            <v>717507.17</v>
          </cell>
          <cell r="O1144" t="str">
            <v>z</v>
          </cell>
        </row>
        <row r="1145">
          <cell r="G1145" t="str">
            <v>COMMISSION TO DISTRIBUTORS - DOMESTIC</v>
          </cell>
          <cell r="H1145" t="str">
            <v>Commission</v>
          </cell>
          <cell r="I1145">
            <v>11553910.109999999</v>
          </cell>
          <cell r="J1145">
            <v>871341</v>
          </cell>
          <cell r="K1145">
            <v>24153</v>
          </cell>
          <cell r="L1145">
            <v>12401098.109999999</v>
          </cell>
          <cell r="M1145">
            <v>12401098.109999999</v>
          </cell>
          <cell r="O1145" t="str">
            <v>z</v>
          </cell>
        </row>
        <row r="1146">
          <cell r="G1146" t="str">
            <v>AUDIT &amp; ACCOUNTING FEES</v>
          </cell>
          <cell r="H1146" t="str">
            <v>Audit Fees</v>
          </cell>
          <cell r="I1146">
            <v>169400</v>
          </cell>
          <cell r="J1146">
            <v>22000</v>
          </cell>
          <cell r="K1146">
            <v>0</v>
          </cell>
          <cell r="L1146">
            <v>191400</v>
          </cell>
          <cell r="M1146">
            <v>191400</v>
          </cell>
          <cell r="O1146" t="str">
            <v>z</v>
          </cell>
        </row>
        <row r="1147">
          <cell r="G1147" t="str">
            <v>LEGAL &amp; CONSULTANCY FEES</v>
          </cell>
          <cell r="H1147" t="str">
            <v>Legal &amp; Consultancy</v>
          </cell>
          <cell r="I1147">
            <v>1489233</v>
          </cell>
          <cell r="J1147">
            <v>99840</v>
          </cell>
          <cell r="K1147">
            <v>575275</v>
          </cell>
          <cell r="L1147">
            <v>1013798</v>
          </cell>
          <cell r="M1147">
            <v>1013798</v>
          </cell>
          <cell r="O1147" t="str">
            <v>z</v>
          </cell>
        </row>
        <row r="1148">
          <cell r="G1148" t="str">
            <v>AUDITORS REMMUNERATION (OTHER MATTERS)</v>
          </cell>
          <cell r="H1148" t="str">
            <v>Other Services</v>
          </cell>
          <cell r="I1148">
            <v>177906</v>
          </cell>
          <cell r="J1148">
            <v>17531</v>
          </cell>
          <cell r="K1148">
            <v>2531</v>
          </cell>
          <cell r="L1148">
            <v>192906</v>
          </cell>
          <cell r="M1148">
            <v>192906</v>
          </cell>
          <cell r="O1148" t="str">
            <v>z</v>
          </cell>
        </row>
        <row r="1149">
          <cell r="G1149" t="str">
            <v>AUDITORS REMMUNERATION (OUT OF POCKET EXP.)</v>
          </cell>
          <cell r="H1149" t="str">
            <v>Reimbursement of Expenses</v>
          </cell>
          <cell r="I1149">
            <v>18925</v>
          </cell>
          <cell r="J1149">
            <v>0</v>
          </cell>
          <cell r="K1149">
            <v>0</v>
          </cell>
          <cell r="L1149">
            <v>18925</v>
          </cell>
          <cell r="M1149">
            <v>18925</v>
          </cell>
          <cell r="O1149" t="str">
            <v>z</v>
          </cell>
        </row>
        <row r="1150">
          <cell r="G1150" t="str">
            <v>TAX AUDIT FEES</v>
          </cell>
          <cell r="H1150" t="str">
            <v>Tax Audit Fees</v>
          </cell>
          <cell r="I1150">
            <v>28875</v>
          </cell>
          <cell r="J1150">
            <v>3000</v>
          </cell>
          <cell r="K1150">
            <v>0</v>
          </cell>
          <cell r="L1150">
            <v>31875</v>
          </cell>
          <cell r="M1150">
            <v>31875</v>
          </cell>
          <cell r="O1150" t="str">
            <v>z</v>
          </cell>
        </row>
        <row r="1151">
          <cell r="G1151" t="str">
            <v>DIRECTORS FEES</v>
          </cell>
          <cell r="H1151" t="str">
            <v xml:space="preserve">Directors Fees    </v>
          </cell>
          <cell r="I1151">
            <v>16000</v>
          </cell>
          <cell r="J1151">
            <v>0</v>
          </cell>
          <cell r="K1151">
            <v>0</v>
          </cell>
          <cell r="L1151">
            <v>33500</v>
          </cell>
          <cell r="M1151">
            <v>33500</v>
          </cell>
          <cell r="O1151" t="str">
            <v>z</v>
          </cell>
        </row>
        <row r="1152">
          <cell r="G1152" t="str">
            <v>STATIONERY</v>
          </cell>
          <cell r="H1152" t="str">
            <v>Printing &amp; Stationery Charges</v>
          </cell>
          <cell r="I1152">
            <v>541261.54</v>
          </cell>
          <cell r="J1152">
            <v>48490</v>
          </cell>
          <cell r="K1152">
            <v>0</v>
          </cell>
          <cell r="L1152">
            <v>589751.54</v>
          </cell>
          <cell r="M1152">
            <v>1214570.54</v>
          </cell>
          <cell r="O1152">
            <v>13</v>
          </cell>
        </row>
        <row r="1153">
          <cell r="G1153" t="str">
            <v>FORM FEES</v>
          </cell>
          <cell r="I1153">
            <v>9155</v>
          </cell>
          <cell r="J1153">
            <v>700</v>
          </cell>
          <cell r="K1153">
            <v>0</v>
          </cell>
          <cell r="L1153">
            <v>9855</v>
          </cell>
          <cell r="O1153">
            <v>13</v>
          </cell>
        </row>
        <row r="1154">
          <cell r="G1154" t="str">
            <v>PRINTING CHARGES</v>
          </cell>
          <cell r="I1154">
            <v>564495</v>
          </cell>
          <cell r="J1154">
            <v>50469</v>
          </cell>
          <cell r="K1154">
            <v>0</v>
          </cell>
          <cell r="L1154">
            <v>614964</v>
          </cell>
          <cell r="O1154">
            <v>13</v>
          </cell>
        </row>
        <row r="1155">
          <cell r="G1155" t="str">
            <v>NEWSPAPER ,BOOKS &amp; PERIODICALS</v>
          </cell>
          <cell r="H1155" t="str">
            <v>News Paper, Books &amp; Periodicals Chgs.</v>
          </cell>
          <cell r="I1155">
            <v>77658</v>
          </cell>
          <cell r="J1155">
            <v>23647</v>
          </cell>
          <cell r="K1155">
            <v>750</v>
          </cell>
          <cell r="L1155">
            <v>100555</v>
          </cell>
          <cell r="M1155">
            <v>100555</v>
          </cell>
          <cell r="O1155" t="str">
            <v>z</v>
          </cell>
        </row>
        <row r="1156">
          <cell r="G1156" t="str">
            <v>COURIER  &amp; TELEGRAM CHARGES</v>
          </cell>
          <cell r="H1156" t="str">
            <v>Courier &amp; Telegram</v>
          </cell>
          <cell r="I1156">
            <v>458968</v>
          </cell>
          <cell r="J1156">
            <v>172017</v>
          </cell>
          <cell r="K1156">
            <v>0</v>
          </cell>
          <cell r="L1156">
            <v>630985</v>
          </cell>
          <cell r="M1156">
            <v>630985</v>
          </cell>
          <cell r="O1156" t="str">
            <v>z</v>
          </cell>
        </row>
        <row r="1157">
          <cell r="G1157" t="str">
            <v>TELEPHONE ,TELEX &amp; FAX CHARGES</v>
          </cell>
          <cell r="H1157" t="str">
            <v>Telephone, Telex &amp; Fax Chgs.</v>
          </cell>
          <cell r="I1157">
            <v>5046341.43</v>
          </cell>
          <cell r="J1157">
            <v>935754</v>
          </cell>
          <cell r="K1157">
            <v>160774</v>
          </cell>
          <cell r="L1157">
            <v>5821321.4299999997</v>
          </cell>
          <cell r="M1157">
            <v>5821321.4299999997</v>
          </cell>
          <cell r="O1157" t="str">
            <v>z</v>
          </cell>
        </row>
        <row r="1158">
          <cell r="G1158" t="str">
            <v>SALES CONFERANCE EXPENSES &amp; PROMOTIONAL EXPENSES</v>
          </cell>
          <cell r="H1158" t="str">
            <v>Sales Conference Chgs.</v>
          </cell>
          <cell r="I1158">
            <v>4367418.8</v>
          </cell>
          <cell r="J1158">
            <v>864134.37</v>
          </cell>
          <cell r="K1158">
            <v>2630</v>
          </cell>
          <cell r="L1158">
            <v>5241307.17</v>
          </cell>
          <cell r="M1158">
            <v>5241307.17</v>
          </cell>
          <cell r="O1158" t="str">
            <v>z</v>
          </cell>
        </row>
        <row r="1159">
          <cell r="G1159" t="str">
            <v>DAILY ALLOWANCE &amp; ACCOMODATIONS CHARGES(LOCAL)</v>
          </cell>
          <cell r="H1159" t="str">
            <v>Daily Allowance &amp; Accomodation Chgs.</v>
          </cell>
          <cell r="I1159">
            <v>1334452</v>
          </cell>
          <cell r="J1159">
            <v>0</v>
          </cell>
          <cell r="K1159">
            <v>0</v>
          </cell>
          <cell r="L1159">
            <v>1334452</v>
          </cell>
          <cell r="M1159">
            <v>1376032</v>
          </cell>
          <cell r="O1159">
            <v>14</v>
          </cell>
        </row>
        <row r="1160">
          <cell r="G1160" t="str">
            <v>DAILY ALLOWANCE &amp; ACCOMODATIONS CHARGES(OVERSEAS)</v>
          </cell>
          <cell r="I1160">
            <v>41580</v>
          </cell>
          <cell r="J1160">
            <v>0</v>
          </cell>
          <cell r="K1160">
            <v>0</v>
          </cell>
          <cell r="L1160">
            <v>41580</v>
          </cell>
          <cell r="O1160">
            <v>14</v>
          </cell>
        </row>
        <row r="1161">
          <cell r="G1161" t="str">
            <v>TRAVELLING &amp; FLYING COST ( LOCAL)</v>
          </cell>
          <cell r="H1161" t="str">
            <v>Travelling &amp; Flying Cost</v>
          </cell>
          <cell r="I1161">
            <v>7099978.1799999997</v>
          </cell>
          <cell r="J1161">
            <v>1783739</v>
          </cell>
          <cell r="K1161">
            <v>138179</v>
          </cell>
          <cell r="L1161">
            <v>8732538.1799999997</v>
          </cell>
          <cell r="M1161">
            <v>10534787.18</v>
          </cell>
          <cell r="O1161">
            <v>15</v>
          </cell>
        </row>
        <row r="1162">
          <cell r="G1162" t="str">
            <v>TRAVELLING &amp; FLYING COST ( OVESEAS)</v>
          </cell>
          <cell r="I1162">
            <v>1516198</v>
          </cell>
          <cell r="J1162">
            <v>286051</v>
          </cell>
          <cell r="K1162">
            <v>0</v>
          </cell>
          <cell r="L1162">
            <v>1802249</v>
          </cell>
          <cell r="O1162">
            <v>15</v>
          </cell>
        </row>
        <row r="1163">
          <cell r="G1163" t="str">
            <v>ENTERTAINMENT &amp; GIFTS</v>
          </cell>
          <cell r="H1163" t="str">
            <v>Entertainment &amp; Gift Chgs.</v>
          </cell>
          <cell r="I1163">
            <v>642397</v>
          </cell>
          <cell r="J1163">
            <v>208731</v>
          </cell>
          <cell r="K1163">
            <v>750</v>
          </cell>
          <cell r="L1163">
            <v>850378</v>
          </cell>
          <cell r="M1163">
            <v>850378</v>
          </cell>
          <cell r="O1163" t="str">
            <v>z</v>
          </cell>
        </row>
        <row r="1164">
          <cell r="G1164" t="str">
            <v>SAMPLES</v>
          </cell>
          <cell r="H1164" t="str">
            <v>Samples</v>
          </cell>
          <cell r="I1164">
            <v>1542305.05</v>
          </cell>
          <cell r="J1164">
            <v>23678.09</v>
          </cell>
          <cell r="K1164">
            <v>762787.82</v>
          </cell>
          <cell r="L1164">
            <v>803195.32</v>
          </cell>
          <cell r="M1164">
            <v>803195.32</v>
          </cell>
          <cell r="O1164" t="str">
            <v>z</v>
          </cell>
        </row>
        <row r="1165">
          <cell r="G1165" t="str">
            <v>PACKING MATERIAL (SALES)</v>
          </cell>
          <cell r="H1165" t="str">
            <v>Packing Material - sales</v>
          </cell>
          <cell r="I1165">
            <v>674626</v>
          </cell>
          <cell r="J1165">
            <v>177901</v>
          </cell>
          <cell r="K1165">
            <v>0</v>
          </cell>
          <cell r="L1165">
            <v>852527</v>
          </cell>
          <cell r="M1165">
            <v>852527</v>
          </cell>
          <cell r="O1165" t="str">
            <v>z</v>
          </cell>
        </row>
        <row r="1166">
          <cell r="G1166" t="str">
            <v>DONATIONS</v>
          </cell>
          <cell r="H1166" t="str">
            <v>Donations</v>
          </cell>
          <cell r="I1166">
            <v>9500</v>
          </cell>
          <cell r="J1166">
            <v>0</v>
          </cell>
          <cell r="K1166">
            <v>0</v>
          </cell>
          <cell r="L1166">
            <v>9500</v>
          </cell>
          <cell r="M1166">
            <v>9500</v>
          </cell>
          <cell r="O1166" t="str">
            <v>z</v>
          </cell>
        </row>
        <row r="1167">
          <cell r="G1167" t="str">
            <v>ADVERTISING &amp; EXHIBITIONS</v>
          </cell>
          <cell r="H1167" t="str">
            <v>Advertising &amp; Exhibitions</v>
          </cell>
          <cell r="I1167">
            <v>191551</v>
          </cell>
          <cell r="J1167">
            <v>0</v>
          </cell>
          <cell r="K1167">
            <v>0</v>
          </cell>
          <cell r="L1167">
            <v>191551</v>
          </cell>
          <cell r="M1167">
            <v>191551</v>
          </cell>
          <cell r="O1167" t="str">
            <v>z</v>
          </cell>
        </row>
        <row r="1168">
          <cell r="G1168" t="str">
            <v>MISC.EXP.</v>
          </cell>
          <cell r="H1168" t="str">
            <v>Misc. Expenses</v>
          </cell>
          <cell r="I1168">
            <v>1971778.5</v>
          </cell>
          <cell r="J1168">
            <v>738853</v>
          </cell>
          <cell r="K1168">
            <v>3099</v>
          </cell>
          <cell r="L1168">
            <v>2707532.5</v>
          </cell>
          <cell r="M1168">
            <v>2707532.5</v>
          </cell>
          <cell r="O1168" t="str">
            <v>z</v>
          </cell>
        </row>
        <row r="1169">
          <cell r="G1169" t="str">
            <v>INSURANCE - STOCKS</v>
          </cell>
          <cell r="H1169" t="str">
            <v>Insurance Stocks</v>
          </cell>
          <cell r="I1169">
            <v>418908</v>
          </cell>
          <cell r="J1169">
            <v>38974</v>
          </cell>
          <cell r="K1169">
            <v>0</v>
          </cell>
          <cell r="L1169">
            <v>457882</v>
          </cell>
          <cell r="M1169">
            <v>457882</v>
          </cell>
          <cell r="O1169" t="str">
            <v>z</v>
          </cell>
        </row>
        <row r="1170">
          <cell r="G1170" t="str">
            <v>INSURANCE - MOTOR</v>
          </cell>
          <cell r="H1170" t="str">
            <v xml:space="preserve">Insurance - Others- R &amp; D, Motor </v>
          </cell>
          <cell r="I1170">
            <v>183652</v>
          </cell>
          <cell r="J1170">
            <v>6295</v>
          </cell>
          <cell r="K1170">
            <v>0</v>
          </cell>
          <cell r="L1170">
            <v>189947</v>
          </cell>
          <cell r="M1170">
            <v>189947</v>
          </cell>
          <cell r="O1170" t="str">
            <v>z</v>
          </cell>
        </row>
        <row r="1171">
          <cell r="G1171" t="str">
            <v>SUNDRY BALANCES  W/OFF</v>
          </cell>
          <cell r="H1171" t="str">
            <v>Sundry Balances Written off</v>
          </cell>
          <cell r="I1171">
            <v>944204.47</v>
          </cell>
          <cell r="J1171">
            <v>0</v>
          </cell>
          <cell r="K1171">
            <v>0</v>
          </cell>
          <cell r="L1171">
            <v>1021446.05</v>
          </cell>
          <cell r="M1171">
            <v>1021446.05</v>
          </cell>
          <cell r="O1171" t="str">
            <v>z</v>
          </cell>
        </row>
        <row r="1172">
          <cell r="G1172" t="str">
            <v>PROVIDEND FUND ADMN.CHARGES</v>
          </cell>
          <cell r="H1172" t="str">
            <v>Providend Fund (Other Operatiing Exps)</v>
          </cell>
          <cell r="I1172">
            <v>72347</v>
          </cell>
          <cell r="J1172">
            <v>15310</v>
          </cell>
          <cell r="K1172">
            <v>0</v>
          </cell>
          <cell r="L1172">
            <v>87657</v>
          </cell>
          <cell r="M1172">
            <v>87657</v>
          </cell>
          <cell r="O1172" t="str">
            <v>z</v>
          </cell>
        </row>
        <row r="1173">
          <cell r="G1173" t="str">
            <v>DOUBTFUL DEBTS</v>
          </cell>
          <cell r="H1173" t="str">
            <v>Provision for Doubtful Debts</v>
          </cell>
          <cell r="I1173">
            <v>3801057</v>
          </cell>
          <cell r="J1173">
            <v>0</v>
          </cell>
          <cell r="K1173">
            <v>0</v>
          </cell>
          <cell r="L1173">
            <v>3801057</v>
          </cell>
          <cell r="M1173">
            <v>3801057</v>
          </cell>
          <cell r="O1173" t="str">
            <v>z</v>
          </cell>
        </row>
        <row r="1174">
          <cell r="G1174" t="str">
            <v>REALISED FOREX LOSS</v>
          </cell>
          <cell r="I1174">
            <v>1390141.24</v>
          </cell>
          <cell r="J1174">
            <v>1531397.87</v>
          </cell>
          <cell r="K1174">
            <v>0</v>
          </cell>
          <cell r="L1174">
            <v>3987413.26</v>
          </cell>
          <cell r="O1174">
            <v>16</v>
          </cell>
        </row>
        <row r="1175">
          <cell r="G1175" t="str">
            <v>UNREALISED FOREX LOSS</v>
          </cell>
          <cell r="I1175">
            <v>-810804</v>
          </cell>
          <cell r="J1175">
            <v>0</v>
          </cell>
          <cell r="K1175">
            <v>0</v>
          </cell>
          <cell r="L1175">
            <v>3141780</v>
          </cell>
          <cell r="O1175">
            <v>17</v>
          </cell>
        </row>
        <row r="1176">
          <cell r="G1176" t="str">
            <v>CENTRAL SALES TAX</v>
          </cell>
          <cell r="H1176" t="str">
            <v>Sales Tax</v>
          </cell>
          <cell r="I1176">
            <v>127821.39</v>
          </cell>
          <cell r="J1176">
            <v>93571.97</v>
          </cell>
          <cell r="K1176">
            <v>21115.33</v>
          </cell>
          <cell r="L1176">
            <v>200278.03</v>
          </cell>
          <cell r="M1176">
            <v>220937.31</v>
          </cell>
          <cell r="O1176">
            <v>19</v>
          </cell>
        </row>
        <row r="1177">
          <cell r="G1177" t="str">
            <v>LOCAL SALES TAX</v>
          </cell>
          <cell r="H1177" t="str">
            <v>Sales Tax</v>
          </cell>
          <cell r="I1177">
            <v>20209.87</v>
          </cell>
          <cell r="J1177">
            <v>941.41</v>
          </cell>
          <cell r="K1177">
            <v>492</v>
          </cell>
          <cell r="L1177">
            <v>20659.28</v>
          </cell>
          <cell r="O1177">
            <v>19</v>
          </cell>
        </row>
        <row r="1178">
          <cell r="G1178" t="str">
            <v>BANK INTEREST - LONG TERM CREDIT</v>
          </cell>
          <cell r="I1178">
            <v>0</v>
          </cell>
          <cell r="J1178">
            <v>0</v>
          </cell>
          <cell r="K1178">
            <v>0</v>
          </cell>
          <cell r="L1178">
            <v>0</v>
          </cell>
        </row>
        <row r="1179">
          <cell r="G1179" t="str">
            <v>BANK INTEREST - OTHER CREDIT</v>
          </cell>
          <cell r="H1179" t="str">
            <v>Bank Interest - Other Credit</v>
          </cell>
          <cell r="I1179">
            <v>1101461.49</v>
          </cell>
          <cell r="J1179">
            <v>1334728.52</v>
          </cell>
          <cell r="K1179">
            <v>75000</v>
          </cell>
          <cell r="L1179">
            <v>2361190.0099999998</v>
          </cell>
          <cell r="M1179">
            <v>2361190.0099999998</v>
          </cell>
          <cell r="O1179" t="str">
            <v>z</v>
          </cell>
        </row>
        <row r="1180">
          <cell r="G1180" t="str">
            <v>INTEREST - NON GROUP COMPANIES</v>
          </cell>
          <cell r="H1180" t="str">
            <v xml:space="preserve">Other Interest </v>
          </cell>
          <cell r="I1180">
            <v>225000</v>
          </cell>
          <cell r="J1180">
            <v>75000</v>
          </cell>
          <cell r="K1180">
            <v>0</v>
          </cell>
          <cell r="L1180">
            <v>300000</v>
          </cell>
          <cell r="M1180">
            <v>300000</v>
          </cell>
          <cell r="O1180" t="str">
            <v>z</v>
          </cell>
        </row>
        <row r="1181">
          <cell r="G1181" t="str">
            <v>OTHER TAXES</v>
          </cell>
          <cell r="I1181">
            <v>405</v>
          </cell>
          <cell r="J1181">
            <v>0</v>
          </cell>
          <cell r="K1181">
            <v>0</v>
          </cell>
          <cell r="L1181">
            <v>405</v>
          </cell>
          <cell r="O1181">
            <v>18</v>
          </cell>
        </row>
        <row r="1182">
          <cell r="G1182" t="str">
            <v>DEPRECIATION ON LAND &amp; BUILDINGS</v>
          </cell>
          <cell r="H1182" t="str">
            <v>Depreciation on Land &amp; Building</v>
          </cell>
          <cell r="I1182">
            <v>274094</v>
          </cell>
          <cell r="J1182">
            <v>413458</v>
          </cell>
          <cell r="K1182">
            <v>0</v>
          </cell>
          <cell r="L1182">
            <v>687552</v>
          </cell>
          <cell r="M1182">
            <v>687552</v>
          </cell>
          <cell r="O1182" t="str">
            <v>z</v>
          </cell>
          <cell r="U1182">
            <v>4782438</v>
          </cell>
        </row>
        <row r="1183">
          <cell r="G1183" t="str">
            <v>DEPRECIATION ON TECHNICAL EQUIPMENT AND MACHINERY</v>
          </cell>
          <cell r="H1183" t="str">
            <v>Depreciation on Technical Equipment</v>
          </cell>
          <cell r="I1183">
            <v>522491</v>
          </cell>
          <cell r="J1183">
            <v>604886</v>
          </cell>
          <cell r="K1183">
            <v>0</v>
          </cell>
          <cell r="L1183">
            <v>1127377</v>
          </cell>
          <cell r="M1183">
            <v>1127377</v>
          </cell>
          <cell r="O1183" t="str">
            <v>z</v>
          </cell>
          <cell r="U1183">
            <v>4782828</v>
          </cell>
        </row>
        <row r="1184">
          <cell r="G1184" t="str">
            <v>DEPRECIATION ON WORKSHOP EQUIPMENT</v>
          </cell>
          <cell r="H1184" t="str">
            <v>Depreciation on Workshop Equipment</v>
          </cell>
          <cell r="I1184">
            <v>47686</v>
          </cell>
          <cell r="J1184">
            <v>0</v>
          </cell>
          <cell r="K1184">
            <v>30000</v>
          </cell>
          <cell r="L1184">
            <v>17686</v>
          </cell>
          <cell r="M1184">
            <v>17686</v>
          </cell>
          <cell r="O1184" t="str">
            <v>z</v>
          </cell>
          <cell r="U1184">
            <v>390</v>
          </cell>
        </row>
        <row r="1185">
          <cell r="G1185" t="str">
            <v>DEPRECIATION ON MOTOR VEHICLE</v>
          </cell>
          <cell r="H1185" t="str">
            <v>Depreciation on Motor Vehical</v>
          </cell>
          <cell r="I1185">
            <v>117334</v>
          </cell>
          <cell r="J1185">
            <v>97678</v>
          </cell>
          <cell r="K1185">
            <v>20000</v>
          </cell>
          <cell r="L1185">
            <v>195012</v>
          </cell>
          <cell r="M1185">
            <v>195012</v>
          </cell>
          <cell r="O1185" t="str">
            <v>z</v>
          </cell>
        </row>
        <row r="1186">
          <cell r="G1186" t="str">
            <v>DEPRECIATION ON FURNITURE &amp; FIXTURES</v>
          </cell>
          <cell r="H1186" t="str">
            <v>Depreciation on Furniture &amp; Fixture</v>
          </cell>
          <cell r="I1186">
            <v>190233</v>
          </cell>
          <cell r="J1186">
            <v>196234</v>
          </cell>
          <cell r="K1186">
            <v>24000</v>
          </cell>
          <cell r="L1186">
            <v>362467</v>
          </cell>
          <cell r="M1186">
            <v>362467</v>
          </cell>
          <cell r="O1186" t="str">
            <v>z</v>
          </cell>
        </row>
        <row r="1187">
          <cell r="G1187" t="str">
            <v>DEPRECIATION ON OFFICE EQUIPMENT</v>
          </cell>
          <cell r="H1187" t="str">
            <v>Depreciation on Office Equipment</v>
          </cell>
          <cell r="I1187">
            <v>346143</v>
          </cell>
          <cell r="J1187">
            <v>444680</v>
          </cell>
          <cell r="K1187">
            <v>11000</v>
          </cell>
          <cell r="L1187">
            <v>779823</v>
          </cell>
          <cell r="M1187">
            <v>779823</v>
          </cell>
          <cell r="O1187" t="str">
            <v>z</v>
          </cell>
        </row>
        <row r="1188">
          <cell r="G1188" t="str">
            <v>DEPRECIATION ON EDP HARDWARE</v>
          </cell>
          <cell r="H1188" t="str">
            <v>Depreciation on EDP Hardware</v>
          </cell>
          <cell r="I1188">
            <v>752190</v>
          </cell>
          <cell r="J1188">
            <v>434239</v>
          </cell>
          <cell r="K1188">
            <v>300000</v>
          </cell>
          <cell r="L1188">
            <v>886429</v>
          </cell>
          <cell r="M1188">
            <v>886429</v>
          </cell>
          <cell r="O1188" t="str">
            <v>z</v>
          </cell>
        </row>
        <row r="1189">
          <cell r="G1189" t="str">
            <v>DEPRECIATION ON EDP SOFTWARE</v>
          </cell>
          <cell r="H1189" t="str">
            <v>Depreciation on EDP Software</v>
          </cell>
          <cell r="I1189">
            <v>483276</v>
          </cell>
          <cell r="J1189">
            <v>351113</v>
          </cell>
          <cell r="K1189">
            <v>150000</v>
          </cell>
          <cell r="L1189">
            <v>684389</v>
          </cell>
          <cell r="M1189">
            <v>684389</v>
          </cell>
          <cell r="O1189" t="str">
            <v>z</v>
          </cell>
        </row>
        <row r="1190">
          <cell r="G1190" t="str">
            <v>DEPRECIATION ON COMMUNICATION EQUIPMENT</v>
          </cell>
          <cell r="H1190" t="str">
            <v>Depreciation on Communication</v>
          </cell>
          <cell r="I1190">
            <v>23124</v>
          </cell>
          <cell r="J1190">
            <v>18579</v>
          </cell>
          <cell r="K1190">
            <v>0</v>
          </cell>
          <cell r="L1190">
            <v>41703</v>
          </cell>
          <cell r="M1190">
            <v>41703</v>
          </cell>
          <cell r="O1190" t="str">
            <v>z</v>
          </cell>
        </row>
        <row r="1192">
          <cell r="I1192">
            <v>4399534.4600001862</v>
          </cell>
          <cell r="J1192">
            <v>280081989.90000004</v>
          </cell>
          <cell r="K1192">
            <v>284481524.35999984</v>
          </cell>
          <cell r="L1192">
            <v>4.2840838432312012E-8</v>
          </cell>
          <cell r="M1192">
            <v>9336242.2500000019</v>
          </cell>
          <cell r="P1192">
            <v>2427762.7300000787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apitalization"/>
      <sheetName val="Sensitivity Analysis"/>
      <sheetName val="OpStmt"/>
      <sheetName val="OpStmt (Q)"/>
      <sheetName val="Return"/>
      <sheetName val="Return (Q)"/>
      <sheetName val="Partner Promote"/>
      <sheetName val="A-General"/>
      <sheetName val="A-Global"/>
      <sheetName val="Property NOI"/>
      <sheetName val="A-Property"/>
      <sheetName val="A-Property Expense"/>
      <sheetName val="Module1"/>
      <sheetName val="A-Rentroll"/>
      <sheetName val="A-Min Vacancy"/>
      <sheetName val="A-Disposition &amp; Purchase"/>
      <sheetName val="Market Rent"/>
      <sheetName val="Revenue"/>
      <sheetName val="Rent"/>
      <sheetName val="Occupancy"/>
      <sheetName val="Lease Status"/>
      <sheetName val="PrintManagerCode"/>
      <sheetName val="A-Debt"/>
      <sheetName val="Debt"/>
      <sheetName val="A-Tax"/>
      <sheetName val="Tax"/>
      <sheetName val="Definition"/>
      <sheetName val="Fund &amp; Investor Summary"/>
      <sheetName val="Investment Summary"/>
      <sheetName val="Class A"/>
      <sheetName val="Class B"/>
      <sheetName val="A_General"/>
      <sheetName val="FITZ MORT 94"/>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row r="10">
          <cell r="R10">
            <v>3</v>
          </cell>
        </row>
      </sheetData>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sheetName val="CF (NB)"/>
      <sheetName val="Dwt"/>
      <sheetName val="Cbm"/>
      <sheetName val="B|B"/>
      <sheetName val="JTM"/>
      <sheetName val="Module2"/>
    </sheetNames>
    <sheetDataSet>
      <sheetData sheetId="0"/>
      <sheetData sheetId="1"/>
      <sheetData sheetId="2"/>
      <sheetData sheetId="3"/>
      <sheetData sheetId="4"/>
      <sheetData sheetId="5"/>
      <sheetData sheetId="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 val="Ver 1"/>
    </sheetNames>
    <sheetDataSet>
      <sheetData sheetId="0" refreshError="1"/>
      <sheetData sheetId="1" refreshError="1">
        <row r="15">
          <cell r="E15" t="str">
            <v xml:space="preserve">Maharashtra </v>
          </cell>
        </row>
        <row r="22">
          <cell r="E22" t="str">
            <v>State</v>
          </cell>
          <cell r="G22" t="str">
            <v>Credit Card #1</v>
          </cell>
        </row>
        <row r="23">
          <cell r="E23">
            <v>0.05</v>
          </cell>
          <cell r="G23" t="str">
            <v>Credit Card #2</v>
          </cell>
        </row>
        <row r="24">
          <cell r="D24" t="b">
            <v>1</v>
          </cell>
          <cell r="G24" t="str">
            <v>Credit Card #3</v>
          </cell>
        </row>
        <row r="28">
          <cell r="D28" t="b">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CD"/>
      <sheetName val="Sheet4"/>
      <sheetName val="Rm"/>
      <sheetName val="Capex"/>
      <sheetName val="forTL"/>
      <sheetName val="43B"/>
      <sheetName val="ROI"/>
      <sheetName val="depo"/>
      <sheetName val="192"/>
      <sheetName val="194A"/>
      <sheetName val="194C"/>
      <sheetName val="194 I"/>
      <sheetName val="194 J"/>
      <sheetName val="Bon.CL.7"/>
      <sheetName val="CONSOLIDATION"/>
      <sheetName val="Bon.CL.4(x)"/>
      <sheetName val="Sheet2"/>
      <sheetName val="Sheet1"/>
      <sheetName val="Exreco (2)"/>
      <sheetName val="bonReco (2)"/>
      <sheetName val="totalreco"/>
      <sheetName val="Sheet3"/>
      <sheetName val="CAS 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dules to Fixed Asset"/>
      <sheetName val="Challan"/>
    </sheetNames>
    <sheetDataSet>
      <sheetData sheetId="0" refreshError="1"/>
      <sheetData sheetId="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Output"/>
      <sheetName val="Assum"/>
      <sheetName val="Plant_details"/>
      <sheetName val="P&amp;L"/>
      <sheetName val="BS"/>
      <sheetName val="CFS"/>
      <sheetName val="DCF"/>
      <sheetName val="Loans"/>
      <sheetName val="WCAP"/>
      <sheetName val="Fixed_Assets"/>
      <sheetName val="Computation"/>
      <sheetName val="Investments"/>
      <sheetName val="I.T.Dep"/>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TA Power"/>
      <sheetName val="Brokers Consensus"/>
      <sheetName val="Sheet2"/>
    </sheetNames>
    <sheetDataSet>
      <sheetData sheetId="0">
        <row r="2">
          <cell r="L2">
            <v>1</v>
          </cell>
        </row>
      </sheetData>
      <sheetData sheetId="1"/>
      <sheetData sheetId="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s-&gt;&gt;"/>
      <sheetName val="O-Sens-KW-B"/>
      <sheetName val="O-Sens-KW-D"/>
      <sheetName val="O-Sens-Baspa"/>
      <sheetName val="O-Brokers-KW"/>
      <sheetName val="O-Brokers-Baspa"/>
      <sheetName val="O-Rev-KW-B"/>
      <sheetName val="O-Rev-KW-D"/>
      <sheetName val="O-Rev-Baspa"/>
      <sheetName val="O-CF-KW"/>
      <sheetName val="O-CF-Baspa"/>
      <sheetName val="O-BS-KW"/>
      <sheetName val="O-BS-Baspa"/>
      <sheetName val="O-IS-KW"/>
      <sheetName val="O-IS-Baspa"/>
      <sheetName val="O-FCFE-KW"/>
      <sheetName val="O-FCFE-Baspa"/>
      <sheetName val="Models-&gt;&gt;"/>
      <sheetName val="Wangtoo_Chart"/>
      <sheetName val="Baspa_Chart"/>
      <sheetName val="Consolidated_Chart"/>
      <sheetName val="Football"/>
      <sheetName val="Broker"/>
      <sheetName val="FCFE-KW"/>
      <sheetName val="FCFE-Baspa"/>
      <sheetName val="KW"/>
      <sheetName val="Baspa"/>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hs-swap "/>
      <sheetName val="dhs-XTL"/>
      <sheetName val="dhs-XIUS"/>
      <sheetName val="XTL revenue"/>
      <sheetName val="Assumptions"/>
      <sheetName val="P &amp; L"/>
      <sheetName val="Income Tax "/>
      <sheetName val="Revenue Expenses"/>
      <sheetName val="Depreciation Books"/>
      <sheetName val="Balance Sheet"/>
      <sheetName val="Project cost"/>
      <sheetName val="Means of Finance"/>
      <sheetName val="HARDWARE"/>
      <sheetName val="SOFTWARE"/>
      <sheetName val="STATISTICS"/>
      <sheetName val="SUMMARY OF TELECOM REVENUES"/>
      <sheetName val="Maharashta BPL"/>
      <sheetName val="TN BPL"/>
      <sheetName val="KERALA BPL"/>
      <sheetName val="KARNATAKA - SPICE "/>
      <sheetName val="PUNJAB SPICE"/>
      <sheetName val="AP BATATA"/>
      <sheetName val="GUJARAT BATATA"/>
      <sheetName val="MP BATATA"/>
      <sheetName val="MAHARASHTRA BATATA"/>
      <sheetName val="NEW DELHI ORANGE"/>
      <sheetName val="MUMBAI ORANGE"/>
      <sheetName val="KOLKATA ORANGE"/>
      <sheetName val="GUJARAT ORANGE"/>
      <sheetName val="CHENNAI RPG"/>
      <sheetName val="KOLKATA Spice-airtel"/>
      <sheetName val="RAJASTHAN HEXACOM"/>
      <sheetName val="HARYANA ESCOTEL"/>
      <sheetName val="KERALA ESCOTEL"/>
      <sheetName val="UP WEST ESCOTEL"/>
      <sheetName val="Depreciation Tax"/>
      <sheetName val="Capex"/>
      <sheetName val="Cashflow"/>
      <sheetName val="Dividneds"/>
      <sheetName val="Term Loans"/>
      <sheetName val="out roaming distribution"/>
      <sheetName val="Mumbai BPL"/>
      <sheetName val="BARODA OFFICE - PETTY CAS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s"/>
      <sheetName val="Assumptions"/>
      <sheetName val="ABI data"/>
      <sheetName val="building"/>
      <sheetName val="Building Summary"/>
      <sheetName val="summary"/>
      <sheetName val="Businesssummary"/>
      <sheetName val="Kbs summary"/>
      <sheetName val="empsummary"/>
      <sheetName val="tensummary"/>
      <sheetName val="tensummary Stats"/>
      <sheetName val="Single Analysis"/>
      <sheetName val="Multi Analysis"/>
      <sheetName val="Sheet1"/>
      <sheetName val="Data"/>
      <sheetName val="Const QMS Dash Board"/>
      <sheetName val=""/>
      <sheetName val="Citibuilder"/>
      <sheetName val="ABI_data"/>
      <sheetName val="Building_Summary"/>
      <sheetName val="Kbs_summary"/>
      <sheetName val="tensummary_Stats"/>
      <sheetName val="Single_Analysis"/>
      <sheetName val="Multi_Analysis"/>
      <sheetName val="Const_QMS_Dash_Board"/>
      <sheetName val="ABI_data1"/>
      <sheetName val="Building_Summary1"/>
      <sheetName val="Kbs_summary1"/>
      <sheetName val="tensummary_Stats1"/>
      <sheetName val="Single_Analysis1"/>
      <sheetName val="Multi_Analysis1"/>
      <sheetName val="Const_QMS_Dash_Board1"/>
      <sheetName val="ABI_data2"/>
      <sheetName val="Building_Summary2"/>
      <sheetName val="Kbs_summary2"/>
      <sheetName val="tensummary_Stats2"/>
      <sheetName val="Single_Analysis2"/>
      <sheetName val="Multi_Analysis2"/>
      <sheetName val="Const_QMS_Dash_Board2"/>
      <sheetName val="ABI_data3"/>
      <sheetName val="Building_Summary3"/>
      <sheetName val="Kbs_summary3"/>
      <sheetName val="tensummary_Stats3"/>
      <sheetName val="Single_Analysis3"/>
      <sheetName val="Multi_Analysis3"/>
      <sheetName val="Const_QMS_Dash_Board3"/>
      <sheetName val="Level 0"/>
      <sheetName val="Assmpns"/>
      <sheetName val="NC"/>
      <sheetName val="Parameters"/>
      <sheetName val="icici"/>
      <sheetName val="A-Property"/>
      <sheetName val="Chart"/>
      <sheetName val="capg"/>
      <sheetName val="factors"/>
      <sheetName val="Consolidated"/>
      <sheetName val="CFS"/>
      <sheetName val="Controls"/>
      <sheetName val="CII"/>
      <sheetName val="SOLUT007"/>
      <sheetName val="SOLUT010"/>
      <sheetName val="ABI_data5"/>
      <sheetName val="Building_Summary5"/>
      <sheetName val="Kbs_summary5"/>
      <sheetName val="tensummary_Stats5"/>
      <sheetName val="Single_Analysis5"/>
      <sheetName val="Multi_Analysis5"/>
      <sheetName val="Const_QMS_Dash_Board5"/>
      <sheetName val="Level_01"/>
      <sheetName val="ABI_data4"/>
      <sheetName val="Building_Summary4"/>
      <sheetName val="Kbs_summary4"/>
      <sheetName val="tensummary_Stats4"/>
      <sheetName val="Single_Analysis4"/>
      <sheetName val="Multi_Analysis4"/>
      <sheetName val="Const_QMS_Dash_Board4"/>
      <sheetName val="Level_0"/>
      <sheetName val="Circulaty"/>
      <sheetName val="#REF"/>
      <sheetName val="Direct_Lbr"/>
      <sheetName val="Rates"/>
      <sheetName val="Bech_Lab"/>
      <sheetName val="Detail"/>
      <sheetName val="A"/>
      <sheetName val="B"/>
      <sheetName val="Manpower"/>
      <sheetName val="Final VA"/>
      <sheetName val="Challan"/>
      <sheetName val="EBITDA Bridge"/>
      <sheetName val="WC analytics (+data pages)"/>
      <sheetName val="SWITCH"/>
      <sheetName val="CONNECTIVITY"/>
      <sheetName val="FilterTable"/>
      <sheetName val="Main_Menu"/>
      <sheetName val="LINKS"/>
      <sheetName val="NonUnitItems"/>
      <sheetName val="CostTable"/>
      <sheetName val="PriceTable"/>
      <sheetName val="Sheet3"/>
      <sheetName val="CF"/>
      <sheetName val="Codes"/>
      <sheetName val="F-DCF"/>
      <sheetName val="CWIP-detl-AUC"/>
      <sheetName val="Config"/>
      <sheetName val="Break Dw"/>
      <sheetName val="BOQ"/>
      <sheetName val="List"/>
      <sheetName val="ABI_data6"/>
      <sheetName val="Building_Summary6"/>
      <sheetName val="Kbs_summary6"/>
      <sheetName val="tensummary_Stats6"/>
      <sheetName val="Single_Analysis6"/>
      <sheetName val="Multi_Analysis6"/>
      <sheetName val="Const_QMS_Dash_Board6"/>
      <sheetName val="ABI_data7"/>
      <sheetName val="Building_Summary7"/>
      <sheetName val="Kbs_summary7"/>
      <sheetName val="tensummary_Stats7"/>
      <sheetName val="Single_Analysis7"/>
      <sheetName val="Multi_Analysis7"/>
      <sheetName val="Const_QMS_Dash_Board7"/>
      <sheetName val="ABI_data8"/>
      <sheetName val="Building_Summary8"/>
      <sheetName val="Kbs_summary8"/>
      <sheetName val="tensummary_Stats8"/>
      <sheetName val="Single_Analysis8"/>
      <sheetName val="Multi_Analysis8"/>
      <sheetName val="Const_QMS_Dash_Board8"/>
      <sheetName val="ABI_data9"/>
      <sheetName val="Building_Summary9"/>
      <sheetName val="Kbs_summary9"/>
      <sheetName val="tensummary_Stats9"/>
      <sheetName val="Single_Analysis9"/>
      <sheetName val="Multi_Analysis9"/>
      <sheetName val="Const_QMS_Dash_Board9"/>
      <sheetName val="ABI_data10"/>
      <sheetName val="Building_Summary10"/>
      <sheetName val="Kbs_summary10"/>
      <sheetName val="tensummary_Stats10"/>
      <sheetName val="Single_Analysis10"/>
      <sheetName val="Multi_Analysis10"/>
      <sheetName val="Const_QMS_Dash_Board10"/>
      <sheetName val="sc-mar2000"/>
      <sheetName val="óc-sepVdec99"/>
      <sheetName val="PRICE-COMP"/>
      <sheetName val="ABI_data11"/>
      <sheetName val="Building_Summary11"/>
      <sheetName val="Kbs_summary11"/>
      <sheetName val="tensummary_Stats11"/>
      <sheetName val="Single_Analysis11"/>
      <sheetName val="Multi_Analysis11"/>
      <sheetName val="Const_QMS_Dash_Board11"/>
      <sheetName val="ABI_data12"/>
      <sheetName val="Building_Summary12"/>
      <sheetName val="Kbs_summary12"/>
      <sheetName val="tensummary_Stats12"/>
      <sheetName val="Single_Analysis12"/>
      <sheetName val="Multi_Analysis12"/>
      <sheetName val="Const_QMS_Dash_Board12"/>
      <sheetName val="Level_02"/>
      <sheetName val="Final_VA"/>
      <sheetName val="EBITDA_Bridge"/>
      <sheetName val="WC_analytics_(+data_pages)"/>
      <sheetName val="Break_Dw"/>
      <sheetName val="SOLUT006"/>
      <sheetName val="oresreqsum"/>
      <sheetName val="CFP"/>
      <sheetName val="ecc_res"/>
      <sheetName val="GS-DCF"/>
      <sheetName val="DSL-S"/>
      <sheetName val="LA- lookups"/>
      <sheetName val="Other assumptions"/>
      <sheetName val="INNOVATION"/>
      <sheetName val="factor sheet"/>
      <sheetName val="DDETABLE "/>
      <sheetName val="A-General"/>
      <sheetName val="R - Seats Requirement"/>
      <sheetName val="Historical Data 1"/>
      <sheetName val="FORECAST"/>
      <sheetName val="New Business"/>
      <sheetName val="Seat Data"/>
      <sheetName val="Assumption"/>
      <sheetName val="Ins Erection"/>
      <sheetName val="#REF!"/>
      <sheetName val="OEE"/>
      <sheetName val="Conditions"/>
      <sheetName val="Daywise"/>
      <sheetName val="Staffing"/>
      <sheetName val="Bi_Weekly"/>
      <sheetName val="A G PIPING"/>
      <sheetName val="OVER ALL"/>
    </sheetNames>
    <sheetDataSet>
      <sheetData sheetId="0" refreshError="1"/>
      <sheetData sheetId="1" refreshError="1">
        <row r="2">
          <cell r="M2" t="str">
            <v>EDMONTON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sheetData sheetId="122"/>
      <sheetData sheetId="123"/>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chedule"/>
      <sheetName val="debt schedule-tyres"/>
      <sheetName val="debt schedule -sugar"/>
      <sheetName val="debt-IDBI"/>
      <sheetName val="debt -ICICI"/>
      <sheetName val="debt -IFCI"/>
      <sheetName val="debt-SBI"/>
      <sheetName val="debt schedule - Corpo"/>
      <sheetName val="debt schedule - JKDPL"/>
      <sheetName val="debt-sugar"/>
      <sheetName val="debt -tyres"/>
      <sheetName val="debt - Corp"/>
      <sheetName val="BL-Bud"/>
      <sheetName val="BS-Bud"/>
      <sheetName val="GW-Bud"/>
      <sheetName val="Head Office-Bud"/>
      <sheetName val="MS-Bud"/>
      <sheetName val="PL-Bud"/>
      <sheetName val="TB-Bud"/>
      <sheetName val="TM-Bud"/>
      <sheetName val="YS-Bud"/>
      <sheetName val="CoverSheet"/>
      <sheetName val="Ann -1"/>
      <sheetName val="assumptions"/>
      <sheetName val="Do not delet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N connectivity details"/>
      <sheetName val="MCN constructruction details"/>
      <sheetName val="Sheet2"/>
      <sheetName val="Sheet1"/>
      <sheetName val="Data not available"/>
      <sheetName val="MCN Manpower details"/>
      <sheetName val="MCN IT details"/>
      <sheetName val="Miscellenous "/>
      <sheetName val="Annexure 1"/>
      <sheetName val="Annexure 6"/>
      <sheetName val="Annexure 7"/>
      <sheetName val="Annexure 8"/>
      <sheetName val="Annexure 9"/>
      <sheetName val="Annexure 10"/>
      <sheetName val="Annexure 11"/>
      <sheetName val="Annexure 12"/>
      <sheetName val="Annexure 13"/>
      <sheetName val="MCN Addresses"/>
    </sheetNames>
    <sheetDataSet>
      <sheetData sheetId="0"/>
      <sheetData sheetId="1"/>
      <sheetData sheetId="2" refreshError="1">
        <row r="3">
          <cell r="A3" t="str">
            <v>Delhi (Okhla)</v>
          </cell>
          <cell r="B3" t="str">
            <v>DELHI &amp; RAJASTHAN</v>
          </cell>
          <cell r="C3" t="str">
            <v>DELHI</v>
          </cell>
        </row>
        <row r="4">
          <cell r="A4" t="str">
            <v>Ghaziabad</v>
          </cell>
          <cell r="B4" t="str">
            <v>DELHI &amp; RAJASTHAN</v>
          </cell>
          <cell r="C4" t="str">
            <v>DELHI</v>
          </cell>
        </row>
        <row r="5">
          <cell r="A5" t="str">
            <v>GURGAON</v>
          </cell>
          <cell r="B5" t="str">
            <v>DELHI &amp; RAJASTHAN</v>
          </cell>
          <cell r="C5" t="str">
            <v>DELHI</v>
          </cell>
        </row>
        <row r="6">
          <cell r="A6" t="str">
            <v>FARIDABAD</v>
          </cell>
          <cell r="B6" t="str">
            <v>DELHI &amp; RAJASTHAN</v>
          </cell>
          <cell r="C6" t="str">
            <v>DELHI</v>
          </cell>
        </row>
        <row r="7">
          <cell r="A7" t="str">
            <v>MODINAGAR</v>
          </cell>
          <cell r="B7" t="str">
            <v>DELHI &amp; RAJASTHAN</v>
          </cell>
          <cell r="C7" t="str">
            <v>DELHI</v>
          </cell>
        </row>
        <row r="8">
          <cell r="A8" t="str">
            <v>REWARI</v>
          </cell>
          <cell r="B8" t="str">
            <v>DELHI &amp; RAJASTHAN</v>
          </cell>
          <cell r="C8" t="str">
            <v>DELHI</v>
          </cell>
        </row>
        <row r="9">
          <cell r="A9" t="str">
            <v>PALWAL</v>
          </cell>
          <cell r="B9" t="str">
            <v>DELHI &amp; RAJASTHAN</v>
          </cell>
          <cell r="C9" t="str">
            <v>DELHI</v>
          </cell>
        </row>
        <row r="10">
          <cell r="A10" t="str">
            <v>JAIPUR</v>
          </cell>
          <cell r="B10" t="str">
            <v>DELHI &amp; RAJASTHAN</v>
          </cell>
          <cell r="C10" t="str">
            <v>JAIPUR</v>
          </cell>
        </row>
        <row r="11">
          <cell r="A11" t="str">
            <v>Bikaner</v>
          </cell>
          <cell r="B11" t="str">
            <v>DELHI &amp; RAJASTHAN</v>
          </cell>
          <cell r="C11" t="str">
            <v>JAIPUR</v>
          </cell>
        </row>
        <row r="12">
          <cell r="A12" t="str">
            <v>ALWAR</v>
          </cell>
          <cell r="B12" t="str">
            <v>DELHI &amp; RAJASTHAN</v>
          </cell>
          <cell r="C12" t="str">
            <v>JAIPUR</v>
          </cell>
        </row>
        <row r="13">
          <cell r="A13" t="str">
            <v>SIKAR</v>
          </cell>
          <cell r="B13" t="str">
            <v>DELHI &amp; RAJASTHAN</v>
          </cell>
          <cell r="C13" t="str">
            <v>JAIPUR</v>
          </cell>
        </row>
        <row r="14">
          <cell r="A14" t="str">
            <v>Nagaur</v>
          </cell>
          <cell r="B14" t="str">
            <v>DELHI &amp; RAJASTHAN</v>
          </cell>
          <cell r="C14" t="str">
            <v>JAIPUR</v>
          </cell>
        </row>
        <row r="15">
          <cell r="A15" t="str">
            <v>JhunJhunun</v>
          </cell>
          <cell r="B15" t="str">
            <v>DELHI &amp; RAJASTHAN</v>
          </cell>
          <cell r="C15" t="str">
            <v>JAIPUR</v>
          </cell>
        </row>
        <row r="16">
          <cell r="A16" t="str">
            <v>AMBER(CHOMU)</v>
          </cell>
          <cell r="B16" t="str">
            <v>DELHI &amp; RAJASTHAN</v>
          </cell>
          <cell r="C16" t="str">
            <v>JAIPUR</v>
          </cell>
        </row>
        <row r="17">
          <cell r="A17" t="str">
            <v>KOTPUTLI</v>
          </cell>
          <cell r="B17" t="str">
            <v>DELHI &amp; RAJASTHAN</v>
          </cell>
          <cell r="C17" t="str">
            <v>JAIPUR</v>
          </cell>
        </row>
        <row r="18">
          <cell r="A18" t="str">
            <v>Jodhpur</v>
          </cell>
          <cell r="B18" t="str">
            <v>DELHI &amp; RAJASTHAN</v>
          </cell>
          <cell r="C18" t="str">
            <v>AJMER</v>
          </cell>
        </row>
        <row r="19">
          <cell r="A19" t="str">
            <v>Udaipur</v>
          </cell>
          <cell r="B19" t="str">
            <v>DELHI &amp; RAJASTHAN</v>
          </cell>
          <cell r="C19" t="str">
            <v>AJMER</v>
          </cell>
        </row>
        <row r="20">
          <cell r="A20" t="str">
            <v>Kota</v>
          </cell>
          <cell r="B20" t="str">
            <v>DELHI &amp; RAJASTHAN</v>
          </cell>
          <cell r="C20" t="str">
            <v>AJMER</v>
          </cell>
        </row>
        <row r="21">
          <cell r="A21" t="str">
            <v>AJMER</v>
          </cell>
          <cell r="B21" t="str">
            <v>DELHI &amp; RAJASTHAN</v>
          </cell>
          <cell r="C21" t="str">
            <v>AJMER</v>
          </cell>
        </row>
        <row r="22">
          <cell r="A22" t="str">
            <v>BHILWARA</v>
          </cell>
          <cell r="B22" t="str">
            <v>DELHI &amp; RAJASTHAN</v>
          </cell>
          <cell r="C22" t="str">
            <v>AJMER</v>
          </cell>
        </row>
        <row r="23">
          <cell r="A23" t="str">
            <v>BEAWAR</v>
          </cell>
          <cell r="B23" t="str">
            <v>DELHI &amp; RAJASTHAN</v>
          </cell>
          <cell r="C23" t="str">
            <v>AJMER</v>
          </cell>
        </row>
        <row r="24">
          <cell r="A24" t="str">
            <v>Pali</v>
          </cell>
          <cell r="B24" t="str">
            <v>DELHI &amp; RAJASTHAN</v>
          </cell>
          <cell r="C24" t="str">
            <v>AJMER</v>
          </cell>
        </row>
        <row r="25">
          <cell r="A25" t="str">
            <v>KISHANGARH (S)</v>
          </cell>
          <cell r="B25" t="str">
            <v>DELHI &amp; RAJASTHAN</v>
          </cell>
          <cell r="C25" t="str">
            <v>AJMER</v>
          </cell>
        </row>
        <row r="26">
          <cell r="A26" t="str">
            <v>CHITTORGARH</v>
          </cell>
          <cell r="B26" t="str">
            <v>DELHI &amp; RAJASTHAN</v>
          </cell>
          <cell r="C26" t="str">
            <v>AJMER</v>
          </cell>
        </row>
        <row r="27">
          <cell r="A27" t="str">
            <v>NATHDWARA</v>
          </cell>
          <cell r="B27" t="str">
            <v>DELHI &amp; RAJASTHAN</v>
          </cell>
          <cell r="C27" t="str">
            <v>AJMER</v>
          </cell>
        </row>
        <row r="28">
          <cell r="A28" t="str">
            <v>RAJSAMAND(KANKROLI)</v>
          </cell>
          <cell r="B28" t="str">
            <v>DELHI &amp; RAJASTHAN</v>
          </cell>
          <cell r="C28" t="str">
            <v>AJMER</v>
          </cell>
        </row>
        <row r="29">
          <cell r="A29" t="str">
            <v>BUNDI</v>
          </cell>
          <cell r="B29" t="str">
            <v>DELHI &amp; RAJASTHAN</v>
          </cell>
          <cell r="C29" t="str">
            <v>AJMER</v>
          </cell>
        </row>
        <row r="30">
          <cell r="A30" t="str">
            <v>MAVLI(FATEHNAGAR)</v>
          </cell>
          <cell r="B30" t="str">
            <v>DELHI &amp; RAJASTHAN</v>
          </cell>
          <cell r="C30" t="str">
            <v>AJMER</v>
          </cell>
        </row>
        <row r="31">
          <cell r="A31">
            <v>28</v>
          </cell>
          <cell r="B31">
            <v>1</v>
          </cell>
          <cell r="C31">
            <v>3</v>
          </cell>
        </row>
        <row r="32">
          <cell r="A32" t="str">
            <v>PUNE</v>
          </cell>
          <cell r="B32" t="str">
            <v>MAHARASHTRA &amp; GOA</v>
          </cell>
          <cell r="C32" t="str">
            <v>PUNE</v>
          </cell>
        </row>
        <row r="33">
          <cell r="A33" t="str">
            <v>CHINCHWAD</v>
          </cell>
          <cell r="B33" t="str">
            <v>MAHARASHTRA &amp; GOA</v>
          </cell>
          <cell r="C33" t="str">
            <v>PUNE</v>
          </cell>
        </row>
        <row r="34">
          <cell r="A34" t="str">
            <v>Solapur</v>
          </cell>
          <cell r="B34" t="str">
            <v>MAHARASHTRA &amp; GOA</v>
          </cell>
          <cell r="C34" t="str">
            <v>PUNE</v>
          </cell>
        </row>
        <row r="35">
          <cell r="A35" t="str">
            <v>BARAMATI</v>
          </cell>
          <cell r="B35" t="str">
            <v>MAHARASHTRA &amp; GOA</v>
          </cell>
          <cell r="C35" t="str">
            <v>PUNE</v>
          </cell>
        </row>
        <row r="36">
          <cell r="A36" t="str">
            <v>LONAVALA</v>
          </cell>
          <cell r="B36" t="str">
            <v>MAHARASHTRA &amp; GOA</v>
          </cell>
          <cell r="C36" t="str">
            <v>PUNE</v>
          </cell>
        </row>
        <row r="37">
          <cell r="A37" t="str">
            <v>PEN</v>
          </cell>
          <cell r="B37" t="str">
            <v>MAHARASHTRA &amp; GOA</v>
          </cell>
          <cell r="C37" t="str">
            <v>PUNE</v>
          </cell>
        </row>
        <row r="38">
          <cell r="A38" t="str">
            <v>ALIBAGH</v>
          </cell>
          <cell r="B38" t="str">
            <v>MAHARASHTRA &amp; GOA</v>
          </cell>
          <cell r="C38" t="str">
            <v>PUNE</v>
          </cell>
        </row>
        <row r="39">
          <cell r="A39" t="str">
            <v>KHOPOLI</v>
          </cell>
          <cell r="B39" t="str">
            <v>MAHARASHTRA &amp; GOA</v>
          </cell>
          <cell r="C39" t="str">
            <v>PUNE</v>
          </cell>
        </row>
        <row r="40">
          <cell r="A40" t="str">
            <v>KHADAKWASALA</v>
          </cell>
          <cell r="B40" t="str">
            <v>MAHARASHTRA &amp; GOA</v>
          </cell>
          <cell r="C40" t="str">
            <v>PUNE</v>
          </cell>
        </row>
        <row r="41">
          <cell r="A41" t="str">
            <v>RAJGURUNAGAR</v>
          </cell>
          <cell r="B41" t="str">
            <v>MAHARASHTRA &amp; GOA</v>
          </cell>
          <cell r="C41" t="str">
            <v>PUNE</v>
          </cell>
        </row>
        <row r="42">
          <cell r="A42" t="str">
            <v>PANDHARPUR</v>
          </cell>
          <cell r="B42" t="str">
            <v>MAHARASHTRA &amp; GOA</v>
          </cell>
          <cell r="C42" t="str">
            <v>PUNE</v>
          </cell>
        </row>
        <row r="43">
          <cell r="A43" t="str">
            <v>SASWAD</v>
          </cell>
          <cell r="B43" t="str">
            <v>MAHARASHTRA &amp; GOA</v>
          </cell>
          <cell r="C43" t="str">
            <v>PUNE</v>
          </cell>
        </row>
        <row r="44">
          <cell r="A44" t="str">
            <v>NAGPUR</v>
          </cell>
          <cell r="B44" t="str">
            <v>MAHARASHTRA &amp; GOA</v>
          </cell>
          <cell r="C44" t="str">
            <v>NAGPUR</v>
          </cell>
        </row>
        <row r="45">
          <cell r="A45" t="str">
            <v>Amrawati</v>
          </cell>
          <cell r="B45" t="str">
            <v>MAHARASHTRA &amp; GOA</v>
          </cell>
          <cell r="C45" t="str">
            <v>NAGPUR</v>
          </cell>
        </row>
        <row r="46">
          <cell r="A46" t="str">
            <v>AKOLA</v>
          </cell>
          <cell r="B46" t="str">
            <v>MAHARASHTRA &amp; GOA</v>
          </cell>
          <cell r="C46" t="str">
            <v>NAGPUR</v>
          </cell>
        </row>
        <row r="47">
          <cell r="A47" t="str">
            <v>CHANDRAPUR</v>
          </cell>
          <cell r="B47" t="str">
            <v>MAHARASHTRA &amp; GOA</v>
          </cell>
          <cell r="C47" t="str">
            <v>NAGPUR</v>
          </cell>
        </row>
        <row r="48">
          <cell r="A48" t="str">
            <v>YEOTMAL</v>
          </cell>
          <cell r="B48" t="str">
            <v>MAHARASHTRA &amp; GOA</v>
          </cell>
          <cell r="C48" t="str">
            <v>NAGPUR</v>
          </cell>
        </row>
        <row r="49">
          <cell r="A49" t="str">
            <v>WARDHA</v>
          </cell>
          <cell r="B49" t="str">
            <v>MAHARASHTRA &amp; GOA</v>
          </cell>
          <cell r="C49" t="str">
            <v>NAGPUR</v>
          </cell>
        </row>
        <row r="50">
          <cell r="A50" t="str">
            <v>GONDIA</v>
          </cell>
          <cell r="B50" t="str">
            <v>MAHARASHTRA &amp; GOA</v>
          </cell>
          <cell r="C50" t="str">
            <v>NAGPUR</v>
          </cell>
        </row>
        <row r="51">
          <cell r="A51" t="str">
            <v>BHANDARA</v>
          </cell>
          <cell r="B51" t="str">
            <v>MAHARASHTRA &amp; GOA</v>
          </cell>
          <cell r="C51" t="str">
            <v>NAGPUR</v>
          </cell>
        </row>
        <row r="52">
          <cell r="A52" t="str">
            <v>HINGANGHAT</v>
          </cell>
          <cell r="B52" t="str">
            <v>MAHARASHTRA &amp; GOA</v>
          </cell>
          <cell r="C52" t="str">
            <v>NAGPUR</v>
          </cell>
        </row>
        <row r="53">
          <cell r="A53" t="str">
            <v>NASIK</v>
          </cell>
          <cell r="B53" t="str">
            <v>MAHARASHTRA &amp; GOA</v>
          </cell>
          <cell r="C53" t="str">
            <v>KALYAN</v>
          </cell>
        </row>
        <row r="54">
          <cell r="A54" t="str">
            <v>KALYAN</v>
          </cell>
          <cell r="B54" t="str">
            <v>MAHARASHTRA &amp; GOA</v>
          </cell>
          <cell r="C54" t="str">
            <v>KALYAN</v>
          </cell>
        </row>
        <row r="55">
          <cell r="A55" t="str">
            <v>JALGAON</v>
          </cell>
          <cell r="B55" t="str">
            <v>MAHARASHTRA &amp; GOA</v>
          </cell>
          <cell r="C55" t="str">
            <v>KALYAN</v>
          </cell>
        </row>
        <row r="56">
          <cell r="A56" t="str">
            <v>BASSEIN</v>
          </cell>
          <cell r="B56" t="str">
            <v>MAHARASHTRA &amp; GOA</v>
          </cell>
          <cell r="C56" t="str">
            <v>KALYAN</v>
          </cell>
        </row>
        <row r="57">
          <cell r="A57" t="str">
            <v>DHULE</v>
          </cell>
          <cell r="B57" t="str">
            <v>MAHARASHTRA &amp; GOA</v>
          </cell>
          <cell r="C57" t="str">
            <v>KALYAN</v>
          </cell>
        </row>
        <row r="58">
          <cell r="A58" t="str">
            <v>BHIWANDI</v>
          </cell>
          <cell r="B58" t="str">
            <v>MAHARASHTRA &amp; GOA</v>
          </cell>
          <cell r="C58" t="str">
            <v>KALYAN</v>
          </cell>
        </row>
        <row r="59">
          <cell r="A59" t="str">
            <v>BHUSAWAL</v>
          </cell>
          <cell r="B59" t="str">
            <v>MAHARASHTRA &amp; GOA</v>
          </cell>
          <cell r="C59" t="str">
            <v>KALYAN</v>
          </cell>
        </row>
        <row r="60">
          <cell r="A60" t="str">
            <v>NIPHAD</v>
          </cell>
          <cell r="B60" t="str">
            <v>MAHARASHTRA &amp; GOA</v>
          </cell>
          <cell r="C60" t="str">
            <v>KALYAN</v>
          </cell>
        </row>
        <row r="61">
          <cell r="A61" t="str">
            <v>PALGHAR</v>
          </cell>
          <cell r="B61" t="str">
            <v>MAHARASHTRA &amp; GOA</v>
          </cell>
          <cell r="C61" t="str">
            <v>KALYAN</v>
          </cell>
        </row>
        <row r="62">
          <cell r="A62" t="str">
            <v>MALEGAON</v>
          </cell>
          <cell r="B62" t="str">
            <v>MAHARASHTRA &amp; GOA</v>
          </cell>
          <cell r="C62" t="str">
            <v>KALYAN</v>
          </cell>
        </row>
        <row r="63">
          <cell r="A63" t="str">
            <v>Panaji(Goa)</v>
          </cell>
          <cell r="B63" t="str">
            <v>MAHARASHTRA &amp; GOA</v>
          </cell>
          <cell r="C63" t="str">
            <v>PANJIM</v>
          </cell>
        </row>
        <row r="64">
          <cell r="A64" t="str">
            <v>MARGAO</v>
          </cell>
          <cell r="B64" t="str">
            <v>MAHARASHTRA &amp; GOA</v>
          </cell>
          <cell r="C64" t="str">
            <v>PANJIM</v>
          </cell>
        </row>
        <row r="65">
          <cell r="A65" t="str">
            <v>PONDA</v>
          </cell>
          <cell r="B65" t="str">
            <v>MAHARASHTRA &amp; GOA</v>
          </cell>
          <cell r="C65" t="str">
            <v>PANJIM</v>
          </cell>
        </row>
        <row r="66">
          <cell r="A66" t="str">
            <v>CANACONA</v>
          </cell>
          <cell r="B66" t="str">
            <v>MAHARASHTRA &amp; GOA</v>
          </cell>
          <cell r="C66" t="str">
            <v>PANJIM</v>
          </cell>
        </row>
        <row r="67">
          <cell r="A67" t="str">
            <v>KOLHAPUR</v>
          </cell>
          <cell r="B67" t="str">
            <v>MAHARASHTRA &amp; GOA</v>
          </cell>
          <cell r="C67" t="str">
            <v>KOLHAPUR</v>
          </cell>
        </row>
        <row r="68">
          <cell r="A68" t="str">
            <v>SANGLI</v>
          </cell>
          <cell r="B68" t="str">
            <v>MAHARASHTRA &amp; GOA</v>
          </cell>
          <cell r="C68" t="str">
            <v>KOLHAPUR</v>
          </cell>
        </row>
        <row r="69">
          <cell r="A69" t="str">
            <v>SATARA</v>
          </cell>
          <cell r="B69" t="str">
            <v>MAHARASHTRA &amp; GOA</v>
          </cell>
          <cell r="C69" t="str">
            <v>KOLHAPUR</v>
          </cell>
        </row>
        <row r="70">
          <cell r="A70" t="str">
            <v>KARAD</v>
          </cell>
          <cell r="B70" t="str">
            <v>MAHARASHTRA &amp; GOA</v>
          </cell>
          <cell r="C70" t="str">
            <v>KOLHAPUR</v>
          </cell>
        </row>
        <row r="71">
          <cell r="A71" t="str">
            <v>Ichalkaranji</v>
          </cell>
          <cell r="B71" t="str">
            <v>MAHARASHTRA &amp; GOA</v>
          </cell>
          <cell r="C71" t="str">
            <v>KOLHAPUR</v>
          </cell>
        </row>
        <row r="72">
          <cell r="A72" t="str">
            <v>RATNAGIRI</v>
          </cell>
          <cell r="B72" t="str">
            <v>MAHARASHTRA &amp; GOA</v>
          </cell>
          <cell r="C72" t="str">
            <v>KOLHAPUR</v>
          </cell>
        </row>
        <row r="73">
          <cell r="A73" t="str">
            <v>CHIPLUN</v>
          </cell>
          <cell r="B73" t="str">
            <v>MAHARASHTRA &amp; GOA</v>
          </cell>
          <cell r="C73" t="str">
            <v>KOLHAPUR</v>
          </cell>
        </row>
        <row r="74">
          <cell r="A74" t="str">
            <v>TASGAON</v>
          </cell>
          <cell r="B74" t="str">
            <v>MAHARASHTRA &amp; GOA</v>
          </cell>
          <cell r="C74" t="str">
            <v>KOLHAPUR</v>
          </cell>
        </row>
        <row r="75">
          <cell r="A75" t="str">
            <v>ISLAMPUR</v>
          </cell>
          <cell r="B75" t="str">
            <v>MAHARASHTRA &amp; GOA</v>
          </cell>
          <cell r="C75" t="str">
            <v>KOLHAPUR</v>
          </cell>
        </row>
        <row r="76">
          <cell r="A76" t="str">
            <v>SHIROL(JALSINGPUR)</v>
          </cell>
          <cell r="B76" t="str">
            <v>MAHARASHTRA &amp; GOA</v>
          </cell>
          <cell r="C76" t="str">
            <v>KOLHAPUR</v>
          </cell>
        </row>
        <row r="77">
          <cell r="A77" t="str">
            <v>VITA</v>
          </cell>
          <cell r="B77" t="str">
            <v>MAHARASHTRA &amp; GOA</v>
          </cell>
          <cell r="C77" t="str">
            <v>KOLHAPUR</v>
          </cell>
        </row>
        <row r="78">
          <cell r="A78" t="str">
            <v>WAI</v>
          </cell>
          <cell r="B78" t="str">
            <v>MAHARASHTRA &amp; GOA</v>
          </cell>
          <cell r="C78" t="str">
            <v>KOLHAPUR</v>
          </cell>
        </row>
        <row r="79">
          <cell r="A79" t="str">
            <v>AURANGABAD</v>
          </cell>
          <cell r="B79" t="str">
            <v>MAHARASHTRA &amp; GOA</v>
          </cell>
          <cell r="C79" t="str">
            <v>AURANGABAD</v>
          </cell>
        </row>
        <row r="80">
          <cell r="A80" t="str">
            <v>AHMEDNAGAR</v>
          </cell>
          <cell r="B80" t="str">
            <v>MAHARASHTRA &amp; GOA</v>
          </cell>
          <cell r="C80" t="str">
            <v>AURANGABAD</v>
          </cell>
        </row>
        <row r="81">
          <cell r="A81" t="str">
            <v>NANDED</v>
          </cell>
          <cell r="B81" t="str">
            <v>MAHARASHTRA &amp; GOA</v>
          </cell>
          <cell r="C81" t="str">
            <v>AURANGABAD</v>
          </cell>
        </row>
        <row r="82">
          <cell r="A82" t="str">
            <v>LATUR</v>
          </cell>
          <cell r="B82" t="str">
            <v>MAHARASHTRA &amp; GOA</v>
          </cell>
          <cell r="C82" t="str">
            <v>AURANGABAD</v>
          </cell>
        </row>
        <row r="83">
          <cell r="A83" t="str">
            <v>JALNA</v>
          </cell>
          <cell r="B83" t="str">
            <v>MAHARASHTRA &amp; GOA</v>
          </cell>
          <cell r="C83" t="str">
            <v>AURANGABAD</v>
          </cell>
        </row>
        <row r="84">
          <cell r="A84" t="str">
            <v>KOPARAGON</v>
          </cell>
          <cell r="B84" t="str">
            <v>MAHARASHTRA &amp; GOA</v>
          </cell>
          <cell r="C84" t="str">
            <v>AURANGABAD</v>
          </cell>
        </row>
        <row r="85">
          <cell r="A85" t="str">
            <v>SHRI RAMPUR</v>
          </cell>
          <cell r="B85" t="str">
            <v>MAHARASHTRA &amp; GOA</v>
          </cell>
          <cell r="C85" t="str">
            <v>AURANGABAD</v>
          </cell>
        </row>
        <row r="86">
          <cell r="A86" t="str">
            <v>Bid</v>
          </cell>
          <cell r="B86" t="str">
            <v>MAHARASHTRA &amp; GOA</v>
          </cell>
          <cell r="C86" t="str">
            <v>AURANGABAD</v>
          </cell>
        </row>
        <row r="87">
          <cell r="A87" t="str">
            <v>JUNNAR</v>
          </cell>
          <cell r="B87" t="str">
            <v>MAHARASHTRA &amp; GOA</v>
          </cell>
          <cell r="C87" t="str">
            <v>AURANGABAD</v>
          </cell>
        </row>
        <row r="88">
          <cell r="A88" t="str">
            <v>SANGAMNER</v>
          </cell>
          <cell r="B88" t="str">
            <v>MAHARASHTRA &amp; GOA</v>
          </cell>
          <cell r="C88" t="str">
            <v>AURANGABAD</v>
          </cell>
        </row>
        <row r="89">
          <cell r="A89" t="str">
            <v>OSMANABAD</v>
          </cell>
          <cell r="B89" t="str">
            <v>MAHARASHTRA &amp; GOA</v>
          </cell>
          <cell r="C89" t="str">
            <v>AURANGABAD</v>
          </cell>
        </row>
        <row r="90">
          <cell r="A90" t="str">
            <v>RAHURI</v>
          </cell>
          <cell r="B90" t="str">
            <v>MAHARASHTRA &amp; GOA</v>
          </cell>
          <cell r="C90" t="str">
            <v>AURANGABAD</v>
          </cell>
        </row>
        <row r="91">
          <cell r="A91" t="str">
            <v>BARSI</v>
          </cell>
          <cell r="B91" t="str">
            <v>MAHARASHTRA &amp; GOA</v>
          </cell>
          <cell r="C91" t="str">
            <v>AURANGABAD</v>
          </cell>
        </row>
        <row r="92">
          <cell r="A92" t="str">
            <v>NEWASA</v>
          </cell>
          <cell r="B92" t="str">
            <v>MAHARASHTRA &amp; GOA</v>
          </cell>
          <cell r="C92" t="str">
            <v>AURANGABAD</v>
          </cell>
        </row>
        <row r="93">
          <cell r="A93">
            <v>61</v>
          </cell>
          <cell r="B93">
            <v>1</v>
          </cell>
          <cell r="C93">
            <v>6</v>
          </cell>
        </row>
        <row r="94">
          <cell r="A94" t="str">
            <v>CHENNAI</v>
          </cell>
          <cell r="B94" t="str">
            <v>TAMIL NADU</v>
          </cell>
          <cell r="C94" t="str">
            <v>CHENNAI</v>
          </cell>
        </row>
        <row r="95">
          <cell r="A95" t="str">
            <v>VELLORE</v>
          </cell>
          <cell r="B95" t="str">
            <v>TAMIL NADU</v>
          </cell>
          <cell r="C95" t="str">
            <v>CHENNAI</v>
          </cell>
        </row>
        <row r="96">
          <cell r="A96" t="str">
            <v>Kanchipuram</v>
          </cell>
          <cell r="B96" t="str">
            <v>TAMIL NADU</v>
          </cell>
          <cell r="C96" t="str">
            <v>CHENNAI</v>
          </cell>
        </row>
        <row r="97">
          <cell r="A97" t="str">
            <v>CHENGALPATTU</v>
          </cell>
          <cell r="B97" t="str">
            <v>TAMIL NADU</v>
          </cell>
          <cell r="C97" t="str">
            <v>CHENNAI</v>
          </cell>
        </row>
        <row r="98">
          <cell r="A98" t="str">
            <v>RANIPET</v>
          </cell>
          <cell r="B98" t="str">
            <v>TAMIL NADU</v>
          </cell>
          <cell r="C98" t="str">
            <v>CHENNAI</v>
          </cell>
        </row>
        <row r="99">
          <cell r="A99" t="str">
            <v>VANIYAMBADI</v>
          </cell>
          <cell r="B99" t="str">
            <v>TAMIL NADU</v>
          </cell>
          <cell r="C99" t="str">
            <v>CHENNAI</v>
          </cell>
        </row>
        <row r="100">
          <cell r="A100" t="str">
            <v>GUDIYATHAM</v>
          </cell>
          <cell r="B100" t="str">
            <v>TAMIL NADU</v>
          </cell>
          <cell r="C100" t="str">
            <v>CHENNAI</v>
          </cell>
        </row>
        <row r="101">
          <cell r="A101" t="str">
            <v>PONNERI</v>
          </cell>
          <cell r="B101" t="str">
            <v>TAMIL NADU</v>
          </cell>
          <cell r="C101" t="str">
            <v>CHENNAI</v>
          </cell>
        </row>
        <row r="102">
          <cell r="A102" t="str">
            <v>ARAKKONAM</v>
          </cell>
          <cell r="B102" t="str">
            <v>TAMIL NADU</v>
          </cell>
          <cell r="C102" t="str">
            <v>CHENNAI</v>
          </cell>
        </row>
        <row r="103">
          <cell r="A103" t="str">
            <v>TIRUVELLORE</v>
          </cell>
          <cell r="B103" t="str">
            <v>TAMIL NADU</v>
          </cell>
          <cell r="C103" t="str">
            <v>CHENNAI</v>
          </cell>
        </row>
        <row r="104">
          <cell r="A104" t="str">
            <v>ARNI</v>
          </cell>
          <cell r="B104" t="str">
            <v>TAMIL NADU</v>
          </cell>
          <cell r="C104" t="str">
            <v>CHENNAI</v>
          </cell>
        </row>
        <row r="105">
          <cell r="A105" t="str">
            <v>TIRUTTANI</v>
          </cell>
          <cell r="B105" t="str">
            <v>TAMIL NADU</v>
          </cell>
          <cell r="C105" t="str">
            <v>CHENNAI</v>
          </cell>
        </row>
        <row r="106">
          <cell r="A106" t="str">
            <v>SRIPERUMPUDUR</v>
          </cell>
          <cell r="B106" t="str">
            <v>TAMIL NADU</v>
          </cell>
          <cell r="C106" t="str">
            <v>CHENNAI</v>
          </cell>
        </row>
        <row r="107">
          <cell r="A107" t="str">
            <v>COIMBATORE</v>
          </cell>
          <cell r="B107" t="str">
            <v>TAMIL NADU</v>
          </cell>
          <cell r="C107" t="str">
            <v>COIMBATORE</v>
          </cell>
        </row>
        <row r="108">
          <cell r="A108" t="str">
            <v>TIRUPUR</v>
          </cell>
          <cell r="B108" t="str">
            <v>TAMIL NADU</v>
          </cell>
          <cell r="C108" t="str">
            <v>COIMBATORE</v>
          </cell>
        </row>
        <row r="109">
          <cell r="A109" t="str">
            <v>POLLACHI</v>
          </cell>
          <cell r="B109" t="str">
            <v>TAMIL NADU</v>
          </cell>
          <cell r="C109" t="str">
            <v>COIMBATORE</v>
          </cell>
        </row>
        <row r="110">
          <cell r="A110" t="str">
            <v>Ootacamund</v>
          </cell>
          <cell r="B110" t="str">
            <v>TAMIL NADU</v>
          </cell>
          <cell r="C110" t="str">
            <v>COIMBATORE</v>
          </cell>
        </row>
        <row r="111">
          <cell r="A111" t="str">
            <v>UDUMALPET</v>
          </cell>
          <cell r="B111" t="str">
            <v>TAMIL NADU</v>
          </cell>
          <cell r="C111" t="str">
            <v>COIMBATORE</v>
          </cell>
        </row>
        <row r="112">
          <cell r="A112" t="str">
            <v>METTUPALAYAM</v>
          </cell>
          <cell r="B112" t="str">
            <v>TAMIL NADU</v>
          </cell>
          <cell r="C112" t="str">
            <v>COIMBATORE</v>
          </cell>
        </row>
        <row r="113">
          <cell r="A113" t="str">
            <v>GOBICHETTIPALAYAM</v>
          </cell>
          <cell r="B113" t="str">
            <v>TAMIL NADU</v>
          </cell>
          <cell r="C113" t="str">
            <v>COIMBATORE</v>
          </cell>
        </row>
        <row r="114">
          <cell r="A114" t="str">
            <v>PERUNDURAI</v>
          </cell>
          <cell r="B114" t="str">
            <v>TAMIL NADU</v>
          </cell>
          <cell r="C114" t="str">
            <v>COIMBATORE</v>
          </cell>
        </row>
        <row r="115">
          <cell r="A115" t="str">
            <v>KANGAYAM</v>
          </cell>
          <cell r="B115" t="str">
            <v>TAMIL NADU</v>
          </cell>
          <cell r="C115" t="str">
            <v>COIMBATORE</v>
          </cell>
        </row>
        <row r="116">
          <cell r="A116" t="str">
            <v>PALLADUM</v>
          </cell>
          <cell r="B116" t="str">
            <v>TAMIL NADU</v>
          </cell>
          <cell r="C116" t="str">
            <v>COIMBATORE</v>
          </cell>
        </row>
        <row r="117">
          <cell r="A117" t="str">
            <v>AVANASHI</v>
          </cell>
          <cell r="B117" t="str">
            <v>TAMIL NADU</v>
          </cell>
          <cell r="C117" t="str">
            <v>COIMBATORE</v>
          </cell>
        </row>
        <row r="118">
          <cell r="A118" t="str">
            <v>DHARAMPURAM</v>
          </cell>
          <cell r="B118" t="str">
            <v>TAMIL NADU</v>
          </cell>
          <cell r="C118" t="str">
            <v>COIMBATORE</v>
          </cell>
        </row>
        <row r="119">
          <cell r="A119" t="str">
            <v>SATHIYAMANGALAM</v>
          </cell>
          <cell r="B119" t="str">
            <v>TAMIL NADU</v>
          </cell>
          <cell r="C119" t="str">
            <v>COIMBATORE</v>
          </cell>
        </row>
        <row r="120">
          <cell r="A120" t="str">
            <v>MADURAI</v>
          </cell>
          <cell r="B120" t="str">
            <v>TAMIL NADU</v>
          </cell>
          <cell r="C120" t="str">
            <v>MADURAI</v>
          </cell>
        </row>
        <row r="121">
          <cell r="A121" t="str">
            <v>Tirunelvelli</v>
          </cell>
          <cell r="B121" t="str">
            <v>TAMIL NADU</v>
          </cell>
          <cell r="C121" t="str">
            <v>MADURAI</v>
          </cell>
        </row>
        <row r="122">
          <cell r="A122" t="str">
            <v>TUTICORIN</v>
          </cell>
          <cell r="B122" t="str">
            <v>TAMIL NADU</v>
          </cell>
          <cell r="C122" t="str">
            <v>MADURAI</v>
          </cell>
        </row>
        <row r="123">
          <cell r="A123" t="str">
            <v>DINDIGUL</v>
          </cell>
          <cell r="B123" t="str">
            <v>TAMIL NADU</v>
          </cell>
          <cell r="C123" t="str">
            <v>MADURAI</v>
          </cell>
        </row>
        <row r="124">
          <cell r="A124" t="str">
            <v>Virudhanagar</v>
          </cell>
          <cell r="B124" t="str">
            <v>TAMIL NADU</v>
          </cell>
          <cell r="C124" t="str">
            <v>MADURAI</v>
          </cell>
        </row>
        <row r="125">
          <cell r="A125" t="str">
            <v>Nagarcoil</v>
          </cell>
          <cell r="B125" t="str">
            <v>TAMIL NADU</v>
          </cell>
          <cell r="C125" t="str">
            <v>MADURAI</v>
          </cell>
        </row>
        <row r="126">
          <cell r="A126" t="str">
            <v>RAJAPALAYAM</v>
          </cell>
          <cell r="B126" t="str">
            <v>TAMIL NADU</v>
          </cell>
          <cell r="C126" t="str">
            <v>MADURAI</v>
          </cell>
        </row>
        <row r="127">
          <cell r="A127" t="str">
            <v>KUZHITHURAI</v>
          </cell>
          <cell r="B127" t="str">
            <v>TAMIL NADU</v>
          </cell>
          <cell r="C127" t="str">
            <v>MADURAI</v>
          </cell>
        </row>
        <row r="128">
          <cell r="A128" t="str">
            <v>RAMANATHAPURAM</v>
          </cell>
          <cell r="B128" t="str">
            <v>TAMIL NADU</v>
          </cell>
          <cell r="C128" t="str">
            <v>MADURAI</v>
          </cell>
        </row>
        <row r="129">
          <cell r="A129" t="str">
            <v>KOVILPATTI</v>
          </cell>
          <cell r="B129" t="str">
            <v>TAMIL NADU</v>
          </cell>
          <cell r="C129" t="str">
            <v>MADURAI</v>
          </cell>
        </row>
        <row r="130">
          <cell r="A130" t="str">
            <v>PALANI</v>
          </cell>
          <cell r="B130" t="str">
            <v>TAMIL NADU</v>
          </cell>
          <cell r="C130" t="str">
            <v>MADURAI</v>
          </cell>
        </row>
        <row r="131">
          <cell r="A131" t="str">
            <v>THENI</v>
          </cell>
          <cell r="B131" t="str">
            <v>TAMIL NADU</v>
          </cell>
          <cell r="C131" t="str">
            <v>MADURAI</v>
          </cell>
        </row>
        <row r="132">
          <cell r="A132" t="str">
            <v>TENKASI</v>
          </cell>
          <cell r="B132" t="str">
            <v>TAMIL NADU</v>
          </cell>
          <cell r="C132" t="str">
            <v>MADURAI</v>
          </cell>
        </row>
        <row r="133">
          <cell r="A133" t="str">
            <v>ARUPPUKOTTAI</v>
          </cell>
          <cell r="B133" t="str">
            <v>TAMIL NADU</v>
          </cell>
          <cell r="C133" t="str">
            <v>MADURAI</v>
          </cell>
        </row>
        <row r="134">
          <cell r="A134" t="str">
            <v>SIVAGANGA</v>
          </cell>
          <cell r="B134" t="str">
            <v>TAMIL NADU</v>
          </cell>
          <cell r="C134" t="str">
            <v>MADURAI</v>
          </cell>
        </row>
        <row r="135">
          <cell r="A135" t="str">
            <v>PARAMAKUDI</v>
          </cell>
          <cell r="B135" t="str">
            <v>TAMIL NADU</v>
          </cell>
          <cell r="C135" t="str">
            <v>MADURAI</v>
          </cell>
        </row>
        <row r="136">
          <cell r="A136" t="str">
            <v>KAMBAM</v>
          </cell>
          <cell r="B136" t="str">
            <v>TAMIL NADU</v>
          </cell>
          <cell r="C136" t="str">
            <v>MADURAI</v>
          </cell>
        </row>
        <row r="137">
          <cell r="A137" t="str">
            <v>AMBASAMUDRAM</v>
          </cell>
          <cell r="B137" t="str">
            <v>TAMIL NADU</v>
          </cell>
          <cell r="C137" t="str">
            <v>MADURAI</v>
          </cell>
        </row>
        <row r="138">
          <cell r="A138" t="str">
            <v>VALLIYOOR</v>
          </cell>
          <cell r="B138" t="str">
            <v>TAMIL NADU</v>
          </cell>
          <cell r="C138" t="str">
            <v>MADURAI</v>
          </cell>
        </row>
        <row r="139">
          <cell r="A139" t="str">
            <v>DEVAKOTTAI</v>
          </cell>
          <cell r="B139" t="str">
            <v>TAMIL NADU</v>
          </cell>
          <cell r="C139" t="str">
            <v>MADURAI</v>
          </cell>
        </row>
        <row r="140">
          <cell r="A140" t="str">
            <v>THIRUMANGALAM</v>
          </cell>
          <cell r="B140" t="str">
            <v>TAMIL NADU</v>
          </cell>
          <cell r="C140" t="str">
            <v>MADURAI</v>
          </cell>
        </row>
        <row r="141">
          <cell r="A141" t="str">
            <v>SANKARAN KOIL</v>
          </cell>
          <cell r="B141" t="str">
            <v>TAMIL NADU</v>
          </cell>
          <cell r="C141" t="str">
            <v>MADURAI</v>
          </cell>
        </row>
        <row r="142">
          <cell r="A142" t="str">
            <v>TIRUCHENDUR</v>
          </cell>
          <cell r="B142" t="str">
            <v>TAMIL NADU</v>
          </cell>
          <cell r="C142" t="str">
            <v>MADURAI</v>
          </cell>
        </row>
        <row r="143">
          <cell r="A143" t="str">
            <v>ODDANCHATRAM</v>
          </cell>
          <cell r="B143" t="str">
            <v>TAMIL NADU</v>
          </cell>
          <cell r="C143" t="str">
            <v>MADURAI</v>
          </cell>
        </row>
        <row r="144">
          <cell r="A144" t="str">
            <v>SIVAKASI</v>
          </cell>
          <cell r="B144" t="str">
            <v>TAMIL NADU</v>
          </cell>
          <cell r="C144" t="str">
            <v>MADURAI</v>
          </cell>
        </row>
        <row r="145">
          <cell r="A145" t="str">
            <v>TRICHY</v>
          </cell>
          <cell r="B145" t="str">
            <v>TAMIL NADU</v>
          </cell>
          <cell r="C145" t="str">
            <v>TRICHY</v>
          </cell>
        </row>
        <row r="146">
          <cell r="A146" t="str">
            <v>THANJAVUR</v>
          </cell>
          <cell r="B146" t="str">
            <v>TAMIL NADU</v>
          </cell>
          <cell r="C146" t="str">
            <v>TRICHY</v>
          </cell>
        </row>
        <row r="147">
          <cell r="A147" t="str">
            <v>KUMBAKONAM</v>
          </cell>
          <cell r="B147" t="str">
            <v>TAMIL NADU</v>
          </cell>
          <cell r="C147" t="str">
            <v>TRICHY</v>
          </cell>
        </row>
        <row r="148">
          <cell r="A148" t="str">
            <v>KARAIKUDI</v>
          </cell>
          <cell r="B148" t="str">
            <v>TAMIL NADU</v>
          </cell>
          <cell r="C148" t="str">
            <v>TRICHY</v>
          </cell>
        </row>
        <row r="149">
          <cell r="A149" t="str">
            <v>PUDUKKOTTAI</v>
          </cell>
          <cell r="B149" t="str">
            <v>TAMIL NADU</v>
          </cell>
          <cell r="C149" t="str">
            <v>TRICHY</v>
          </cell>
        </row>
        <row r="150">
          <cell r="A150" t="str">
            <v>NAGAPATTINAM</v>
          </cell>
          <cell r="B150" t="str">
            <v>TAMIL NADU</v>
          </cell>
          <cell r="C150" t="str">
            <v>TRICHY</v>
          </cell>
        </row>
        <row r="151">
          <cell r="A151" t="str">
            <v>MAYILADUTHURAI</v>
          </cell>
          <cell r="B151" t="str">
            <v>TAMIL NADU</v>
          </cell>
          <cell r="C151" t="str">
            <v>TRICHY</v>
          </cell>
        </row>
        <row r="152">
          <cell r="A152" t="str">
            <v>KARAIKAL</v>
          </cell>
          <cell r="B152" t="str">
            <v>TAMIL NADU</v>
          </cell>
          <cell r="C152" t="str">
            <v>TRICHY</v>
          </cell>
        </row>
        <row r="153">
          <cell r="A153" t="str">
            <v>TIRUVARUR</v>
          </cell>
          <cell r="B153" t="str">
            <v>TAMIL NADU</v>
          </cell>
          <cell r="C153" t="str">
            <v>TRICHY</v>
          </cell>
        </row>
        <row r="154">
          <cell r="A154" t="str">
            <v>PAPANASAM</v>
          </cell>
          <cell r="B154" t="str">
            <v>TAMIL NADU</v>
          </cell>
          <cell r="C154" t="str">
            <v>TRICHY</v>
          </cell>
        </row>
        <row r="155">
          <cell r="A155" t="str">
            <v>MANNARGUDI</v>
          </cell>
          <cell r="B155" t="str">
            <v>TAMIL NADU</v>
          </cell>
          <cell r="C155" t="str">
            <v>TRICHY</v>
          </cell>
        </row>
        <row r="156">
          <cell r="A156" t="str">
            <v>PATTUKOTTAI</v>
          </cell>
          <cell r="B156" t="str">
            <v>TAMIL NADU</v>
          </cell>
          <cell r="C156" t="str">
            <v>TRICHY</v>
          </cell>
        </row>
        <row r="157">
          <cell r="A157" t="str">
            <v>ARIYALUR</v>
          </cell>
          <cell r="B157" t="str">
            <v>TAMIL NADU</v>
          </cell>
          <cell r="C157" t="str">
            <v>TRICHY</v>
          </cell>
        </row>
        <row r="158">
          <cell r="A158" t="str">
            <v>PERAMBALUR</v>
          </cell>
          <cell r="B158" t="str">
            <v>TAMIL NADU</v>
          </cell>
          <cell r="C158" t="str">
            <v>TRICHY</v>
          </cell>
        </row>
        <row r="159">
          <cell r="A159" t="str">
            <v>THIRURAIPOONDI</v>
          </cell>
          <cell r="B159" t="str">
            <v>TAMIL NADU</v>
          </cell>
          <cell r="C159" t="str">
            <v>TRICHY</v>
          </cell>
        </row>
        <row r="160">
          <cell r="A160" t="str">
            <v>SALEM</v>
          </cell>
          <cell r="B160" t="str">
            <v>TAMIL NADU</v>
          </cell>
          <cell r="C160" t="str">
            <v>SALEM</v>
          </cell>
        </row>
        <row r="161">
          <cell r="A161" t="str">
            <v>ERODE</v>
          </cell>
          <cell r="B161" t="str">
            <v>TAMIL NADU</v>
          </cell>
          <cell r="C161" t="str">
            <v>SALEM</v>
          </cell>
        </row>
        <row r="162">
          <cell r="A162" t="str">
            <v>KARUR</v>
          </cell>
          <cell r="B162" t="str">
            <v>TAMIL NADU</v>
          </cell>
          <cell r="C162" t="str">
            <v>SALEM</v>
          </cell>
        </row>
        <row r="163">
          <cell r="A163" t="str">
            <v>HOSUR</v>
          </cell>
          <cell r="B163" t="str">
            <v>TAMIL NADU</v>
          </cell>
          <cell r="C163" t="str">
            <v>SALEM</v>
          </cell>
        </row>
        <row r="164">
          <cell r="A164" t="str">
            <v>TIRUCHENGODE</v>
          </cell>
          <cell r="B164" t="str">
            <v>TAMIL NADU</v>
          </cell>
          <cell r="C164" t="str">
            <v>SALEM</v>
          </cell>
        </row>
        <row r="165">
          <cell r="A165" t="str">
            <v>NAMAKKAL</v>
          </cell>
          <cell r="B165" t="str">
            <v>TAMIL NADU</v>
          </cell>
          <cell r="C165" t="str">
            <v>SALEM</v>
          </cell>
        </row>
        <row r="166">
          <cell r="A166" t="str">
            <v>DHARMAPURI</v>
          </cell>
          <cell r="B166" t="str">
            <v>TAMIL NADU</v>
          </cell>
          <cell r="C166" t="str">
            <v>SALEM</v>
          </cell>
        </row>
        <row r="167">
          <cell r="A167" t="str">
            <v>BHAVANI</v>
          </cell>
          <cell r="B167" t="str">
            <v>TAMIL NADU</v>
          </cell>
          <cell r="C167" t="str">
            <v>SALEM</v>
          </cell>
        </row>
        <row r="168">
          <cell r="A168" t="str">
            <v>RASIPURAM</v>
          </cell>
          <cell r="B168" t="str">
            <v>TAMIL NADU</v>
          </cell>
          <cell r="C168" t="str">
            <v>SALEM</v>
          </cell>
        </row>
        <row r="169">
          <cell r="A169" t="str">
            <v>SANKAGIRI</v>
          </cell>
          <cell r="B169" t="str">
            <v>TAMIL NADU</v>
          </cell>
          <cell r="C169" t="str">
            <v>SALEM</v>
          </cell>
        </row>
        <row r="170">
          <cell r="A170" t="str">
            <v>ATTUR</v>
          </cell>
          <cell r="B170" t="str">
            <v>TAMIL NADU</v>
          </cell>
          <cell r="C170" t="str">
            <v>SALEM</v>
          </cell>
        </row>
        <row r="171">
          <cell r="A171" t="str">
            <v>KRISHNAGIRI</v>
          </cell>
          <cell r="B171" t="str">
            <v>TAMIL NADU</v>
          </cell>
          <cell r="C171" t="str">
            <v>SALEM</v>
          </cell>
        </row>
        <row r="172">
          <cell r="A172" t="str">
            <v>METTURDAM</v>
          </cell>
          <cell r="B172" t="str">
            <v>TAMIL NADU</v>
          </cell>
          <cell r="C172" t="str">
            <v>SALEM</v>
          </cell>
        </row>
        <row r="173">
          <cell r="A173" t="str">
            <v xml:space="preserve"> Tirupattur</v>
          </cell>
          <cell r="B173" t="str">
            <v>TAMIL NADU</v>
          </cell>
          <cell r="C173" t="str">
            <v>SALEM</v>
          </cell>
        </row>
        <row r="174">
          <cell r="A174" t="str">
            <v>VELUR</v>
          </cell>
          <cell r="B174" t="str">
            <v>TAMIL NADU</v>
          </cell>
          <cell r="C174" t="str">
            <v>SALEM</v>
          </cell>
        </row>
        <row r="175">
          <cell r="A175" t="str">
            <v>Pondhicherry</v>
          </cell>
          <cell r="B175" t="str">
            <v>TAMIL NADU</v>
          </cell>
          <cell r="C175" t="str">
            <v>PONDICHERRY</v>
          </cell>
        </row>
        <row r="176">
          <cell r="A176" t="str">
            <v>CUDDALORE</v>
          </cell>
          <cell r="B176" t="str">
            <v>TAMIL NADU</v>
          </cell>
          <cell r="C176" t="str">
            <v>PONDICHERRY</v>
          </cell>
        </row>
        <row r="177">
          <cell r="A177" t="str">
            <v>VILLUPURAM</v>
          </cell>
          <cell r="B177" t="str">
            <v>TAMIL NADU</v>
          </cell>
          <cell r="C177" t="str">
            <v>PONDICHERRY</v>
          </cell>
        </row>
        <row r="178">
          <cell r="A178" t="str">
            <v>CHIDAMBARAM</v>
          </cell>
          <cell r="B178" t="str">
            <v>TAMIL NADU</v>
          </cell>
          <cell r="C178" t="str">
            <v>PONDICHERRY</v>
          </cell>
        </row>
        <row r="179">
          <cell r="A179" t="str">
            <v>TIRUVANNAMALAI</v>
          </cell>
          <cell r="B179" t="str">
            <v>TAMIL NADU</v>
          </cell>
          <cell r="C179" t="str">
            <v>PONDICHERRY</v>
          </cell>
        </row>
        <row r="180">
          <cell r="A180" t="str">
            <v>TINDIVANAM</v>
          </cell>
          <cell r="B180" t="str">
            <v>TAMIL NADU</v>
          </cell>
          <cell r="C180" t="str">
            <v>PONDICHERRY</v>
          </cell>
        </row>
        <row r="181">
          <cell r="A181" t="str">
            <v>VIRUDHACHALAM</v>
          </cell>
          <cell r="B181" t="str">
            <v>TAMIL NADU</v>
          </cell>
          <cell r="C181" t="str">
            <v>PONDICHERRY</v>
          </cell>
        </row>
        <row r="182">
          <cell r="A182" t="str">
            <v>KALLKURICHI</v>
          </cell>
          <cell r="B182" t="str">
            <v>TAMIL NADU</v>
          </cell>
          <cell r="C182" t="str">
            <v>PONDICHERRY</v>
          </cell>
        </row>
        <row r="183">
          <cell r="A183">
            <v>89</v>
          </cell>
          <cell r="B183">
            <v>1</v>
          </cell>
          <cell r="C183">
            <v>6</v>
          </cell>
        </row>
        <row r="184">
          <cell r="A184" t="str">
            <v>MUMBAI</v>
          </cell>
          <cell r="B184" t="str">
            <v>MUMBAI</v>
          </cell>
          <cell r="C184" t="str">
            <v>MUMBAI</v>
          </cell>
        </row>
        <row r="185">
          <cell r="A185" t="str">
            <v>THURBE</v>
          </cell>
          <cell r="B185" t="str">
            <v>MUMBAI</v>
          </cell>
          <cell r="C185" t="str">
            <v>MUMBAI</v>
          </cell>
        </row>
        <row r="186">
          <cell r="A186">
            <v>2</v>
          </cell>
          <cell r="B186">
            <v>1</v>
          </cell>
          <cell r="C186">
            <v>1</v>
          </cell>
        </row>
        <row r="187">
          <cell r="A187" t="str">
            <v>HYDERABAD</v>
          </cell>
          <cell r="B187" t="str">
            <v>ANDHRA PRADESH</v>
          </cell>
          <cell r="C187" t="str">
            <v>HYDERABAD</v>
          </cell>
        </row>
        <row r="188">
          <cell r="A188" t="str">
            <v>SANGAREDDY</v>
          </cell>
          <cell r="B188" t="str">
            <v>ANDHRA PRADESH</v>
          </cell>
          <cell r="C188" t="str">
            <v>HYDERABAD</v>
          </cell>
        </row>
        <row r="189">
          <cell r="A189" t="str">
            <v>MEDCHAL</v>
          </cell>
          <cell r="B189" t="str">
            <v>ANDHRA PRADESH</v>
          </cell>
          <cell r="C189" t="str">
            <v>HYDERABAD</v>
          </cell>
        </row>
        <row r="190">
          <cell r="A190" t="str">
            <v>HYDERABAD (EAST) GHATKESWAR</v>
          </cell>
          <cell r="B190" t="str">
            <v>ANDHRA PRADESH</v>
          </cell>
          <cell r="C190" t="str">
            <v>HYDERABAD</v>
          </cell>
        </row>
        <row r="191">
          <cell r="A191" t="str">
            <v>ZAHIRABAD</v>
          </cell>
          <cell r="B191" t="str">
            <v>ANDHRA PRADESH</v>
          </cell>
          <cell r="C191" t="str">
            <v>HYDERABAD</v>
          </cell>
        </row>
        <row r="192">
          <cell r="A192" t="str">
            <v>BHONGIR</v>
          </cell>
          <cell r="B192" t="str">
            <v>ANDHRA PRADESH</v>
          </cell>
          <cell r="C192" t="str">
            <v>HYDERABAD</v>
          </cell>
        </row>
        <row r="193">
          <cell r="A193" t="str">
            <v>HYDERABAD (WEST) SHAMSHABAD</v>
          </cell>
          <cell r="B193" t="str">
            <v>ANDHRA PRADESH</v>
          </cell>
          <cell r="C193" t="str">
            <v>HYDERABAD</v>
          </cell>
        </row>
        <row r="194">
          <cell r="A194" t="str">
            <v>SHADNAGAR</v>
          </cell>
          <cell r="B194" t="str">
            <v>ANDHRA PRADESH</v>
          </cell>
          <cell r="C194" t="str">
            <v>HYDERABAD</v>
          </cell>
        </row>
        <row r="195">
          <cell r="A195" t="str">
            <v>VISAKHAPATNAM</v>
          </cell>
          <cell r="B195" t="str">
            <v>ANDHRA PRADESH</v>
          </cell>
          <cell r="C195" t="str">
            <v>VISAKHAPATNAM</v>
          </cell>
        </row>
        <row r="196">
          <cell r="A196" t="str">
            <v>KAKINADA</v>
          </cell>
          <cell r="B196" t="str">
            <v>ANDHRA PRADESH</v>
          </cell>
          <cell r="C196" t="str">
            <v>VISAKHAPATNAM</v>
          </cell>
        </row>
        <row r="197">
          <cell r="A197" t="str">
            <v>Rajmundry</v>
          </cell>
          <cell r="B197" t="str">
            <v>ANDHRA PRADESH</v>
          </cell>
          <cell r="C197" t="str">
            <v>VISAKHAPATNAM</v>
          </cell>
        </row>
        <row r="198">
          <cell r="A198" t="str">
            <v>BHIMAVARAM</v>
          </cell>
          <cell r="B198" t="str">
            <v>ANDHRA PRADESH</v>
          </cell>
          <cell r="C198" t="str">
            <v>VISAKHAPATNAM</v>
          </cell>
        </row>
        <row r="199">
          <cell r="A199" t="str">
            <v>Vijayanagaram</v>
          </cell>
          <cell r="B199" t="str">
            <v>ANDHRA PRADESH</v>
          </cell>
          <cell r="C199" t="str">
            <v>VISAKHAPATNAM</v>
          </cell>
        </row>
        <row r="200">
          <cell r="A200" t="str">
            <v>Srikakulum</v>
          </cell>
          <cell r="B200" t="str">
            <v>ANDHRA PRADESH</v>
          </cell>
          <cell r="C200" t="str">
            <v>VISAKHAPATNAM</v>
          </cell>
        </row>
        <row r="201">
          <cell r="A201" t="str">
            <v>TADEPALLIGUDEM</v>
          </cell>
          <cell r="B201" t="str">
            <v>ANDHRA PRADESH</v>
          </cell>
          <cell r="C201" t="str">
            <v>VISAKHAPATNAM</v>
          </cell>
        </row>
        <row r="202">
          <cell r="A202" t="str">
            <v>ANAKAPALLE</v>
          </cell>
          <cell r="B202" t="str">
            <v>ANDHRA PRADESH</v>
          </cell>
          <cell r="C202" t="str">
            <v>VISAKHAPATNAM</v>
          </cell>
        </row>
        <row r="203">
          <cell r="A203" t="str">
            <v>TANUKU</v>
          </cell>
          <cell r="B203" t="str">
            <v>ANDHRA PRADESH</v>
          </cell>
          <cell r="C203" t="str">
            <v>VISAKHAPATNAM</v>
          </cell>
        </row>
        <row r="204">
          <cell r="A204" t="str">
            <v>NARSAPUR(PALAKOLE)</v>
          </cell>
          <cell r="B204" t="str">
            <v>ANDHRA PRADESH</v>
          </cell>
          <cell r="C204" t="str">
            <v>VISAKHAPATNAM</v>
          </cell>
        </row>
        <row r="205">
          <cell r="A205" t="str">
            <v>AMALAPURAM</v>
          </cell>
          <cell r="B205" t="str">
            <v>ANDHRA PRADESH</v>
          </cell>
          <cell r="C205" t="str">
            <v>VISAKHAPATNAM</v>
          </cell>
        </row>
        <row r="206">
          <cell r="A206" t="str">
            <v>TUNI</v>
          </cell>
          <cell r="B206" t="str">
            <v>ANDHRA PRADESH</v>
          </cell>
          <cell r="C206" t="str">
            <v>VISAKHAPATNAM</v>
          </cell>
        </row>
        <row r="207">
          <cell r="A207" t="str">
            <v>MANDAPETA (RAVULAPALEM)</v>
          </cell>
          <cell r="B207" t="str">
            <v>ANDHRA PRADESH</v>
          </cell>
          <cell r="C207" t="str">
            <v>VISAKHAPATNAM</v>
          </cell>
        </row>
        <row r="208">
          <cell r="A208" t="str">
            <v>KAIKALURU</v>
          </cell>
          <cell r="B208" t="str">
            <v>ANDHRA PRADESH</v>
          </cell>
          <cell r="C208" t="str">
            <v>VISAKHAPATNAM</v>
          </cell>
        </row>
        <row r="209">
          <cell r="A209" t="str">
            <v>RAMACHANDRAPURAM</v>
          </cell>
          <cell r="B209" t="str">
            <v>ANDHRA PRADESH</v>
          </cell>
          <cell r="C209" t="str">
            <v>VISAKHAPATNAM</v>
          </cell>
        </row>
        <row r="210">
          <cell r="A210" t="str">
            <v>PEDDAPURAM</v>
          </cell>
          <cell r="B210" t="str">
            <v>ANDHRA PRADESH</v>
          </cell>
          <cell r="C210" t="str">
            <v>VISAKHAPATNAM</v>
          </cell>
        </row>
        <row r="211">
          <cell r="A211" t="str">
            <v>BHIMADOLE</v>
          </cell>
          <cell r="B211" t="str">
            <v>ANDHRA PRADESH</v>
          </cell>
          <cell r="C211" t="str">
            <v>VISAKHAPATNAM</v>
          </cell>
        </row>
        <row r="212">
          <cell r="A212" t="str">
            <v>TEKKALI(PALASA)</v>
          </cell>
          <cell r="B212" t="str">
            <v>ANDHRA PRADESH</v>
          </cell>
          <cell r="C212" t="str">
            <v>VISAKHAPATNAM</v>
          </cell>
        </row>
        <row r="213">
          <cell r="A213" t="str">
            <v>VIJAYAWADA</v>
          </cell>
          <cell r="B213" t="str">
            <v>ANDHRA PRADESH</v>
          </cell>
          <cell r="C213" t="str">
            <v>GUNTUR</v>
          </cell>
        </row>
        <row r="214">
          <cell r="A214" t="str">
            <v>GUNTUR</v>
          </cell>
          <cell r="B214" t="str">
            <v>ANDHRA PRADESH</v>
          </cell>
          <cell r="C214" t="str">
            <v>GUNTUR</v>
          </cell>
        </row>
        <row r="215">
          <cell r="A215" t="str">
            <v>KHAMMAM</v>
          </cell>
          <cell r="B215" t="str">
            <v>ANDHRA PRADESH</v>
          </cell>
          <cell r="C215" t="str">
            <v>GUNTUR</v>
          </cell>
        </row>
        <row r="216">
          <cell r="A216" t="str">
            <v>ELURU</v>
          </cell>
          <cell r="B216" t="str">
            <v>ANDHRA PRADESH</v>
          </cell>
          <cell r="C216" t="str">
            <v>GUNTUR</v>
          </cell>
        </row>
        <row r="217">
          <cell r="A217" t="str">
            <v>BANDAR  (MACHILIPATNAM)</v>
          </cell>
          <cell r="B217" t="str">
            <v>ANDHRA PRADESH</v>
          </cell>
          <cell r="C217" t="str">
            <v>GUNTUR</v>
          </cell>
        </row>
        <row r="218">
          <cell r="A218" t="str">
            <v>Tenalli</v>
          </cell>
          <cell r="B218" t="str">
            <v>ANDHRA PRADESH</v>
          </cell>
          <cell r="C218" t="str">
            <v>GUNTUR</v>
          </cell>
        </row>
        <row r="219">
          <cell r="A219" t="str">
            <v>NALGONDA</v>
          </cell>
          <cell r="B219" t="str">
            <v>ANDHRA PRADESH</v>
          </cell>
          <cell r="C219" t="str">
            <v>GUNTUR</v>
          </cell>
        </row>
        <row r="220">
          <cell r="A220" t="str">
            <v>GUDIVADA</v>
          </cell>
          <cell r="B220" t="str">
            <v>ANDHRA PRADESH</v>
          </cell>
          <cell r="C220" t="str">
            <v>GUNTUR</v>
          </cell>
        </row>
        <row r="221">
          <cell r="A221" t="str">
            <v>NARSARAOPET</v>
          </cell>
          <cell r="B221" t="str">
            <v>ANDHRA PRADESH</v>
          </cell>
          <cell r="C221" t="str">
            <v>GUNTUR</v>
          </cell>
        </row>
        <row r="222">
          <cell r="A222" t="str">
            <v>KOTHAGUDEM</v>
          </cell>
          <cell r="B222" t="str">
            <v>ANDHRA PRADESH</v>
          </cell>
          <cell r="C222" t="str">
            <v>GUNTUR</v>
          </cell>
        </row>
        <row r="223">
          <cell r="A223" t="str">
            <v>SURYAPET</v>
          </cell>
          <cell r="B223" t="str">
            <v>ANDHRA PRADESH</v>
          </cell>
          <cell r="C223" t="str">
            <v>GUNTUR</v>
          </cell>
        </row>
        <row r="224">
          <cell r="A224" t="str">
            <v>MIRYALGUDA</v>
          </cell>
          <cell r="B224" t="str">
            <v>ANDHRA PRADESH</v>
          </cell>
          <cell r="C224" t="str">
            <v>GUNTUR</v>
          </cell>
        </row>
        <row r="225">
          <cell r="A225" t="str">
            <v>VUYYURU</v>
          </cell>
          <cell r="B225" t="str">
            <v>ANDHRA PRADESH</v>
          </cell>
          <cell r="C225" t="str">
            <v>GUNTUR</v>
          </cell>
        </row>
        <row r="226">
          <cell r="A226" t="str">
            <v>MANGALAGIRI</v>
          </cell>
          <cell r="B226" t="str">
            <v>ANDHRA PRADESH</v>
          </cell>
          <cell r="C226" t="str">
            <v>GUNTUR</v>
          </cell>
        </row>
        <row r="227">
          <cell r="A227" t="str">
            <v>BAPATLA</v>
          </cell>
          <cell r="B227" t="str">
            <v>ANDHRA PRADESH</v>
          </cell>
          <cell r="C227" t="str">
            <v>GUNTUR</v>
          </cell>
        </row>
        <row r="228">
          <cell r="A228" t="str">
            <v>JAGGAYYAPET</v>
          </cell>
          <cell r="B228" t="str">
            <v>ANDHRA PRADESH</v>
          </cell>
          <cell r="C228" t="str">
            <v>GUNTUR</v>
          </cell>
        </row>
        <row r="229">
          <cell r="A229" t="str">
            <v>HAZURNAGAR</v>
          </cell>
          <cell r="B229" t="str">
            <v>ANDHRA PRADESH</v>
          </cell>
          <cell r="C229" t="str">
            <v>GUNTUR</v>
          </cell>
        </row>
        <row r="230">
          <cell r="A230" t="str">
            <v>NUZVIDU</v>
          </cell>
          <cell r="B230" t="str">
            <v>ANDHRA PRADESH</v>
          </cell>
          <cell r="C230" t="str">
            <v>GUNTUR</v>
          </cell>
        </row>
        <row r="231">
          <cell r="A231" t="str">
            <v>NANDIGAMA</v>
          </cell>
          <cell r="B231" t="str">
            <v>ANDHRA PRADESH</v>
          </cell>
          <cell r="C231" t="str">
            <v>GUNTUR</v>
          </cell>
        </row>
        <row r="232">
          <cell r="A232" t="str">
            <v>JANGAREDDYGUDEM</v>
          </cell>
          <cell r="B232" t="str">
            <v>ANDHRA PRADESH</v>
          </cell>
          <cell r="C232" t="str">
            <v>GUNTUR</v>
          </cell>
        </row>
        <row r="233">
          <cell r="A233" t="str">
            <v>SATTANEPALLI</v>
          </cell>
          <cell r="B233" t="str">
            <v>ANDHRA PRADESH</v>
          </cell>
          <cell r="C233" t="str">
            <v>GUNTUR</v>
          </cell>
        </row>
        <row r="234">
          <cell r="A234" t="str">
            <v>CHALLAPALLI</v>
          </cell>
          <cell r="B234" t="str">
            <v>ANDHRA PRADESH</v>
          </cell>
          <cell r="C234" t="str">
            <v>GUNTUR</v>
          </cell>
        </row>
        <row r="235">
          <cell r="A235" t="str">
            <v>REPALLE</v>
          </cell>
          <cell r="B235" t="str">
            <v>ANDHRA PRADESH</v>
          </cell>
          <cell r="C235" t="str">
            <v>GUNTUR</v>
          </cell>
        </row>
        <row r="236">
          <cell r="A236" t="str">
            <v>WARANGAL</v>
          </cell>
          <cell r="B236" t="str">
            <v>ANDHRA PRADESH</v>
          </cell>
          <cell r="C236" t="str">
            <v>WARANGAL</v>
          </cell>
        </row>
        <row r="237">
          <cell r="A237" t="str">
            <v>KARIMNAGAR</v>
          </cell>
          <cell r="B237" t="str">
            <v>ANDHRA PRADESH</v>
          </cell>
          <cell r="C237" t="str">
            <v>WARANGAL</v>
          </cell>
        </row>
        <row r="238">
          <cell r="A238" t="str">
            <v>Pedapalle</v>
          </cell>
          <cell r="B238" t="str">
            <v>ANDHRA PRADESH</v>
          </cell>
          <cell r="C238" t="str">
            <v>WARANGAL</v>
          </cell>
        </row>
        <row r="239">
          <cell r="A239" t="str">
            <v>Dichpalli</v>
          </cell>
          <cell r="B239" t="str">
            <v>ANDHRA PRADESH</v>
          </cell>
          <cell r="C239" t="str">
            <v>WARANGAL</v>
          </cell>
        </row>
        <row r="240">
          <cell r="A240" t="str">
            <v>ADILABAD</v>
          </cell>
          <cell r="B240" t="str">
            <v>ANDHRA PRADESH</v>
          </cell>
          <cell r="C240" t="str">
            <v>WARANGAL</v>
          </cell>
        </row>
        <row r="241">
          <cell r="A241" t="str">
            <v>SIDDIPET</v>
          </cell>
          <cell r="B241" t="str">
            <v>ANDHRA PRADESH</v>
          </cell>
          <cell r="C241" t="str">
            <v>WARANGAL</v>
          </cell>
        </row>
        <row r="242">
          <cell r="A242" t="str">
            <v>MANCHERIAL</v>
          </cell>
          <cell r="B242" t="str">
            <v>ANDHRA PRADESH</v>
          </cell>
          <cell r="C242" t="str">
            <v>WARANGAL</v>
          </cell>
        </row>
        <row r="243">
          <cell r="A243" t="str">
            <v>JAGTIAL</v>
          </cell>
          <cell r="B243" t="str">
            <v>ANDHRA PRADESH</v>
          </cell>
          <cell r="C243" t="str">
            <v>WARANGAL</v>
          </cell>
        </row>
        <row r="244">
          <cell r="A244" t="str">
            <v>NIRMAL</v>
          </cell>
          <cell r="B244" t="str">
            <v>ANDHRA PRADESH</v>
          </cell>
          <cell r="C244" t="str">
            <v>WARANGAL</v>
          </cell>
        </row>
        <row r="245">
          <cell r="A245" t="str">
            <v>KAMAREDDY</v>
          </cell>
          <cell r="B245" t="str">
            <v>ANDHRA PRADESH</v>
          </cell>
          <cell r="C245" t="str">
            <v>WARANGAL</v>
          </cell>
        </row>
        <row r="246">
          <cell r="A246" t="str">
            <v>ARMOOR</v>
          </cell>
          <cell r="B246" t="str">
            <v>ANDHRA PRADESH</v>
          </cell>
          <cell r="C246" t="str">
            <v>WARANGAL</v>
          </cell>
        </row>
        <row r="247">
          <cell r="A247" t="str">
            <v>JANGAON</v>
          </cell>
          <cell r="B247" t="str">
            <v>ANDHRA PRADESH</v>
          </cell>
          <cell r="C247" t="str">
            <v>WARANGAL</v>
          </cell>
        </row>
        <row r="248">
          <cell r="A248" t="str">
            <v>SIRCILLA</v>
          </cell>
          <cell r="B248" t="str">
            <v>ANDHRA PRADESH</v>
          </cell>
          <cell r="C248" t="str">
            <v>WARANGAL</v>
          </cell>
        </row>
        <row r="249">
          <cell r="A249" t="str">
            <v>BODHAN</v>
          </cell>
          <cell r="B249" t="str">
            <v>ANDHRA PRADESH</v>
          </cell>
          <cell r="C249" t="str">
            <v>WARANGAL</v>
          </cell>
        </row>
        <row r="250">
          <cell r="A250" t="str">
            <v>MEDAK</v>
          </cell>
          <cell r="B250" t="str">
            <v>ANDHRA PRADESH</v>
          </cell>
          <cell r="C250" t="str">
            <v>WARANGAL</v>
          </cell>
        </row>
        <row r="251">
          <cell r="A251" t="str">
            <v>METPALLI</v>
          </cell>
          <cell r="B251" t="str">
            <v>ANDHRA PRADESH</v>
          </cell>
          <cell r="C251" t="str">
            <v>WARANGAL</v>
          </cell>
        </row>
        <row r="252">
          <cell r="A252" t="str">
            <v>HUZURABAD</v>
          </cell>
          <cell r="B252" t="str">
            <v>ANDHRA PRADESH</v>
          </cell>
          <cell r="C252" t="str">
            <v>WARANGAL</v>
          </cell>
        </row>
        <row r="253">
          <cell r="A253" t="str">
            <v>Tirupati</v>
          </cell>
          <cell r="B253" t="str">
            <v>ANDHRA PRADESH</v>
          </cell>
          <cell r="C253" t="str">
            <v>NELLORE</v>
          </cell>
        </row>
        <row r="254">
          <cell r="A254" t="str">
            <v>NELLORE</v>
          </cell>
          <cell r="B254" t="str">
            <v>ANDHRA PRADESH</v>
          </cell>
          <cell r="C254" t="str">
            <v>NELLORE</v>
          </cell>
        </row>
        <row r="255">
          <cell r="A255" t="str">
            <v>CUDDAPAH</v>
          </cell>
          <cell r="B255" t="str">
            <v>ANDHRA PRADESH</v>
          </cell>
          <cell r="C255" t="str">
            <v>NELLORE</v>
          </cell>
        </row>
        <row r="256">
          <cell r="A256" t="str">
            <v>ONGOLE</v>
          </cell>
          <cell r="B256" t="str">
            <v>ANDHRA PRADESH</v>
          </cell>
          <cell r="C256" t="str">
            <v>NELLORE</v>
          </cell>
        </row>
        <row r="257">
          <cell r="A257" t="str">
            <v>CHITTOOR</v>
          </cell>
          <cell r="B257" t="str">
            <v>ANDHRA PRADESH</v>
          </cell>
          <cell r="C257" t="str">
            <v>NELLORE</v>
          </cell>
        </row>
        <row r="258">
          <cell r="A258" t="str">
            <v>PRODDATUR</v>
          </cell>
          <cell r="B258" t="str">
            <v>ANDHRA PRADESH</v>
          </cell>
          <cell r="C258" t="str">
            <v>NELLORE</v>
          </cell>
        </row>
        <row r="259">
          <cell r="A259" t="str">
            <v>CHIRALA</v>
          </cell>
          <cell r="B259" t="str">
            <v>ANDHRA PRADESH</v>
          </cell>
          <cell r="C259" t="str">
            <v>NELLORE</v>
          </cell>
        </row>
        <row r="260">
          <cell r="A260" t="str">
            <v>KAVALI</v>
          </cell>
          <cell r="B260" t="str">
            <v>ANDHRA PRADESH</v>
          </cell>
          <cell r="C260" t="str">
            <v>NELLORE</v>
          </cell>
        </row>
        <row r="261">
          <cell r="A261" t="str">
            <v>GUDUR</v>
          </cell>
          <cell r="B261" t="str">
            <v>ANDHRA PRADESH</v>
          </cell>
          <cell r="C261" t="str">
            <v>NELLORE</v>
          </cell>
        </row>
        <row r="262">
          <cell r="A262" t="str">
            <v>SRIKALAHASTHI</v>
          </cell>
          <cell r="B262" t="str">
            <v>ANDHRA PRADESH</v>
          </cell>
          <cell r="C262" t="str">
            <v>NELLORE</v>
          </cell>
        </row>
        <row r="263">
          <cell r="A263" t="str">
            <v>RAYACHOTI</v>
          </cell>
          <cell r="B263" t="str">
            <v>ANDHRA PRADESH</v>
          </cell>
          <cell r="C263" t="str">
            <v>NELLORE</v>
          </cell>
        </row>
        <row r="264">
          <cell r="A264" t="str">
            <v>KOVVUR (NIDADAVOLU)</v>
          </cell>
          <cell r="B264" t="str">
            <v>ANDHRA PRADESH</v>
          </cell>
          <cell r="C264" t="str">
            <v>NELLORE</v>
          </cell>
        </row>
        <row r="265">
          <cell r="A265" t="str">
            <v>PUTTURU</v>
          </cell>
          <cell r="B265" t="str">
            <v>ANDHRA PRADESH</v>
          </cell>
          <cell r="C265" t="str">
            <v>NELLORE</v>
          </cell>
        </row>
        <row r="266">
          <cell r="A266" t="str">
            <v>KOVVUR</v>
          </cell>
          <cell r="B266" t="str">
            <v>ANDHRA PRADESH</v>
          </cell>
          <cell r="C266" t="str">
            <v>NELLORE</v>
          </cell>
        </row>
        <row r="267">
          <cell r="A267" t="str">
            <v>SULLURPET</v>
          </cell>
          <cell r="B267" t="str">
            <v>ANDHRA PRADESH</v>
          </cell>
          <cell r="C267" t="str">
            <v>NELLORE</v>
          </cell>
        </row>
        <row r="268">
          <cell r="A268" t="str">
            <v>KUPPAM</v>
          </cell>
          <cell r="B268" t="str">
            <v>ANDHRA PRADESH</v>
          </cell>
          <cell r="C268" t="str">
            <v>NELLORE</v>
          </cell>
        </row>
        <row r="269">
          <cell r="A269" t="str">
            <v>KURNOOL</v>
          </cell>
          <cell r="B269" t="str">
            <v>ANDHRA PRADESH</v>
          </cell>
          <cell r="C269" t="str">
            <v>KURNOOL</v>
          </cell>
        </row>
        <row r="270">
          <cell r="A270" t="str">
            <v>Anantpur</v>
          </cell>
          <cell r="B270" t="str">
            <v>ANDHRA PRADESH</v>
          </cell>
          <cell r="C270" t="str">
            <v>KURNOOL</v>
          </cell>
        </row>
        <row r="271">
          <cell r="A271" t="str">
            <v xml:space="preserve">Mehboobnagar </v>
          </cell>
          <cell r="B271" t="str">
            <v>ANDHRA PRADESH</v>
          </cell>
          <cell r="C271" t="str">
            <v>KURNOOL</v>
          </cell>
        </row>
        <row r="272">
          <cell r="A272" t="str">
            <v>NANDYAL</v>
          </cell>
          <cell r="B272" t="str">
            <v>ANDHRA PRADESH</v>
          </cell>
          <cell r="C272" t="str">
            <v>KURNOOL</v>
          </cell>
        </row>
        <row r="273">
          <cell r="A273" t="str">
            <v>HINDUPURAM</v>
          </cell>
          <cell r="B273" t="str">
            <v>ANDHRA PRADESH</v>
          </cell>
          <cell r="C273" t="str">
            <v>KURNOOL</v>
          </cell>
        </row>
        <row r="274">
          <cell r="A274" t="str">
            <v>GOOTY(GUNTAKAL)</v>
          </cell>
          <cell r="B274" t="str">
            <v>ANDHRA PRADESH</v>
          </cell>
          <cell r="C274" t="str">
            <v>KURNOOL</v>
          </cell>
        </row>
        <row r="275">
          <cell r="A275" t="str">
            <v>TADIPATRI</v>
          </cell>
          <cell r="B275" t="str">
            <v>ANDHRA PRADESH</v>
          </cell>
          <cell r="C275" t="str">
            <v>KURNOOL</v>
          </cell>
        </row>
        <row r="276">
          <cell r="A276" t="str">
            <v>DHARMAVARAM</v>
          </cell>
          <cell r="B276" t="str">
            <v>ANDHRA PRADESH</v>
          </cell>
          <cell r="C276" t="str">
            <v>KURNOOL</v>
          </cell>
        </row>
        <row r="277">
          <cell r="A277" t="str">
            <v>WANAPARTHY</v>
          </cell>
          <cell r="B277" t="str">
            <v>ANDHRA PRADESH</v>
          </cell>
          <cell r="C277" t="str">
            <v>KURNOOL</v>
          </cell>
        </row>
        <row r="278">
          <cell r="A278" t="str">
            <v>DRONACHALAM</v>
          </cell>
          <cell r="B278" t="str">
            <v>ANDHRA PRADESH</v>
          </cell>
          <cell r="C278" t="str">
            <v>KURNOOL</v>
          </cell>
        </row>
        <row r="279">
          <cell r="A279">
            <v>92</v>
          </cell>
          <cell r="B279">
            <v>1</v>
          </cell>
          <cell r="C279">
            <v>6</v>
          </cell>
        </row>
        <row r="280">
          <cell r="A280" t="str">
            <v>Ahmedabad</v>
          </cell>
          <cell r="B280" t="str">
            <v>GUJARAT</v>
          </cell>
          <cell r="C280" t="str">
            <v xml:space="preserve">AHMEDABAD </v>
          </cell>
        </row>
        <row r="281">
          <cell r="A281" t="str">
            <v>Gandhinagar</v>
          </cell>
          <cell r="B281" t="str">
            <v>GUJARAT</v>
          </cell>
          <cell r="C281" t="str">
            <v xml:space="preserve">AHMEDABAD </v>
          </cell>
        </row>
        <row r="282">
          <cell r="A282" t="str">
            <v>MEHSANA</v>
          </cell>
          <cell r="B282" t="str">
            <v>GUJARAT</v>
          </cell>
          <cell r="C282" t="str">
            <v xml:space="preserve">AHMEDABAD </v>
          </cell>
        </row>
        <row r="283">
          <cell r="A283" t="str">
            <v>PALANPUR</v>
          </cell>
          <cell r="B283" t="str">
            <v>GUJARAT</v>
          </cell>
          <cell r="C283" t="str">
            <v xml:space="preserve">AHMEDABAD </v>
          </cell>
        </row>
        <row r="284">
          <cell r="A284" t="str">
            <v>HIMMATNAGAR</v>
          </cell>
          <cell r="B284" t="str">
            <v>GUJARAT</v>
          </cell>
          <cell r="C284" t="str">
            <v xml:space="preserve">AHMEDABAD </v>
          </cell>
        </row>
        <row r="285">
          <cell r="A285" t="str">
            <v>PATAN</v>
          </cell>
          <cell r="B285" t="str">
            <v>GUJARAT</v>
          </cell>
          <cell r="C285" t="str">
            <v xml:space="preserve">AHMEDABAD </v>
          </cell>
        </row>
        <row r="286">
          <cell r="A286" t="str">
            <v>VISNAGAR</v>
          </cell>
          <cell r="B286" t="str">
            <v>GUJARAT</v>
          </cell>
          <cell r="C286" t="str">
            <v xml:space="preserve">AHMEDABAD </v>
          </cell>
        </row>
        <row r="287">
          <cell r="A287" t="str">
            <v>KALOL</v>
          </cell>
          <cell r="B287" t="str">
            <v>GUJARAT</v>
          </cell>
          <cell r="C287" t="str">
            <v xml:space="preserve">AHMEDABAD </v>
          </cell>
        </row>
        <row r="288">
          <cell r="A288" t="str">
            <v>SIDHPUR</v>
          </cell>
          <cell r="B288" t="str">
            <v>GUJARAT</v>
          </cell>
          <cell r="C288" t="str">
            <v xml:space="preserve">AHMEDABAD </v>
          </cell>
        </row>
        <row r="289">
          <cell r="A289" t="str">
            <v>MODASA</v>
          </cell>
          <cell r="B289" t="str">
            <v>GUJARAT</v>
          </cell>
          <cell r="C289" t="str">
            <v xml:space="preserve">AHMEDABAD </v>
          </cell>
        </row>
        <row r="290">
          <cell r="A290" t="str">
            <v>DHOLKA</v>
          </cell>
          <cell r="B290" t="str">
            <v>GUJARAT</v>
          </cell>
          <cell r="C290" t="str">
            <v xml:space="preserve">AHMEDABAD </v>
          </cell>
        </row>
        <row r="291">
          <cell r="A291" t="str">
            <v>IDAR</v>
          </cell>
          <cell r="B291" t="str">
            <v>GUJARAT</v>
          </cell>
          <cell r="C291" t="str">
            <v xml:space="preserve">AHMEDABAD </v>
          </cell>
        </row>
        <row r="292">
          <cell r="A292" t="str">
            <v>VIJAPUR</v>
          </cell>
          <cell r="B292" t="str">
            <v>GUJARAT</v>
          </cell>
          <cell r="C292" t="str">
            <v xml:space="preserve">AHMEDABAD </v>
          </cell>
        </row>
        <row r="293">
          <cell r="A293" t="str">
            <v>SANAND</v>
          </cell>
          <cell r="B293" t="str">
            <v>GUJARAT</v>
          </cell>
          <cell r="C293" t="str">
            <v xml:space="preserve">AHMEDABAD </v>
          </cell>
        </row>
        <row r="294">
          <cell r="A294" t="str">
            <v>DEESA</v>
          </cell>
          <cell r="B294" t="str">
            <v>GUJARAT</v>
          </cell>
          <cell r="C294" t="str">
            <v xml:space="preserve">AHMEDABAD </v>
          </cell>
        </row>
        <row r="295">
          <cell r="A295" t="str">
            <v>SURAT</v>
          </cell>
          <cell r="B295" t="str">
            <v>GUJARAT</v>
          </cell>
          <cell r="C295" t="str">
            <v>SURAT</v>
          </cell>
        </row>
        <row r="296">
          <cell r="A296" t="str">
            <v>BHARUCH</v>
          </cell>
          <cell r="B296" t="str">
            <v>GUJARAT</v>
          </cell>
          <cell r="C296" t="str">
            <v>SURAT</v>
          </cell>
        </row>
        <row r="297">
          <cell r="A297" t="str">
            <v>ANKLESHWAR</v>
          </cell>
          <cell r="B297" t="str">
            <v>GUJARAT</v>
          </cell>
          <cell r="C297" t="str">
            <v>SURAT</v>
          </cell>
        </row>
        <row r="298">
          <cell r="A298" t="str">
            <v>NAVSARI</v>
          </cell>
          <cell r="B298" t="str">
            <v>GUJARAT</v>
          </cell>
          <cell r="C298" t="str">
            <v>SURAT</v>
          </cell>
        </row>
        <row r="299">
          <cell r="A299" t="str">
            <v>VAPI</v>
          </cell>
          <cell r="B299" t="str">
            <v>GUJARAT</v>
          </cell>
          <cell r="C299" t="str">
            <v>SURAT</v>
          </cell>
        </row>
        <row r="300">
          <cell r="A300" t="str">
            <v>VALSAD</v>
          </cell>
          <cell r="B300" t="str">
            <v>GUJARAT</v>
          </cell>
          <cell r="C300" t="str">
            <v>SURAT</v>
          </cell>
        </row>
        <row r="301">
          <cell r="A301" t="str">
            <v>BILLIMORA</v>
          </cell>
          <cell r="B301" t="str">
            <v>GUJARAT</v>
          </cell>
          <cell r="C301" t="str">
            <v>SURAT</v>
          </cell>
        </row>
        <row r="302">
          <cell r="A302" t="str">
            <v>BARDOLI</v>
          </cell>
          <cell r="B302" t="str">
            <v>GUJARAT</v>
          </cell>
          <cell r="C302" t="str">
            <v>SURAT</v>
          </cell>
        </row>
        <row r="303">
          <cell r="A303" t="str">
            <v>SAYAN</v>
          </cell>
          <cell r="B303" t="str">
            <v>GUJARAT</v>
          </cell>
          <cell r="C303" t="str">
            <v>SURAT</v>
          </cell>
        </row>
        <row r="304">
          <cell r="A304" t="str">
            <v>VADODARA</v>
          </cell>
          <cell r="B304" t="str">
            <v>GUJARAT</v>
          </cell>
          <cell r="C304" t="str">
            <v>VADODARA</v>
          </cell>
        </row>
        <row r="305">
          <cell r="A305" t="str">
            <v>ANAND</v>
          </cell>
          <cell r="B305" t="str">
            <v>GUJARAT</v>
          </cell>
          <cell r="C305" t="str">
            <v>VADODARA</v>
          </cell>
        </row>
        <row r="306">
          <cell r="A306" t="str">
            <v>NADIAD</v>
          </cell>
          <cell r="B306" t="str">
            <v>GUJARAT</v>
          </cell>
          <cell r="C306" t="str">
            <v>VADODARA</v>
          </cell>
        </row>
        <row r="307">
          <cell r="A307" t="str">
            <v>GODHRA</v>
          </cell>
          <cell r="B307" t="str">
            <v>GUJARAT</v>
          </cell>
          <cell r="C307" t="str">
            <v>VADODARA</v>
          </cell>
        </row>
        <row r="308">
          <cell r="A308" t="str">
            <v>DAHOD</v>
          </cell>
          <cell r="B308" t="str">
            <v>GUJARAT</v>
          </cell>
          <cell r="C308" t="str">
            <v>VADODARA</v>
          </cell>
        </row>
        <row r="309">
          <cell r="A309" t="str">
            <v>PADRA</v>
          </cell>
          <cell r="B309" t="str">
            <v>GUJARAT</v>
          </cell>
          <cell r="C309" t="str">
            <v>VADODARA</v>
          </cell>
        </row>
        <row r="310">
          <cell r="A310" t="str">
            <v>BORSAD</v>
          </cell>
          <cell r="B310" t="str">
            <v>GUJARAT</v>
          </cell>
          <cell r="C310" t="str">
            <v>VADODARA</v>
          </cell>
        </row>
        <row r="311">
          <cell r="A311" t="str">
            <v>HALOL</v>
          </cell>
          <cell r="B311" t="str">
            <v>GUJARAT</v>
          </cell>
          <cell r="C311" t="str">
            <v>VADODARA</v>
          </cell>
        </row>
        <row r="312">
          <cell r="A312" t="str">
            <v>MEHMDABAD [KHEDA]</v>
          </cell>
          <cell r="B312" t="str">
            <v>GUJARAT</v>
          </cell>
          <cell r="C312" t="str">
            <v>VADODARA</v>
          </cell>
        </row>
        <row r="313">
          <cell r="A313" t="str">
            <v>DABHOI</v>
          </cell>
          <cell r="B313" t="str">
            <v>GUJARAT</v>
          </cell>
          <cell r="C313" t="str">
            <v>VADODARA</v>
          </cell>
        </row>
        <row r="314">
          <cell r="A314" t="str">
            <v>SOJITRA [PETLAD]</v>
          </cell>
          <cell r="B314" t="str">
            <v>GUJARAT</v>
          </cell>
          <cell r="C314" t="str">
            <v>VADODARA</v>
          </cell>
        </row>
        <row r="315">
          <cell r="A315" t="str">
            <v>MIYAGAM</v>
          </cell>
          <cell r="B315" t="str">
            <v>GUJARAT</v>
          </cell>
          <cell r="C315" t="str">
            <v>VADODARA</v>
          </cell>
        </row>
        <row r="316">
          <cell r="A316" t="str">
            <v>RAJKOT</v>
          </cell>
          <cell r="B316" t="str">
            <v>GUJARAT</v>
          </cell>
          <cell r="C316" t="str">
            <v>RAJKOT</v>
          </cell>
        </row>
        <row r="317">
          <cell r="A317" t="str">
            <v>BHAVNAGAR</v>
          </cell>
          <cell r="B317" t="str">
            <v>GUJARAT</v>
          </cell>
          <cell r="C317" t="str">
            <v>RAJKOT</v>
          </cell>
        </row>
        <row r="318">
          <cell r="A318" t="str">
            <v>JAMNAGAR</v>
          </cell>
          <cell r="B318" t="str">
            <v>GUJARAT</v>
          </cell>
          <cell r="C318" t="str">
            <v>RAJKOT</v>
          </cell>
        </row>
        <row r="319">
          <cell r="A319" t="str">
            <v>Junagarh</v>
          </cell>
          <cell r="B319" t="str">
            <v>GUJARAT</v>
          </cell>
          <cell r="C319" t="str">
            <v>RAJKOT</v>
          </cell>
        </row>
        <row r="320">
          <cell r="A320" t="str">
            <v>BHUJ</v>
          </cell>
          <cell r="B320" t="str">
            <v>GUJARAT</v>
          </cell>
          <cell r="C320" t="str">
            <v>RAJKOT</v>
          </cell>
        </row>
        <row r="321">
          <cell r="A321" t="str">
            <v>GANDHIDHAM</v>
          </cell>
          <cell r="B321" t="str">
            <v>GUJARAT</v>
          </cell>
          <cell r="C321" t="str">
            <v>RAJKOT</v>
          </cell>
        </row>
        <row r="322">
          <cell r="A322" t="str">
            <v>PORBANDER</v>
          </cell>
          <cell r="B322" t="str">
            <v>GUJARAT</v>
          </cell>
          <cell r="C322" t="str">
            <v>RAJKOT</v>
          </cell>
        </row>
        <row r="323">
          <cell r="A323" t="str">
            <v>SURENDRANAGAR</v>
          </cell>
          <cell r="B323" t="str">
            <v>GUJARAT</v>
          </cell>
          <cell r="C323" t="str">
            <v>RAJKOT</v>
          </cell>
        </row>
        <row r="324">
          <cell r="A324" t="str">
            <v>AMRELI</v>
          </cell>
          <cell r="B324" t="str">
            <v>GUJARAT</v>
          </cell>
          <cell r="C324" t="str">
            <v>RAJKOT</v>
          </cell>
        </row>
        <row r="325">
          <cell r="A325" t="str">
            <v>MORVI</v>
          </cell>
          <cell r="B325" t="str">
            <v>GUJARAT</v>
          </cell>
          <cell r="C325" t="str">
            <v>RAJKOT</v>
          </cell>
        </row>
        <row r="326">
          <cell r="A326" t="str">
            <v>JETPUR</v>
          </cell>
          <cell r="B326" t="str">
            <v>GUJARAT</v>
          </cell>
          <cell r="C326" t="str">
            <v>RAJKOT</v>
          </cell>
        </row>
        <row r="327">
          <cell r="A327" t="str">
            <v>DHORAJI</v>
          </cell>
          <cell r="B327" t="str">
            <v>GUJARAT</v>
          </cell>
          <cell r="C327" t="str">
            <v>RAJKOT</v>
          </cell>
        </row>
        <row r="328">
          <cell r="A328" t="str">
            <v>SIHOR</v>
          </cell>
          <cell r="B328" t="str">
            <v>GUJARAT</v>
          </cell>
          <cell r="C328" t="str">
            <v>RAJKOT</v>
          </cell>
        </row>
        <row r="329">
          <cell r="A329" t="str">
            <v>KHAMBHALIA</v>
          </cell>
          <cell r="B329" t="str">
            <v>GUJARAT</v>
          </cell>
          <cell r="C329" t="str">
            <v>RAJKOT</v>
          </cell>
        </row>
        <row r="330">
          <cell r="A330" t="str">
            <v>UPLETA</v>
          </cell>
          <cell r="B330" t="str">
            <v>GUJARAT</v>
          </cell>
          <cell r="C330" t="str">
            <v>RAJKOT</v>
          </cell>
        </row>
        <row r="331">
          <cell r="A331" t="str">
            <v>BOTAD</v>
          </cell>
          <cell r="B331" t="str">
            <v>GUJARAT</v>
          </cell>
          <cell r="C331" t="str">
            <v>RAJKOT</v>
          </cell>
        </row>
        <row r="332">
          <cell r="A332" t="str">
            <v>KESHOD</v>
          </cell>
          <cell r="B332" t="str">
            <v>GUJARAT</v>
          </cell>
          <cell r="C332" t="str">
            <v>RAJKOT</v>
          </cell>
        </row>
        <row r="333">
          <cell r="A333" t="str">
            <v>LIMBDI</v>
          </cell>
          <cell r="B333" t="str">
            <v>GUJARAT</v>
          </cell>
          <cell r="C333" t="str">
            <v>RAJKOT</v>
          </cell>
        </row>
        <row r="334">
          <cell r="A334">
            <v>54</v>
          </cell>
          <cell r="B334">
            <v>1</v>
          </cell>
          <cell r="C334">
            <v>4</v>
          </cell>
        </row>
        <row r="335">
          <cell r="A335" t="str">
            <v>LUCKNOW</v>
          </cell>
          <cell r="B335" t="str">
            <v>UTTAR PRADESH (E) &amp; (W)</v>
          </cell>
          <cell r="C335" t="str">
            <v>LUCKNOW</v>
          </cell>
        </row>
        <row r="336">
          <cell r="A336" t="str">
            <v>GORAKHPUR</v>
          </cell>
          <cell r="B336" t="str">
            <v>UTTAR PRADESH (E) &amp; (W)</v>
          </cell>
          <cell r="C336" t="str">
            <v>LUCKNOW</v>
          </cell>
        </row>
        <row r="337">
          <cell r="A337" t="str">
            <v>FAIZABAD</v>
          </cell>
          <cell r="B337" t="str">
            <v>UTTAR PRADESH (E) &amp; (W)</v>
          </cell>
          <cell r="C337" t="str">
            <v>LUCKNOW</v>
          </cell>
        </row>
        <row r="338">
          <cell r="A338" t="str">
            <v>BARABANKI</v>
          </cell>
          <cell r="B338" t="str">
            <v>UTTAR PRADESH (E) &amp; (W)</v>
          </cell>
          <cell r="C338" t="str">
            <v>LUCKNOW</v>
          </cell>
        </row>
        <row r="339">
          <cell r="A339" t="str">
            <v>BASTI</v>
          </cell>
          <cell r="B339" t="str">
            <v>UTTAR PRADESH (E) &amp; (W)</v>
          </cell>
          <cell r="C339" t="str">
            <v>LUCKNOW</v>
          </cell>
        </row>
        <row r="340">
          <cell r="A340" t="str">
            <v>SITAPUR</v>
          </cell>
          <cell r="B340" t="str">
            <v>UTTAR PRADESH (E) &amp; (W)</v>
          </cell>
          <cell r="C340" t="str">
            <v>LUCKNOW</v>
          </cell>
        </row>
        <row r="341">
          <cell r="A341" t="str">
            <v>SHAHJAHANPUR</v>
          </cell>
          <cell r="B341" t="str">
            <v>UTTAR PRADESH (E) &amp; (W)</v>
          </cell>
          <cell r="C341" t="str">
            <v>LUCKNOW</v>
          </cell>
        </row>
        <row r="342">
          <cell r="A342" t="str">
            <v>KANPUR</v>
          </cell>
          <cell r="B342" t="str">
            <v>UTTAR PRADESH (E) &amp; (W)</v>
          </cell>
          <cell r="C342" t="str">
            <v>KANPUR</v>
          </cell>
        </row>
        <row r="343">
          <cell r="A343" t="str">
            <v>UNNAO</v>
          </cell>
          <cell r="B343" t="str">
            <v>UTTAR PRADESH (E) &amp; (W)</v>
          </cell>
          <cell r="C343" t="str">
            <v>KANPUR</v>
          </cell>
        </row>
        <row r="344">
          <cell r="A344" t="str">
            <v>RAIBAREILLY</v>
          </cell>
          <cell r="B344" t="str">
            <v>UTTAR PRADESH (E) &amp; (W)</v>
          </cell>
          <cell r="C344" t="str">
            <v>KANPUR</v>
          </cell>
        </row>
        <row r="345">
          <cell r="A345" t="str">
            <v>Fathehpur</v>
          </cell>
          <cell r="B345" t="str">
            <v>UTTAR PRADESH (E) &amp; (W)</v>
          </cell>
          <cell r="C345" t="str">
            <v>KANPUR</v>
          </cell>
        </row>
        <row r="346">
          <cell r="A346" t="str">
            <v>AGRA</v>
          </cell>
          <cell r="B346" t="str">
            <v>UTTAR PRADESH (E) &amp; (W)</v>
          </cell>
          <cell r="C346" t="str">
            <v>AGRA</v>
          </cell>
        </row>
        <row r="347">
          <cell r="A347" t="str">
            <v>ALIGARH</v>
          </cell>
          <cell r="B347" t="str">
            <v>UTTAR PRADESH (E) &amp; (W)</v>
          </cell>
          <cell r="C347" t="str">
            <v>AGRA</v>
          </cell>
        </row>
        <row r="348">
          <cell r="A348" t="str">
            <v>MATHURA</v>
          </cell>
          <cell r="B348" t="str">
            <v>UTTAR PRADESH (E) &amp; (W)</v>
          </cell>
          <cell r="C348" t="str">
            <v>AGRA</v>
          </cell>
        </row>
        <row r="349">
          <cell r="A349" t="str">
            <v>HATHRAS</v>
          </cell>
          <cell r="B349" t="str">
            <v>UTTAR PRADESH (E) &amp; (W)</v>
          </cell>
          <cell r="C349" t="str">
            <v>AGRA</v>
          </cell>
        </row>
        <row r="350">
          <cell r="A350" t="str">
            <v>CHHATA(KOSIKALAN)</v>
          </cell>
          <cell r="B350" t="str">
            <v>UTTAR PRADESH (E) &amp; (W)</v>
          </cell>
          <cell r="C350" t="str">
            <v>AGRA</v>
          </cell>
        </row>
        <row r="351">
          <cell r="A351" t="str">
            <v>ETAH</v>
          </cell>
          <cell r="B351" t="str">
            <v>UTTAR PRADESH (E) &amp; (W)</v>
          </cell>
          <cell r="C351" t="str">
            <v>AGRA</v>
          </cell>
        </row>
        <row r="352">
          <cell r="A352" t="str">
            <v>MEERUT</v>
          </cell>
          <cell r="B352" t="str">
            <v>UTTAR PRADESH (E) &amp; (W)</v>
          </cell>
          <cell r="C352" t="str">
            <v>MEERUT</v>
          </cell>
        </row>
        <row r="353">
          <cell r="A353" t="str">
            <v>BAREILLY</v>
          </cell>
          <cell r="B353" t="str">
            <v>UTTAR PRADESH (E) &amp; (W)</v>
          </cell>
          <cell r="C353" t="str">
            <v>MEERUT</v>
          </cell>
        </row>
        <row r="354">
          <cell r="A354" t="str">
            <v>Muzaffarnagar</v>
          </cell>
          <cell r="B354" t="str">
            <v>UTTAR PRADESH (E) &amp; (W)</v>
          </cell>
          <cell r="C354" t="str">
            <v>MEERUT</v>
          </cell>
        </row>
        <row r="355">
          <cell r="A355" t="str">
            <v>Muradabad</v>
          </cell>
          <cell r="B355" t="str">
            <v>UTTAR PRADESH (E) &amp; (W)</v>
          </cell>
          <cell r="C355" t="str">
            <v>MEERUT</v>
          </cell>
        </row>
        <row r="356">
          <cell r="A356" t="str">
            <v>HAPUR</v>
          </cell>
          <cell r="B356" t="str">
            <v>UTTAR PRADESH (E) &amp; (W)</v>
          </cell>
          <cell r="C356" t="str">
            <v>MEERUT</v>
          </cell>
        </row>
        <row r="357">
          <cell r="A357" t="str">
            <v>BULANDSHAHR</v>
          </cell>
          <cell r="B357" t="str">
            <v>UTTAR PRADESH (E) &amp; (W)</v>
          </cell>
          <cell r="C357" t="str">
            <v>MEERUT</v>
          </cell>
        </row>
        <row r="358">
          <cell r="A358" t="str">
            <v>RAMPUR</v>
          </cell>
          <cell r="B358" t="str">
            <v>UTTAR PRADESH (E) &amp; (W)</v>
          </cell>
          <cell r="C358" t="str">
            <v>MEERUT</v>
          </cell>
        </row>
        <row r="359">
          <cell r="A359" t="str">
            <v>JANSATH(KHATAULI)</v>
          </cell>
          <cell r="B359" t="str">
            <v>UTTAR PRADESH (E) &amp; (W)</v>
          </cell>
          <cell r="C359" t="str">
            <v>MEERUT</v>
          </cell>
        </row>
        <row r="360">
          <cell r="A360" t="str">
            <v>AMROHA</v>
          </cell>
          <cell r="B360" t="str">
            <v>UTTAR PRADESH (E) &amp; (W)</v>
          </cell>
          <cell r="C360" t="str">
            <v>MEERUT</v>
          </cell>
        </row>
        <row r="361">
          <cell r="A361" t="str">
            <v>DEHRADUN</v>
          </cell>
          <cell r="B361" t="str">
            <v>UTTAR PRADESH (E) &amp; (W)</v>
          </cell>
          <cell r="C361" t="str">
            <v>DEDRADUN</v>
          </cell>
        </row>
        <row r="362">
          <cell r="A362" t="str">
            <v>SAHARANPUR</v>
          </cell>
          <cell r="B362" t="str">
            <v>UTTAR PRADESH (E) &amp; (W)</v>
          </cell>
          <cell r="C362" t="str">
            <v>DEDRADUN</v>
          </cell>
        </row>
        <row r="363">
          <cell r="A363" t="str">
            <v>ROORKEE-II(HARDWAR)</v>
          </cell>
          <cell r="B363" t="str">
            <v>UTTAR PRADESH (E) &amp; (W)</v>
          </cell>
          <cell r="C363" t="str">
            <v>DEDRADUN</v>
          </cell>
        </row>
        <row r="364">
          <cell r="A364" t="str">
            <v>ROORKEE-I</v>
          </cell>
          <cell r="B364" t="str">
            <v>UTTAR PRADESH (E) &amp; (W)</v>
          </cell>
          <cell r="C364" t="str">
            <v>DEDRADUN</v>
          </cell>
        </row>
        <row r="365">
          <cell r="A365" t="str">
            <v>DEOBAND</v>
          </cell>
          <cell r="B365" t="str">
            <v>UTTAR PRADESH (E) &amp; (W)</v>
          </cell>
          <cell r="C365" t="str">
            <v>DEDRADUN</v>
          </cell>
        </row>
        <row r="366">
          <cell r="A366" t="str">
            <v>VARANASI</v>
          </cell>
          <cell r="B366" t="str">
            <v>UTTAR PRADESH (E) &amp; (W)</v>
          </cell>
          <cell r="C366" t="str">
            <v>ALLAHABAD</v>
          </cell>
        </row>
        <row r="367">
          <cell r="A367" t="str">
            <v>ALLAHABAD</v>
          </cell>
          <cell r="B367" t="str">
            <v>UTTAR PRADESH (E) &amp; (W)</v>
          </cell>
          <cell r="C367" t="str">
            <v>ALLAHABAD</v>
          </cell>
        </row>
        <row r="368">
          <cell r="A368" t="str">
            <v>AZAMGARH</v>
          </cell>
          <cell r="B368" t="str">
            <v>UTTAR PRADESH (E) &amp; (W)</v>
          </cell>
          <cell r="C368" t="str">
            <v>ALLAHABAD</v>
          </cell>
        </row>
        <row r="369">
          <cell r="A369" t="str">
            <v>BHADOHI</v>
          </cell>
          <cell r="B369" t="str">
            <v>UTTAR PRADESH (E) &amp; (W)</v>
          </cell>
          <cell r="C369" t="str">
            <v>ALLAHABAD</v>
          </cell>
        </row>
        <row r="370">
          <cell r="A370" t="str">
            <v>JAUNPUR</v>
          </cell>
          <cell r="B370" t="str">
            <v>UTTAR PRADESH (E) &amp; (W)</v>
          </cell>
          <cell r="C370" t="str">
            <v>ALLAHABAD</v>
          </cell>
        </row>
        <row r="371">
          <cell r="A371" t="str">
            <v>Mirzapur-I(Mirzapur)</v>
          </cell>
          <cell r="B371" t="str">
            <v>UTTAR PRADESH (E) &amp; (W)</v>
          </cell>
          <cell r="C371" t="str">
            <v>ALLAHABAD</v>
          </cell>
        </row>
        <row r="372">
          <cell r="A372" t="str">
            <v>CHANDAULI(MUGALSARAI)</v>
          </cell>
          <cell r="B372" t="str">
            <v>UTTAR PRADESH (E) &amp; (W)</v>
          </cell>
          <cell r="C372" t="str">
            <v>ALLAHABAD</v>
          </cell>
        </row>
        <row r="373">
          <cell r="A373" t="str">
            <v>GHAZIPUR</v>
          </cell>
          <cell r="B373" t="str">
            <v>UTTAR PRADESH (E) &amp; (W)</v>
          </cell>
          <cell r="C373" t="str">
            <v>ALLAHABAD</v>
          </cell>
        </row>
        <row r="374">
          <cell r="A374">
            <v>39</v>
          </cell>
          <cell r="B374">
            <v>1</v>
          </cell>
          <cell r="C374">
            <v>6</v>
          </cell>
        </row>
        <row r="375">
          <cell r="A375" t="str">
            <v>Bangalore</v>
          </cell>
          <cell r="B375" t="str">
            <v>KARNATAKA</v>
          </cell>
          <cell r="C375" t="str">
            <v>BANGALORE</v>
          </cell>
        </row>
        <row r="376">
          <cell r="A376" t="str">
            <v>TUMKUR</v>
          </cell>
          <cell r="B376" t="str">
            <v>KARNATAKA</v>
          </cell>
          <cell r="C376" t="str">
            <v>BANGALORE</v>
          </cell>
        </row>
        <row r="377">
          <cell r="A377" t="str">
            <v>BANGARPET</v>
          </cell>
          <cell r="B377" t="str">
            <v>KARNATAKA</v>
          </cell>
          <cell r="C377" t="str">
            <v>BANGALORE</v>
          </cell>
        </row>
        <row r="378">
          <cell r="A378" t="str">
            <v>Kollar</v>
          </cell>
          <cell r="B378" t="str">
            <v>KARNATAKA</v>
          </cell>
          <cell r="C378" t="str">
            <v>BANGALORE</v>
          </cell>
        </row>
        <row r="379">
          <cell r="A379" t="str">
            <v>CHIKKABALLAPUR</v>
          </cell>
          <cell r="B379" t="str">
            <v>KARNATAKA</v>
          </cell>
          <cell r="C379" t="str">
            <v>BANGALORE</v>
          </cell>
        </row>
        <row r="380">
          <cell r="A380" t="str">
            <v>NELAMANGALA</v>
          </cell>
          <cell r="B380" t="str">
            <v>KARNATAKA</v>
          </cell>
          <cell r="C380" t="str">
            <v>BANGALORE</v>
          </cell>
        </row>
        <row r="381">
          <cell r="A381" t="str">
            <v>DODDABALLAPUR</v>
          </cell>
          <cell r="B381" t="str">
            <v>KARNATAKA</v>
          </cell>
          <cell r="C381" t="str">
            <v>BANGALORE</v>
          </cell>
        </row>
        <row r="382">
          <cell r="A382" t="str">
            <v>CHANNAPATNA</v>
          </cell>
          <cell r="B382" t="str">
            <v>KARNATAKA</v>
          </cell>
          <cell r="C382" t="str">
            <v>BANGALORE</v>
          </cell>
        </row>
        <row r="383">
          <cell r="A383" t="str">
            <v>GOWRIBIDANUR</v>
          </cell>
          <cell r="B383" t="str">
            <v>KARNATAKA</v>
          </cell>
          <cell r="C383" t="str">
            <v>BANGALORE</v>
          </cell>
        </row>
        <row r="384">
          <cell r="A384" t="str">
            <v>HOSAKOTE</v>
          </cell>
          <cell r="B384" t="str">
            <v>KARNATAKA</v>
          </cell>
          <cell r="C384" t="str">
            <v>BANGALORE</v>
          </cell>
        </row>
        <row r="385">
          <cell r="A385" t="str">
            <v>KANAKAPURA</v>
          </cell>
          <cell r="B385" t="str">
            <v>KARNATAKA</v>
          </cell>
          <cell r="C385" t="str">
            <v>BANGALORE</v>
          </cell>
        </row>
        <row r="386">
          <cell r="A386" t="str">
            <v>TIPTUR</v>
          </cell>
          <cell r="B386" t="str">
            <v>KARNATAKA</v>
          </cell>
          <cell r="C386" t="str">
            <v>BANGALORE</v>
          </cell>
        </row>
        <row r="387">
          <cell r="A387" t="str">
            <v>ARSIKERE</v>
          </cell>
          <cell r="B387" t="str">
            <v>KARNATAKA</v>
          </cell>
          <cell r="C387" t="str">
            <v>BANGALORE</v>
          </cell>
        </row>
        <row r="388">
          <cell r="A388" t="str">
            <v>ANEKAL</v>
          </cell>
          <cell r="B388" t="str">
            <v>KARNATAKA</v>
          </cell>
          <cell r="C388" t="str">
            <v>BANGALORE</v>
          </cell>
        </row>
        <row r="389">
          <cell r="A389" t="str">
            <v>HUBLI</v>
          </cell>
          <cell r="B389" t="str">
            <v>KARNATAKA</v>
          </cell>
          <cell r="C389" t="str">
            <v>BELGAUM</v>
          </cell>
        </row>
        <row r="390">
          <cell r="A390" t="str">
            <v>BELGAUM</v>
          </cell>
          <cell r="B390" t="str">
            <v>KARNATAKA</v>
          </cell>
          <cell r="C390" t="str">
            <v>BELGAUM</v>
          </cell>
        </row>
        <row r="391">
          <cell r="A391" t="str">
            <v>GULBARGA</v>
          </cell>
          <cell r="B391" t="str">
            <v>KARNATAKA</v>
          </cell>
          <cell r="C391" t="str">
            <v>BELGAUM</v>
          </cell>
        </row>
        <row r="392">
          <cell r="A392" t="str">
            <v>BIJAPUR</v>
          </cell>
          <cell r="B392" t="str">
            <v>KARNATAKA</v>
          </cell>
          <cell r="C392" t="str">
            <v>BELGAUM</v>
          </cell>
        </row>
        <row r="393">
          <cell r="A393" t="str">
            <v>BELLARY</v>
          </cell>
          <cell r="B393" t="str">
            <v>KARNATAKA</v>
          </cell>
          <cell r="C393" t="str">
            <v>BELGAUM</v>
          </cell>
        </row>
        <row r="394">
          <cell r="A394" t="str">
            <v>RAICHUR</v>
          </cell>
          <cell r="B394" t="str">
            <v>KARNATAKA</v>
          </cell>
          <cell r="C394" t="str">
            <v>BELGAUM</v>
          </cell>
        </row>
        <row r="395">
          <cell r="A395" t="str">
            <v>GADAG</v>
          </cell>
          <cell r="B395" t="str">
            <v>KARNATAKA</v>
          </cell>
          <cell r="C395" t="str">
            <v>BELGAUM</v>
          </cell>
        </row>
        <row r="396">
          <cell r="A396" t="str">
            <v>HOSPET</v>
          </cell>
          <cell r="B396" t="str">
            <v>KARNATAKA</v>
          </cell>
          <cell r="C396" t="str">
            <v>BELGAUM</v>
          </cell>
        </row>
        <row r="397">
          <cell r="A397" t="str">
            <v>BIDAR</v>
          </cell>
          <cell r="B397" t="str">
            <v>KARNATAKA</v>
          </cell>
          <cell r="C397" t="str">
            <v>BELGAUM</v>
          </cell>
        </row>
        <row r="398">
          <cell r="A398" t="str">
            <v>BAGALKOT</v>
          </cell>
          <cell r="B398" t="str">
            <v>KARNATAKA</v>
          </cell>
          <cell r="C398" t="str">
            <v>BELGAUM</v>
          </cell>
        </row>
        <row r="399">
          <cell r="A399" t="str">
            <v>GOKAK</v>
          </cell>
          <cell r="B399" t="str">
            <v>KARNATAKA</v>
          </cell>
          <cell r="C399" t="str">
            <v>BELGAUM</v>
          </cell>
        </row>
        <row r="400">
          <cell r="A400" t="str">
            <v>HAVERI</v>
          </cell>
          <cell r="B400" t="str">
            <v>KARNATAKA</v>
          </cell>
          <cell r="C400" t="str">
            <v>BELGAUM</v>
          </cell>
        </row>
        <row r="401">
          <cell r="A401" t="str">
            <v>KOPPAL</v>
          </cell>
          <cell r="B401" t="str">
            <v>KARNATAKA</v>
          </cell>
          <cell r="C401" t="str">
            <v>BELGAUM</v>
          </cell>
        </row>
        <row r="402">
          <cell r="A402" t="str">
            <v>MYSORE</v>
          </cell>
          <cell r="B402" t="str">
            <v>KARNATAKA</v>
          </cell>
          <cell r="C402" t="str">
            <v>MYSORE</v>
          </cell>
        </row>
        <row r="403">
          <cell r="A403" t="str">
            <v>MANDYA</v>
          </cell>
          <cell r="B403" t="str">
            <v>KARNATAKA</v>
          </cell>
          <cell r="C403" t="str">
            <v>MYSORE</v>
          </cell>
        </row>
        <row r="404">
          <cell r="A404" t="str">
            <v>HASSAN</v>
          </cell>
          <cell r="B404" t="str">
            <v>KARNATAKA</v>
          </cell>
          <cell r="C404" t="str">
            <v>MYSORE</v>
          </cell>
        </row>
        <row r="405">
          <cell r="A405" t="str">
            <v>Chikmangalur</v>
          </cell>
          <cell r="B405" t="str">
            <v>KARNATAKA</v>
          </cell>
          <cell r="C405" t="str">
            <v>MYSORE</v>
          </cell>
        </row>
        <row r="406">
          <cell r="A406" t="str">
            <v>NANJANGUD</v>
          </cell>
          <cell r="B406" t="str">
            <v>KARNATAKA</v>
          </cell>
          <cell r="C406" t="str">
            <v>MYSORE</v>
          </cell>
        </row>
        <row r="407">
          <cell r="A407" t="str">
            <v>SULLIA</v>
          </cell>
          <cell r="B407" t="str">
            <v>KARNATAKA</v>
          </cell>
          <cell r="C407" t="str">
            <v>MYSORE</v>
          </cell>
        </row>
        <row r="408">
          <cell r="A408" t="str">
            <v>SAKLESHPUR</v>
          </cell>
          <cell r="B408" t="str">
            <v>KARNATAKA</v>
          </cell>
          <cell r="C408" t="str">
            <v>MYSORE</v>
          </cell>
        </row>
        <row r="409">
          <cell r="A409" t="str">
            <v>MANGALORE</v>
          </cell>
          <cell r="B409" t="str">
            <v>KARNATAKA</v>
          </cell>
          <cell r="C409" t="str">
            <v>MANGALORE</v>
          </cell>
        </row>
        <row r="410">
          <cell r="A410" t="str">
            <v>Devnagere</v>
          </cell>
          <cell r="B410" t="str">
            <v>KARNATAKA</v>
          </cell>
          <cell r="C410" t="str">
            <v>MANGALORE</v>
          </cell>
        </row>
        <row r="411">
          <cell r="A411" t="str">
            <v>SHIMOGA</v>
          </cell>
          <cell r="B411" t="str">
            <v>KARNATAKA</v>
          </cell>
          <cell r="C411" t="str">
            <v>MANGALORE</v>
          </cell>
        </row>
        <row r="412">
          <cell r="A412" t="str">
            <v>CHITRADURGA</v>
          </cell>
          <cell r="B412" t="str">
            <v>KARNATAKA</v>
          </cell>
          <cell r="C412" t="str">
            <v>MANGALORE</v>
          </cell>
        </row>
        <row r="413">
          <cell r="A413" t="str">
            <v>UDUPI</v>
          </cell>
          <cell r="B413" t="str">
            <v>KARNATAKA</v>
          </cell>
          <cell r="C413" t="str">
            <v>MANGALORE</v>
          </cell>
        </row>
        <row r="414">
          <cell r="A414" t="str">
            <v>BHADRAVATI</v>
          </cell>
          <cell r="B414" t="str">
            <v>KARNATAKA</v>
          </cell>
          <cell r="C414" t="str">
            <v>MANGALORE</v>
          </cell>
        </row>
        <row r="415">
          <cell r="A415" t="str">
            <v>PUTTUR</v>
          </cell>
          <cell r="B415" t="str">
            <v>KARNATAKA</v>
          </cell>
          <cell r="C415" t="str">
            <v>MANGALORE</v>
          </cell>
        </row>
        <row r="416">
          <cell r="A416" t="str">
            <v>KARWAR</v>
          </cell>
          <cell r="B416" t="str">
            <v>KARNATAKA</v>
          </cell>
          <cell r="C416" t="str">
            <v>MANGALORE</v>
          </cell>
        </row>
        <row r="417">
          <cell r="A417" t="str">
            <v>BHATKAL</v>
          </cell>
          <cell r="B417" t="str">
            <v>KARNATAKA</v>
          </cell>
          <cell r="C417" t="str">
            <v>MANGALORE</v>
          </cell>
        </row>
        <row r="418">
          <cell r="A418" t="str">
            <v>KUNDAPUR</v>
          </cell>
          <cell r="B418" t="str">
            <v>KARNATAKA</v>
          </cell>
          <cell r="C418" t="str">
            <v>MANGALORE</v>
          </cell>
        </row>
        <row r="419">
          <cell r="A419" t="str">
            <v>KARKALA</v>
          </cell>
          <cell r="B419" t="str">
            <v>KARNATAKA</v>
          </cell>
          <cell r="C419" t="str">
            <v>MANGALORE</v>
          </cell>
        </row>
        <row r="420">
          <cell r="A420" t="str">
            <v>BANTWAL</v>
          </cell>
          <cell r="B420" t="str">
            <v>KARNATAKA</v>
          </cell>
          <cell r="C420" t="str">
            <v>MANGALORE</v>
          </cell>
        </row>
        <row r="421">
          <cell r="A421" t="str">
            <v>KUMTA</v>
          </cell>
          <cell r="B421" t="str">
            <v>KARNATAKA</v>
          </cell>
          <cell r="C421" t="str">
            <v>MANGALORE</v>
          </cell>
        </row>
        <row r="422">
          <cell r="A422">
            <v>47</v>
          </cell>
          <cell r="B422">
            <v>1</v>
          </cell>
          <cell r="C422">
            <v>4</v>
          </cell>
        </row>
        <row r="423">
          <cell r="A423" t="str">
            <v>CHANDIGARH</v>
          </cell>
          <cell r="B423" t="str">
            <v>PUNJAB / HARYANA / HP</v>
          </cell>
          <cell r="C423" t="str">
            <v>CHANDIGARH</v>
          </cell>
        </row>
        <row r="424">
          <cell r="A424" t="str">
            <v>LUDHIANA</v>
          </cell>
          <cell r="B424" t="str">
            <v>PUNJAB / HARYANA / HP</v>
          </cell>
          <cell r="C424" t="str">
            <v>CHANDIGARH</v>
          </cell>
        </row>
        <row r="425">
          <cell r="A425" t="str">
            <v>PATIALA</v>
          </cell>
          <cell r="B425" t="str">
            <v>PUNJAB / HARYANA / HP</v>
          </cell>
          <cell r="C425" t="str">
            <v>CHANDIGARH</v>
          </cell>
        </row>
        <row r="426">
          <cell r="A426" t="str">
            <v>MALERKOTLA</v>
          </cell>
          <cell r="B426" t="str">
            <v>PUNJAB / HARYANA / HP</v>
          </cell>
          <cell r="C426" t="str">
            <v>CHANDIGARH</v>
          </cell>
        </row>
        <row r="427">
          <cell r="A427" t="str">
            <v>BARNALA</v>
          </cell>
          <cell r="B427" t="str">
            <v>PUNJAB / HARYANA / HP</v>
          </cell>
          <cell r="C427" t="str">
            <v>CHANDIGARH</v>
          </cell>
        </row>
        <row r="428">
          <cell r="A428" t="str">
            <v>NAWANSHAHAR</v>
          </cell>
          <cell r="B428" t="str">
            <v>PUNJAB / HARYANA / HP</v>
          </cell>
          <cell r="C428" t="str">
            <v>CHANDIGARH</v>
          </cell>
        </row>
        <row r="429">
          <cell r="A429" t="str">
            <v>PHILLAUR</v>
          </cell>
          <cell r="B429" t="str">
            <v>PUNJAB / HARYANA / HP</v>
          </cell>
          <cell r="C429" t="str">
            <v>CHANDIGARH</v>
          </cell>
        </row>
        <row r="430">
          <cell r="A430" t="str">
            <v>NABHA</v>
          </cell>
          <cell r="B430" t="str">
            <v>PUNJAB / HARYANA / HP</v>
          </cell>
          <cell r="C430" t="str">
            <v>CHANDIGARH</v>
          </cell>
        </row>
        <row r="431">
          <cell r="A431" t="str">
            <v>SANGRUR</v>
          </cell>
          <cell r="B431" t="str">
            <v>PUNJAB / HARYANA / HP</v>
          </cell>
          <cell r="C431" t="str">
            <v>CHANDIGARH</v>
          </cell>
        </row>
        <row r="432">
          <cell r="A432" t="str">
            <v>RAJPURA</v>
          </cell>
          <cell r="B432" t="str">
            <v>PUNJAB / HARYANA / HP</v>
          </cell>
          <cell r="C432" t="str">
            <v>CHANDIGARH</v>
          </cell>
        </row>
        <row r="433">
          <cell r="A433" t="str">
            <v>SUNAM</v>
          </cell>
          <cell r="B433" t="str">
            <v>PUNJAB / HARYANA / HP</v>
          </cell>
          <cell r="C433" t="str">
            <v>CHANDIGARH</v>
          </cell>
        </row>
        <row r="434">
          <cell r="A434" t="str">
            <v>SAMRALA</v>
          </cell>
          <cell r="B434" t="str">
            <v>PUNJAB / HARYANA / HP</v>
          </cell>
          <cell r="C434" t="str">
            <v>CHANDIGARH</v>
          </cell>
        </row>
        <row r="435">
          <cell r="A435" t="str">
            <v>SARHIND</v>
          </cell>
          <cell r="B435" t="str">
            <v>PUNJAB / HARYANA / HP</v>
          </cell>
          <cell r="C435" t="str">
            <v>CHANDIGARH</v>
          </cell>
        </row>
        <row r="436">
          <cell r="A436" t="str">
            <v>KALKA</v>
          </cell>
          <cell r="B436" t="str">
            <v>PUNJAB / HARYANA / HP</v>
          </cell>
          <cell r="C436" t="str">
            <v>CHANDIGARH</v>
          </cell>
        </row>
        <row r="437">
          <cell r="A437" t="str">
            <v>ROPAR</v>
          </cell>
          <cell r="B437" t="str">
            <v>PUNJAB / HARYANA / HP</v>
          </cell>
          <cell r="C437" t="str">
            <v>CHANDIGARH</v>
          </cell>
        </row>
        <row r="438">
          <cell r="A438" t="str">
            <v>KHARAR</v>
          </cell>
          <cell r="B438" t="str">
            <v>PUNJAB / HARYANA / HP</v>
          </cell>
          <cell r="C438" t="str">
            <v>CHANDIGARH</v>
          </cell>
        </row>
        <row r="439">
          <cell r="A439" t="str">
            <v>JALLANDHAR</v>
          </cell>
          <cell r="B439" t="str">
            <v>PUNJAB / HARYANA / HP</v>
          </cell>
          <cell r="C439" t="str">
            <v>JALLANDHAR</v>
          </cell>
        </row>
        <row r="440">
          <cell r="A440" t="str">
            <v>AMRITSAR</v>
          </cell>
          <cell r="B440" t="str">
            <v>PUNJAB / HARYANA / HP</v>
          </cell>
          <cell r="C440" t="str">
            <v>JALLANDHAR</v>
          </cell>
        </row>
        <row r="441">
          <cell r="A441" t="str">
            <v>HOSHIARPUR</v>
          </cell>
          <cell r="B441" t="str">
            <v>PUNJAB / HARYANA / HP</v>
          </cell>
          <cell r="C441" t="str">
            <v>JALLANDHAR</v>
          </cell>
        </row>
        <row r="442">
          <cell r="A442" t="str">
            <v>PATHANKOT</v>
          </cell>
          <cell r="B442" t="str">
            <v>PUNJAB / HARYANA / HP</v>
          </cell>
          <cell r="C442" t="str">
            <v>JALLANDHAR</v>
          </cell>
        </row>
        <row r="443">
          <cell r="A443" t="str">
            <v>BATALA</v>
          </cell>
          <cell r="B443" t="str">
            <v>PUNJAB / HARYANA / HP</v>
          </cell>
          <cell r="C443" t="str">
            <v>JALLANDHAR</v>
          </cell>
        </row>
        <row r="444">
          <cell r="A444" t="str">
            <v>GURDASPUR</v>
          </cell>
          <cell r="B444" t="str">
            <v>PUNJAB / HARYANA / HP</v>
          </cell>
          <cell r="C444" t="str">
            <v>JALLANDHAR</v>
          </cell>
        </row>
        <row r="445">
          <cell r="A445" t="str">
            <v>PHAGWARA</v>
          </cell>
          <cell r="B445" t="str">
            <v>PUNJAB / HARYANA / HP</v>
          </cell>
          <cell r="C445" t="str">
            <v>JALLANDHAR</v>
          </cell>
        </row>
        <row r="446">
          <cell r="A446" t="str">
            <v>KAPURTHALA</v>
          </cell>
          <cell r="B446" t="str">
            <v>PUNJAB / HARYANA / HP</v>
          </cell>
          <cell r="C446" t="str">
            <v>JALLANDHAR</v>
          </cell>
        </row>
        <row r="447">
          <cell r="A447" t="str">
            <v>TARAN TARAN</v>
          </cell>
          <cell r="B447" t="str">
            <v>PUNJAB / HARYANA / HP</v>
          </cell>
          <cell r="C447" t="str">
            <v>JALLANDHAR</v>
          </cell>
        </row>
        <row r="448">
          <cell r="A448" t="str">
            <v>PANIPAT</v>
          </cell>
          <cell r="B448" t="str">
            <v>PUNJAB / HARYANA / HP</v>
          </cell>
          <cell r="C448" t="str">
            <v>AMBALA</v>
          </cell>
        </row>
        <row r="449">
          <cell r="A449" t="str">
            <v>AMBALA</v>
          </cell>
          <cell r="B449" t="str">
            <v>PUNJAB / HARYANA / HP</v>
          </cell>
          <cell r="C449" t="str">
            <v>AMBALA</v>
          </cell>
        </row>
        <row r="450">
          <cell r="A450" t="str">
            <v>KARNAL</v>
          </cell>
          <cell r="B450" t="str">
            <v>PUNJAB / HARYANA / HP</v>
          </cell>
          <cell r="C450" t="str">
            <v>AMBALA</v>
          </cell>
        </row>
        <row r="451">
          <cell r="A451" t="str">
            <v>KURUKSHETRA</v>
          </cell>
          <cell r="B451" t="str">
            <v>PUNJAB / HARYANA / HP</v>
          </cell>
          <cell r="C451" t="str">
            <v>AMBALA</v>
          </cell>
        </row>
        <row r="452">
          <cell r="A452" t="str">
            <v>JAGADHARI</v>
          </cell>
          <cell r="B452" t="str">
            <v>PUNJAB / HARYANA / HP</v>
          </cell>
          <cell r="C452" t="str">
            <v>AMBALA</v>
          </cell>
        </row>
        <row r="453">
          <cell r="A453" t="str">
            <v>KAITHAL</v>
          </cell>
          <cell r="B453" t="str">
            <v>PUNJAB / HARYANA / HP</v>
          </cell>
          <cell r="C453" t="str">
            <v>AMBALA</v>
          </cell>
        </row>
        <row r="454">
          <cell r="A454" t="str">
            <v>NARAINGARH</v>
          </cell>
          <cell r="B454" t="str">
            <v>PUNJAB / HARYANA / HP</v>
          </cell>
          <cell r="C454" t="str">
            <v>AMBALA</v>
          </cell>
        </row>
        <row r="455">
          <cell r="A455" t="str">
            <v>CHHACHRAULI</v>
          </cell>
          <cell r="B455" t="str">
            <v>PUNJAB / HARYANA / HP</v>
          </cell>
          <cell r="C455" t="str">
            <v>AMBALA</v>
          </cell>
        </row>
        <row r="456">
          <cell r="A456" t="str">
            <v>NILOKHERI</v>
          </cell>
          <cell r="B456" t="str">
            <v>PUNJAB / HARYANA / HP</v>
          </cell>
          <cell r="C456" t="str">
            <v>AMBALA</v>
          </cell>
        </row>
        <row r="457">
          <cell r="A457" t="str">
            <v>BARARA</v>
          </cell>
          <cell r="B457" t="str">
            <v>PUNJAB / HARYANA / HP</v>
          </cell>
          <cell r="C457" t="str">
            <v>AMBALA</v>
          </cell>
        </row>
        <row r="458">
          <cell r="A458" t="str">
            <v>Simla</v>
          </cell>
          <cell r="B458" t="str">
            <v>PUNJAB / HARYANA / HP</v>
          </cell>
          <cell r="C458" t="str">
            <v>SHIMLA</v>
          </cell>
        </row>
        <row r="459">
          <cell r="A459" t="str">
            <v>SOLAN</v>
          </cell>
          <cell r="B459" t="str">
            <v>PUNJAB / HARYANA / HP</v>
          </cell>
          <cell r="C459" t="str">
            <v>SHIMLA</v>
          </cell>
        </row>
        <row r="460">
          <cell r="A460" t="str">
            <v>SRIGANGANAGAR</v>
          </cell>
          <cell r="B460" t="str">
            <v>PUNJAB / HARYANA / HP</v>
          </cell>
          <cell r="C460" t="str">
            <v>BHATINDA</v>
          </cell>
        </row>
        <row r="461">
          <cell r="A461" t="str">
            <v>BHATINDA</v>
          </cell>
          <cell r="B461" t="str">
            <v>PUNJAB / HARYANA / HP</v>
          </cell>
          <cell r="C461" t="str">
            <v>BHATINDA</v>
          </cell>
        </row>
        <row r="462">
          <cell r="A462" t="str">
            <v>MOGA</v>
          </cell>
          <cell r="B462" t="str">
            <v>PUNJAB / HARYANA / HP</v>
          </cell>
          <cell r="C462" t="str">
            <v>BHATINDA</v>
          </cell>
        </row>
        <row r="463">
          <cell r="A463" t="str">
            <v>FEROZEPUR</v>
          </cell>
          <cell r="B463" t="str">
            <v>PUNJAB / HARYANA / HP</v>
          </cell>
          <cell r="C463" t="str">
            <v>BHATINDA</v>
          </cell>
        </row>
        <row r="464">
          <cell r="A464" t="str">
            <v>MALAUT</v>
          </cell>
          <cell r="B464" t="str">
            <v>PUNJAB / HARYANA / HP</v>
          </cell>
          <cell r="C464" t="str">
            <v>BHATINDA</v>
          </cell>
        </row>
        <row r="465">
          <cell r="A465" t="str">
            <v>ABOHAR</v>
          </cell>
          <cell r="B465" t="str">
            <v>PUNJAB / HARYANA / HP</v>
          </cell>
          <cell r="C465" t="str">
            <v>BHATINDA</v>
          </cell>
        </row>
        <row r="466">
          <cell r="A466" t="str">
            <v>KOTKAPURA</v>
          </cell>
          <cell r="B466" t="str">
            <v>PUNJAB / HARYANA / HP</v>
          </cell>
          <cell r="C466" t="str">
            <v>BHATINDA</v>
          </cell>
        </row>
        <row r="467">
          <cell r="A467" t="str">
            <v>FARIDAKOT</v>
          </cell>
          <cell r="B467" t="str">
            <v>PUNJAB / HARYANA / HP</v>
          </cell>
          <cell r="C467" t="str">
            <v>BHATINDA</v>
          </cell>
        </row>
        <row r="468">
          <cell r="A468" t="str">
            <v>ZIRA</v>
          </cell>
          <cell r="B468" t="str">
            <v>PUNJAB / HARYANA / HP</v>
          </cell>
          <cell r="C468" t="str">
            <v>BHATINDA</v>
          </cell>
        </row>
        <row r="469">
          <cell r="A469" t="str">
            <v>RAMAN</v>
          </cell>
          <cell r="B469" t="str">
            <v>PUNJAB / HARYANA / HP</v>
          </cell>
          <cell r="C469" t="str">
            <v>BHATINDA</v>
          </cell>
        </row>
        <row r="470">
          <cell r="A470" t="str">
            <v xml:space="preserve">Rohtak </v>
          </cell>
          <cell r="B470" t="str">
            <v>PUNJAB / HARYANA / HP</v>
          </cell>
          <cell r="C470" t="str">
            <v>SONIPAT</v>
          </cell>
        </row>
        <row r="471">
          <cell r="A471" t="str">
            <v>SONIPAT</v>
          </cell>
          <cell r="B471" t="str">
            <v>PUNJAB / HARYANA / HP</v>
          </cell>
          <cell r="C471" t="str">
            <v>SONIPAT</v>
          </cell>
        </row>
        <row r="472">
          <cell r="A472" t="str">
            <v>HISSAR</v>
          </cell>
          <cell r="B472" t="str">
            <v>PUNJAB / HARYANA / HP</v>
          </cell>
          <cell r="C472" t="str">
            <v>SONIPAT</v>
          </cell>
        </row>
        <row r="473">
          <cell r="A473" t="str">
            <v>SIRSA</v>
          </cell>
          <cell r="B473" t="str">
            <v>PUNJAB / HARYANA / HP</v>
          </cell>
          <cell r="C473" t="str">
            <v>SONIPAT</v>
          </cell>
        </row>
        <row r="474">
          <cell r="A474" t="str">
            <v>JIND</v>
          </cell>
          <cell r="B474" t="str">
            <v>PUNJAB / HARYANA / HP</v>
          </cell>
          <cell r="C474" t="str">
            <v>SONIPAT</v>
          </cell>
        </row>
        <row r="475">
          <cell r="A475" t="str">
            <v>BHIWANI</v>
          </cell>
          <cell r="B475" t="str">
            <v>PUNJAB / HARYANA / HP</v>
          </cell>
          <cell r="C475" t="str">
            <v>SONIPAT</v>
          </cell>
        </row>
        <row r="476">
          <cell r="A476" t="str">
            <v>BAHADURGARH</v>
          </cell>
          <cell r="B476" t="str">
            <v>PUNJAB / HARYANA / HP</v>
          </cell>
          <cell r="C476" t="str">
            <v>SONIPAT</v>
          </cell>
        </row>
        <row r="477">
          <cell r="A477" t="str">
            <v>FATEHABAD</v>
          </cell>
          <cell r="B477" t="str">
            <v>PUNJAB / HARYANA / HP</v>
          </cell>
          <cell r="C477" t="str">
            <v>SONIPAT</v>
          </cell>
        </row>
        <row r="478">
          <cell r="A478" t="str">
            <v>HANSI</v>
          </cell>
          <cell r="B478" t="str">
            <v>PUNJAB / HARYANA / HP</v>
          </cell>
          <cell r="C478" t="str">
            <v>SONIPAT</v>
          </cell>
        </row>
        <row r="479">
          <cell r="A479" t="str">
            <v>JHAJJAR</v>
          </cell>
          <cell r="B479" t="str">
            <v>PUNJAB / HARYANA / HP</v>
          </cell>
          <cell r="C479" t="str">
            <v>SONIPAT</v>
          </cell>
        </row>
        <row r="480">
          <cell r="A480" t="str">
            <v>GOHANA</v>
          </cell>
          <cell r="B480" t="str">
            <v>PUNJAB / HARYANA / HP</v>
          </cell>
          <cell r="C480" t="str">
            <v>SONIPAT</v>
          </cell>
        </row>
        <row r="481">
          <cell r="A481" t="str">
            <v>NARNAUL</v>
          </cell>
          <cell r="B481" t="str">
            <v>PUNJAB / HARYANA / HP</v>
          </cell>
          <cell r="C481" t="str">
            <v>SONIPAT</v>
          </cell>
        </row>
        <row r="482">
          <cell r="A482" t="str">
            <v>DABWALI</v>
          </cell>
          <cell r="B482" t="str">
            <v>PUNJAB / HARYANA / HP</v>
          </cell>
          <cell r="C482" t="str">
            <v>SONIPAT</v>
          </cell>
        </row>
        <row r="483">
          <cell r="A483" t="str">
            <v>CHARKHIDADRI</v>
          </cell>
          <cell r="B483" t="str">
            <v>PUNJAB / HARYANA / HP</v>
          </cell>
          <cell r="C483" t="str">
            <v>SONIPAT</v>
          </cell>
        </row>
        <row r="484">
          <cell r="A484">
            <v>61</v>
          </cell>
          <cell r="B484">
            <v>1</v>
          </cell>
          <cell r="C484">
            <v>6</v>
          </cell>
        </row>
        <row r="485">
          <cell r="A485" t="str">
            <v>Calcutta</v>
          </cell>
          <cell r="B485" t="str">
            <v>WEST BENGAL / BIHAR</v>
          </cell>
          <cell r="C485" t="str">
            <v>KOLKATA</v>
          </cell>
        </row>
        <row r="486">
          <cell r="A486" t="str">
            <v>KHARAGPUR</v>
          </cell>
          <cell r="B486" t="str">
            <v>WEST BENGAL / BIHAR</v>
          </cell>
          <cell r="C486" t="str">
            <v>KOLKATA</v>
          </cell>
        </row>
        <row r="487">
          <cell r="A487" t="str">
            <v>HALDIA</v>
          </cell>
          <cell r="B487" t="str">
            <v>WEST BENGAL / BIHAR</v>
          </cell>
          <cell r="C487" t="str">
            <v>KOLKATA</v>
          </cell>
        </row>
        <row r="488">
          <cell r="A488" t="str">
            <v>HABRA</v>
          </cell>
          <cell r="B488" t="str">
            <v>WEST BENGAL / BIHAR</v>
          </cell>
          <cell r="C488" t="str">
            <v>KOLKATA</v>
          </cell>
        </row>
        <row r="489">
          <cell r="A489" t="str">
            <v>BASIRHAT</v>
          </cell>
          <cell r="B489" t="str">
            <v>WEST BENGAL / BIHAR</v>
          </cell>
          <cell r="C489" t="str">
            <v>KOLKATA</v>
          </cell>
        </row>
        <row r="490">
          <cell r="A490" t="str">
            <v>TAMLUK</v>
          </cell>
          <cell r="B490" t="str">
            <v>WEST BENGAL / BIHAR</v>
          </cell>
          <cell r="C490" t="str">
            <v>KOLKATA</v>
          </cell>
        </row>
        <row r="491">
          <cell r="A491" t="str">
            <v>PATNA</v>
          </cell>
          <cell r="B491" t="str">
            <v>WEST BENGAL / BIHAR</v>
          </cell>
          <cell r="C491" t="str">
            <v>PATNA</v>
          </cell>
        </row>
        <row r="492">
          <cell r="A492" t="str">
            <v>MUZAFFARPUR</v>
          </cell>
          <cell r="B492" t="str">
            <v>WEST BENGAL / BIHAR</v>
          </cell>
          <cell r="C492" t="str">
            <v>PATNA</v>
          </cell>
        </row>
        <row r="493">
          <cell r="A493" t="str">
            <v>Dharbhanga</v>
          </cell>
          <cell r="B493" t="str">
            <v>WEST BENGAL / BIHAR</v>
          </cell>
          <cell r="C493" t="str">
            <v>PATNA</v>
          </cell>
        </row>
        <row r="494">
          <cell r="A494" t="str">
            <v>BIHARSHARIF</v>
          </cell>
          <cell r="B494" t="str">
            <v>WEST BENGAL / BIHAR</v>
          </cell>
          <cell r="C494" t="str">
            <v>PATNA</v>
          </cell>
        </row>
        <row r="495">
          <cell r="A495" t="str">
            <v>ARRAH</v>
          </cell>
          <cell r="B495" t="str">
            <v>WEST BENGAL / BIHAR</v>
          </cell>
          <cell r="C495" t="str">
            <v>PATNA</v>
          </cell>
        </row>
        <row r="496">
          <cell r="A496" t="str">
            <v>DANAPUR</v>
          </cell>
          <cell r="B496" t="str">
            <v>WEST BENGAL / BIHAR</v>
          </cell>
          <cell r="C496" t="str">
            <v>PATNA</v>
          </cell>
        </row>
        <row r="497">
          <cell r="A497" t="str">
            <v>NAWADA</v>
          </cell>
          <cell r="B497" t="str">
            <v>WEST BENGAL / BIHAR</v>
          </cell>
          <cell r="C497" t="str">
            <v>PATNA</v>
          </cell>
        </row>
        <row r="498">
          <cell r="A498" t="str">
            <v>ASANSOL</v>
          </cell>
          <cell r="B498" t="str">
            <v>WEST BENGAL / BIHAR</v>
          </cell>
          <cell r="C498" t="str">
            <v>ASANSOL</v>
          </cell>
        </row>
        <row r="499">
          <cell r="A499" t="str">
            <v>DURGAPUR</v>
          </cell>
          <cell r="B499" t="str">
            <v>WEST BENGAL / BIHAR</v>
          </cell>
          <cell r="C499" t="str">
            <v>ASANSOL</v>
          </cell>
        </row>
        <row r="500">
          <cell r="A500" t="str">
            <v>BURDWAN</v>
          </cell>
          <cell r="B500" t="str">
            <v>WEST BENGAL / BIHAR</v>
          </cell>
          <cell r="C500" t="str">
            <v>ASANSOL</v>
          </cell>
        </row>
        <row r="501">
          <cell r="A501" t="str">
            <v>Berhampur</v>
          </cell>
          <cell r="B501" t="str">
            <v>WEST BENGAL / BIHAR</v>
          </cell>
          <cell r="C501" t="str">
            <v>ASANSOL</v>
          </cell>
        </row>
        <row r="502">
          <cell r="A502" t="str">
            <v>Krishnanagar</v>
          </cell>
          <cell r="B502" t="str">
            <v>WEST BENGAL / BIHAR</v>
          </cell>
          <cell r="C502" t="str">
            <v>ASANSOL</v>
          </cell>
        </row>
        <row r="503">
          <cell r="A503" t="str">
            <v>RANAGHAT</v>
          </cell>
          <cell r="B503" t="str">
            <v>WEST BENGAL / BIHAR</v>
          </cell>
          <cell r="C503" t="str">
            <v>ASANSOL</v>
          </cell>
        </row>
        <row r="504">
          <cell r="A504" t="str">
            <v>BONGOAN</v>
          </cell>
          <cell r="B504" t="str">
            <v>WEST BENGAL / BIHAR</v>
          </cell>
          <cell r="C504" t="str">
            <v>ASANSOL</v>
          </cell>
        </row>
        <row r="505">
          <cell r="A505" t="str">
            <v>BOLPUR</v>
          </cell>
          <cell r="B505" t="str">
            <v>WEST BENGAL / BIHAR</v>
          </cell>
          <cell r="C505" t="str">
            <v>ASANSOL</v>
          </cell>
        </row>
        <row r="506">
          <cell r="A506" t="str">
            <v>KATWA</v>
          </cell>
          <cell r="B506" t="str">
            <v>WEST BENGAL / BIHAR</v>
          </cell>
          <cell r="C506" t="str">
            <v>ASANSOL</v>
          </cell>
        </row>
        <row r="507">
          <cell r="A507" t="str">
            <v>RANCHI</v>
          </cell>
          <cell r="B507" t="str">
            <v>WEST BENGAL / BIHAR</v>
          </cell>
          <cell r="C507" t="str">
            <v>RANCHI</v>
          </cell>
        </row>
        <row r="508">
          <cell r="A508" t="str">
            <v>JAMSHEDPUR</v>
          </cell>
          <cell r="B508" t="str">
            <v>WEST BENGAL / BIHAR</v>
          </cell>
          <cell r="C508" t="str">
            <v>RANCHI</v>
          </cell>
        </row>
        <row r="509">
          <cell r="A509" t="str">
            <v>DHANBAD</v>
          </cell>
          <cell r="B509" t="str">
            <v>WEST BENGAL / BIHAR</v>
          </cell>
          <cell r="C509" t="str">
            <v>RANCHI</v>
          </cell>
        </row>
        <row r="510">
          <cell r="A510" t="str">
            <v>BOKARO</v>
          </cell>
          <cell r="B510" t="str">
            <v>WEST BENGAL / BIHAR</v>
          </cell>
          <cell r="C510" t="str">
            <v>RANCHI</v>
          </cell>
        </row>
        <row r="511">
          <cell r="A511">
            <v>26</v>
          </cell>
          <cell r="B511">
            <v>1</v>
          </cell>
          <cell r="C511">
            <v>4</v>
          </cell>
        </row>
        <row r="512">
          <cell r="A512" t="str">
            <v>INDORE</v>
          </cell>
          <cell r="B512" t="str">
            <v>MADHYA PRADESH / ORISSA</v>
          </cell>
          <cell r="C512" t="str">
            <v>INDORE</v>
          </cell>
        </row>
        <row r="513">
          <cell r="A513" t="str">
            <v>UJJAIN</v>
          </cell>
          <cell r="B513" t="str">
            <v>MADHYA PRADESH / ORISSA</v>
          </cell>
          <cell r="C513" t="str">
            <v>INDORE</v>
          </cell>
        </row>
        <row r="514">
          <cell r="A514" t="str">
            <v>RATLAM</v>
          </cell>
          <cell r="B514" t="str">
            <v>MADHYA PRADESH / ORISSA</v>
          </cell>
          <cell r="C514" t="str">
            <v>INDORE</v>
          </cell>
        </row>
        <row r="515">
          <cell r="A515" t="str">
            <v>DEWAS</v>
          </cell>
          <cell r="B515" t="str">
            <v>MADHYA PRADESH / ORISSA</v>
          </cell>
          <cell r="C515" t="str">
            <v>INDORE</v>
          </cell>
        </row>
        <row r="516">
          <cell r="A516" t="str">
            <v>MANDSAUR</v>
          </cell>
          <cell r="B516" t="str">
            <v>MADHYA PRADESH / ORISSA</v>
          </cell>
          <cell r="C516" t="str">
            <v>INDORE</v>
          </cell>
        </row>
        <row r="517">
          <cell r="A517" t="str">
            <v>NEEMUCH</v>
          </cell>
          <cell r="B517" t="str">
            <v>MADHYA PRADESH / ORISSA</v>
          </cell>
          <cell r="C517" t="str">
            <v>INDORE</v>
          </cell>
        </row>
        <row r="518">
          <cell r="A518" t="str">
            <v>DHAR</v>
          </cell>
          <cell r="B518" t="str">
            <v>MADHYA PRADESH / ORISSA</v>
          </cell>
          <cell r="C518" t="str">
            <v>INDORE</v>
          </cell>
        </row>
        <row r="519">
          <cell r="A519" t="str">
            <v>MHOW</v>
          </cell>
          <cell r="B519" t="str">
            <v>MADHYA PRADESH / ORISSA</v>
          </cell>
          <cell r="C519" t="str">
            <v>INDORE</v>
          </cell>
        </row>
        <row r="520">
          <cell r="A520" t="str">
            <v>JAORA</v>
          </cell>
          <cell r="B520" t="str">
            <v>MADHYA PRADESH / ORISSA</v>
          </cell>
          <cell r="C520" t="str">
            <v>INDORE</v>
          </cell>
        </row>
        <row r="521">
          <cell r="A521" t="str">
            <v>BHOPAL</v>
          </cell>
          <cell r="B521" t="str">
            <v>MADHYA PRADESH / ORISSA</v>
          </cell>
          <cell r="C521" t="str">
            <v>BHOPAL</v>
          </cell>
        </row>
        <row r="522">
          <cell r="A522" t="str">
            <v>ITARSI</v>
          </cell>
          <cell r="B522" t="str">
            <v>MADHYA PRADESH / ORISSA</v>
          </cell>
          <cell r="C522" t="str">
            <v>BHOPAL</v>
          </cell>
        </row>
        <row r="523">
          <cell r="A523" t="str">
            <v>SEHORE</v>
          </cell>
          <cell r="B523" t="str">
            <v>MADHYA PRADESH / ORISSA</v>
          </cell>
          <cell r="C523" t="str">
            <v>BHOPAL</v>
          </cell>
        </row>
        <row r="524">
          <cell r="A524" t="str">
            <v xml:space="preserve">Betul </v>
          </cell>
          <cell r="B524" t="str">
            <v>MADHYA PRADESH / ORISSA</v>
          </cell>
          <cell r="C524" t="str">
            <v>BHOPAL</v>
          </cell>
        </row>
        <row r="525">
          <cell r="A525" t="str">
            <v>BHUBANESHWAR</v>
          </cell>
          <cell r="B525" t="str">
            <v>MADHYA PRADESH / ORISSA</v>
          </cell>
          <cell r="C525" t="str">
            <v>BHUBANESWAR</v>
          </cell>
        </row>
        <row r="526">
          <cell r="A526" t="str">
            <v>CUTTACK</v>
          </cell>
          <cell r="B526" t="str">
            <v>MADHYA PRADESH / ORISSA</v>
          </cell>
          <cell r="C526" t="str">
            <v>BHUBANESWAR</v>
          </cell>
        </row>
        <row r="527">
          <cell r="A527" t="str">
            <v>Berhmpur</v>
          </cell>
          <cell r="B527" t="str">
            <v>MADHYA PRADESH / ORISSA</v>
          </cell>
          <cell r="C527" t="str">
            <v>BHUBANESWAR</v>
          </cell>
        </row>
        <row r="528">
          <cell r="A528" t="str">
            <v>BALASORE</v>
          </cell>
          <cell r="B528" t="str">
            <v>MADHYA PRADESH / ORISSA</v>
          </cell>
          <cell r="C528" t="str">
            <v>BHUBANESWAR</v>
          </cell>
        </row>
        <row r="529">
          <cell r="A529" t="str">
            <v>ANUGUL</v>
          </cell>
          <cell r="B529" t="str">
            <v>MADHYA PRADESH / ORISSA</v>
          </cell>
          <cell r="C529" t="str">
            <v>BHUBANESWAR</v>
          </cell>
        </row>
        <row r="530">
          <cell r="A530" t="str">
            <v>CHHATRAPUR</v>
          </cell>
          <cell r="B530" t="str">
            <v>MADHYA PRADESH / ORISSA</v>
          </cell>
          <cell r="C530" t="str">
            <v>BHUBANESWAR</v>
          </cell>
        </row>
        <row r="531">
          <cell r="A531" t="str">
            <v>BHADRAK</v>
          </cell>
          <cell r="B531" t="str">
            <v>MADHYA PRADESH / ORISSA</v>
          </cell>
          <cell r="C531" t="str">
            <v>BHUBANESWAR</v>
          </cell>
        </row>
        <row r="532">
          <cell r="A532" t="str">
            <v>DHENKANAL</v>
          </cell>
          <cell r="B532" t="str">
            <v>MADHYA PRADESH / ORISSA</v>
          </cell>
          <cell r="C532" t="str">
            <v>BHUBANESWAR</v>
          </cell>
        </row>
        <row r="533">
          <cell r="A533" t="str">
            <v>BARIPADA</v>
          </cell>
          <cell r="B533" t="str">
            <v>MADHYA PRADESH / ORISSA</v>
          </cell>
          <cell r="C533" t="str">
            <v>BHUBANESWAR</v>
          </cell>
        </row>
        <row r="534">
          <cell r="A534" t="str">
            <v>KHURDA</v>
          </cell>
          <cell r="B534" t="str">
            <v>MADHYA PRADESH / ORISSA</v>
          </cell>
          <cell r="C534" t="str">
            <v>BHUBANESWAR</v>
          </cell>
        </row>
        <row r="535">
          <cell r="A535" t="str">
            <v>JAGAPUR ROAD</v>
          </cell>
          <cell r="B535" t="str">
            <v>MADHYA PRADESH / ORISSA</v>
          </cell>
          <cell r="C535" t="str">
            <v>BHUBANESWAR</v>
          </cell>
        </row>
        <row r="536">
          <cell r="A536" t="str">
            <v>SORO</v>
          </cell>
          <cell r="B536" t="str">
            <v>MADHYA PRADESH / ORISSA</v>
          </cell>
          <cell r="C536" t="str">
            <v>BHUBANESWAR</v>
          </cell>
        </row>
        <row r="537">
          <cell r="A537" t="str">
            <v>JAGAPUR TOWN</v>
          </cell>
          <cell r="B537" t="str">
            <v>MADHYA PRADESH / ORISSA</v>
          </cell>
          <cell r="C537" t="str">
            <v>BHUBANESWAR</v>
          </cell>
        </row>
        <row r="538">
          <cell r="A538" t="str">
            <v>DHANMANDAL</v>
          </cell>
          <cell r="B538" t="str">
            <v>MADHYA PRADESH / ORISSA</v>
          </cell>
          <cell r="C538" t="str">
            <v>BHUBANESWAR</v>
          </cell>
        </row>
        <row r="539">
          <cell r="A539" t="str">
            <v>JABALPUR</v>
          </cell>
          <cell r="B539" t="str">
            <v>MADHYA PRADESH / ORISSA</v>
          </cell>
          <cell r="C539" t="str">
            <v>JABALPUR</v>
          </cell>
        </row>
        <row r="540">
          <cell r="A540" t="str">
            <v>KATNI</v>
          </cell>
          <cell r="B540" t="str">
            <v>MADHYA PRADESH / ORISSA</v>
          </cell>
          <cell r="C540" t="str">
            <v>JABALPUR</v>
          </cell>
        </row>
        <row r="541">
          <cell r="A541" t="str">
            <v>SAGAR</v>
          </cell>
          <cell r="B541" t="str">
            <v>MADHYA PRADESH / ORISSA</v>
          </cell>
          <cell r="C541" t="str">
            <v>JABALPUR</v>
          </cell>
        </row>
        <row r="542">
          <cell r="A542" t="str">
            <v>SATNA</v>
          </cell>
          <cell r="B542" t="str">
            <v>MADHYA PRADESH / ORISSA</v>
          </cell>
          <cell r="C542" t="str">
            <v>JABALPUR</v>
          </cell>
        </row>
        <row r="543">
          <cell r="A543" t="str">
            <v>Chindwara</v>
          </cell>
          <cell r="B543" t="str">
            <v>MADHYA PRADESH / ORISSA</v>
          </cell>
          <cell r="C543" t="str">
            <v>JABALPUR</v>
          </cell>
        </row>
        <row r="544">
          <cell r="A544" t="str">
            <v>REWA</v>
          </cell>
          <cell r="B544" t="str">
            <v>MADHYA PRADESH / ORISSA</v>
          </cell>
          <cell r="C544" t="str">
            <v>JABALPUR</v>
          </cell>
        </row>
        <row r="545">
          <cell r="A545" t="str">
            <v>BALAGHAT</v>
          </cell>
          <cell r="B545" t="str">
            <v>MADHYA PRADESH / ORISSA</v>
          </cell>
          <cell r="C545" t="str">
            <v>JABALPUR</v>
          </cell>
        </row>
        <row r="546">
          <cell r="A546" t="str">
            <v>RAIPUR</v>
          </cell>
          <cell r="B546" t="str">
            <v>MADHYA PRADESH / ORISSA</v>
          </cell>
          <cell r="C546" t="str">
            <v>RAIPUR</v>
          </cell>
        </row>
        <row r="547">
          <cell r="A547" t="str">
            <v>DURG</v>
          </cell>
          <cell r="B547" t="str">
            <v>MADHYA PRADESH / ORISSA</v>
          </cell>
          <cell r="C547" t="str">
            <v>RAIPUR</v>
          </cell>
        </row>
        <row r="548">
          <cell r="A548" t="str">
            <v>BILASPUR</v>
          </cell>
          <cell r="B548" t="str">
            <v>MADHYA PRADESH / ORISSA</v>
          </cell>
          <cell r="C548" t="str">
            <v>RAIPUR</v>
          </cell>
        </row>
        <row r="549">
          <cell r="A549" t="str">
            <v>RAJNANDGAON</v>
          </cell>
          <cell r="B549" t="str">
            <v>MADHYA PRADESH / ORISSA</v>
          </cell>
          <cell r="C549" t="str">
            <v>RAIPUR</v>
          </cell>
        </row>
        <row r="550">
          <cell r="A550" t="str">
            <v>RAIGARH</v>
          </cell>
          <cell r="B550" t="str">
            <v>MADHYA PRADESH / ORISSA</v>
          </cell>
          <cell r="C550" t="str">
            <v>RAIPUR</v>
          </cell>
        </row>
        <row r="551">
          <cell r="A551" t="str">
            <v>GWALIOR</v>
          </cell>
          <cell r="B551" t="str">
            <v>MADHYA PRADESH / ORISSA</v>
          </cell>
          <cell r="C551" t="str">
            <v>GWALIOR</v>
          </cell>
        </row>
        <row r="552">
          <cell r="A552" t="str">
            <v>MORENA</v>
          </cell>
          <cell r="B552" t="str">
            <v>MADHYA PRADESH / ORISSA</v>
          </cell>
          <cell r="C552" t="str">
            <v>GWALIOR</v>
          </cell>
        </row>
        <row r="553">
          <cell r="A553" t="str">
            <v>GUNA</v>
          </cell>
          <cell r="B553" t="str">
            <v>MADHYA PRADESH / ORISSA</v>
          </cell>
          <cell r="C553" t="str">
            <v>GWALIOR</v>
          </cell>
        </row>
        <row r="554">
          <cell r="A554" t="str">
            <v>SHIVPURI</v>
          </cell>
          <cell r="B554" t="str">
            <v>MADHYA PRADESH / ORISSA</v>
          </cell>
          <cell r="C554" t="str">
            <v>GWALIOR</v>
          </cell>
        </row>
        <row r="555">
          <cell r="A555" t="str">
            <v>ROURKELA</v>
          </cell>
          <cell r="B555" t="str">
            <v>MADHYA PRADESH / ORISSA</v>
          </cell>
          <cell r="C555" t="str">
            <v>ROURKELA</v>
          </cell>
        </row>
        <row r="556">
          <cell r="A556" t="str">
            <v>SAMBALPUR</v>
          </cell>
          <cell r="B556" t="str">
            <v>MADHYA PRADESH / ORISSA</v>
          </cell>
          <cell r="C556" t="str">
            <v>ROURKELA</v>
          </cell>
        </row>
        <row r="557">
          <cell r="A557" t="str">
            <v>BARGARH</v>
          </cell>
          <cell r="B557" t="str">
            <v>MADHYA PRADESH / ORISSA</v>
          </cell>
          <cell r="C557" t="str">
            <v>ROURKELA</v>
          </cell>
        </row>
        <row r="558">
          <cell r="A558">
            <v>46</v>
          </cell>
          <cell r="B558">
            <v>1</v>
          </cell>
          <cell r="C558">
            <v>7</v>
          </cell>
        </row>
        <row r="559">
          <cell r="A559" t="str">
            <v>Trivendrum</v>
          </cell>
          <cell r="B559" t="str">
            <v>KERALA</v>
          </cell>
          <cell r="C559" t="str">
            <v>TRIVANDRUM</v>
          </cell>
        </row>
        <row r="560">
          <cell r="A560" t="str">
            <v>QUILON</v>
          </cell>
          <cell r="B560" t="str">
            <v>KERALA</v>
          </cell>
          <cell r="C560" t="str">
            <v>TRIVANDRUM</v>
          </cell>
        </row>
        <row r="561">
          <cell r="A561" t="str">
            <v>MAVELIKKARA</v>
          </cell>
          <cell r="B561" t="str">
            <v>KERALA</v>
          </cell>
          <cell r="C561" t="str">
            <v>TRIVANDRUM</v>
          </cell>
        </row>
        <row r="562">
          <cell r="A562" t="str">
            <v>Allepy</v>
          </cell>
          <cell r="B562" t="str">
            <v>KERALA</v>
          </cell>
          <cell r="C562" t="str">
            <v>TRIVANDRUM</v>
          </cell>
        </row>
        <row r="563">
          <cell r="A563" t="str">
            <v xml:space="preserve">Tiruvalla </v>
          </cell>
          <cell r="B563" t="str">
            <v>KERALA</v>
          </cell>
          <cell r="C563" t="str">
            <v>TRIVANDRUM</v>
          </cell>
        </row>
        <row r="564">
          <cell r="A564" t="str">
            <v>PATHANAMTHITTA</v>
          </cell>
          <cell r="B564" t="str">
            <v>KERALA</v>
          </cell>
          <cell r="C564" t="str">
            <v>TRIVANDRUM</v>
          </cell>
        </row>
        <row r="565">
          <cell r="A565" t="str">
            <v>ATTINGAL</v>
          </cell>
          <cell r="B565" t="str">
            <v>KERALA</v>
          </cell>
          <cell r="C565" t="str">
            <v>TRIVANDRUM</v>
          </cell>
        </row>
        <row r="566">
          <cell r="A566" t="str">
            <v>SHERTALLAI</v>
          </cell>
          <cell r="B566" t="str">
            <v>KERALA</v>
          </cell>
          <cell r="C566" t="str">
            <v>TRIVANDRUM</v>
          </cell>
        </row>
        <row r="567">
          <cell r="A567" t="str">
            <v>KARUNAGAPALLY</v>
          </cell>
          <cell r="B567" t="str">
            <v>KERALA</v>
          </cell>
          <cell r="C567" t="str">
            <v>TRIVANDRUM</v>
          </cell>
        </row>
        <row r="568">
          <cell r="A568" t="str">
            <v>ADOOR</v>
          </cell>
          <cell r="B568" t="str">
            <v>KERALA</v>
          </cell>
          <cell r="C568" t="str">
            <v>TRIVANDRUM</v>
          </cell>
        </row>
        <row r="569">
          <cell r="A569" t="str">
            <v>RANNI</v>
          </cell>
          <cell r="B569" t="str">
            <v>KERALA</v>
          </cell>
          <cell r="C569" t="str">
            <v>TRIVANDRUM</v>
          </cell>
        </row>
        <row r="570">
          <cell r="A570" t="str">
            <v>PUNALUR</v>
          </cell>
          <cell r="B570" t="str">
            <v>KERALA</v>
          </cell>
          <cell r="C570" t="str">
            <v>TRIVANDRUM</v>
          </cell>
        </row>
        <row r="571">
          <cell r="A571" t="str">
            <v>NEDUMANDAD</v>
          </cell>
          <cell r="B571" t="str">
            <v>KERALA</v>
          </cell>
          <cell r="C571" t="str">
            <v>TRIVANDRUM</v>
          </cell>
        </row>
        <row r="572">
          <cell r="A572" t="str">
            <v>ERNAKULAM</v>
          </cell>
          <cell r="B572" t="str">
            <v>KERALA</v>
          </cell>
          <cell r="C572" t="str">
            <v>ERNAKULAM</v>
          </cell>
        </row>
        <row r="573">
          <cell r="A573" t="str">
            <v>Thrissur</v>
          </cell>
          <cell r="B573" t="str">
            <v>KERALA</v>
          </cell>
          <cell r="C573" t="str">
            <v>ERNAKULAM</v>
          </cell>
        </row>
        <row r="574">
          <cell r="A574" t="str">
            <v>Palaghat</v>
          </cell>
          <cell r="B574" t="str">
            <v>KERALA</v>
          </cell>
          <cell r="C574" t="str">
            <v>ERNAKULAM</v>
          </cell>
        </row>
        <row r="575">
          <cell r="A575" t="str">
            <v>KOTTAYAM</v>
          </cell>
          <cell r="B575" t="str">
            <v>KERALA</v>
          </cell>
          <cell r="C575" t="str">
            <v>ERNAKULAM</v>
          </cell>
        </row>
        <row r="576">
          <cell r="A576" t="str">
            <v>MUVATTUPUZHA</v>
          </cell>
          <cell r="B576" t="str">
            <v>KERALA</v>
          </cell>
          <cell r="C576" t="str">
            <v>ERNAKULAM</v>
          </cell>
        </row>
        <row r="577">
          <cell r="A577" t="str">
            <v>IRINJALAKUDA</v>
          </cell>
          <cell r="B577" t="str">
            <v>KERALA</v>
          </cell>
          <cell r="C577" t="str">
            <v>ERNAKULAM</v>
          </cell>
        </row>
        <row r="578">
          <cell r="A578" t="str">
            <v>THODUPUZHA</v>
          </cell>
          <cell r="B578" t="str">
            <v>KERALA</v>
          </cell>
          <cell r="C578" t="str">
            <v>ERNAKULAM</v>
          </cell>
        </row>
        <row r="579">
          <cell r="A579" t="str">
            <v>PALAI</v>
          </cell>
          <cell r="B579" t="str">
            <v>KERALA</v>
          </cell>
          <cell r="C579" t="str">
            <v>ERNAKULAM</v>
          </cell>
        </row>
        <row r="580">
          <cell r="A580" t="str">
            <v>KUNNAMKULAM</v>
          </cell>
          <cell r="B580" t="str">
            <v>KERALA</v>
          </cell>
          <cell r="C580" t="str">
            <v>ERNAKULAM</v>
          </cell>
        </row>
        <row r="581">
          <cell r="A581" t="str">
            <v>KANJIRAPALLY</v>
          </cell>
          <cell r="B581" t="str">
            <v>KERALA</v>
          </cell>
          <cell r="C581" t="str">
            <v>ERNAKULAM</v>
          </cell>
        </row>
        <row r="582">
          <cell r="A582" t="str">
            <v>VAIKOM</v>
          </cell>
          <cell r="B582" t="str">
            <v>KERALA</v>
          </cell>
          <cell r="C582" t="str">
            <v>ERNAKULAM</v>
          </cell>
        </row>
        <row r="583">
          <cell r="A583" t="str">
            <v>VADAKKANCHERY</v>
          </cell>
          <cell r="B583" t="str">
            <v>KERALA</v>
          </cell>
          <cell r="C583" t="str">
            <v>ERNAKULAM</v>
          </cell>
        </row>
        <row r="584">
          <cell r="A584" t="str">
            <v xml:space="preserve">Kozikode </v>
          </cell>
          <cell r="B584" t="str">
            <v>KERALA</v>
          </cell>
          <cell r="C584" t="str">
            <v>KOZHIKODE</v>
          </cell>
        </row>
        <row r="585">
          <cell r="A585" t="str">
            <v>Kannur</v>
          </cell>
          <cell r="B585" t="str">
            <v>KERALA</v>
          </cell>
          <cell r="C585" t="str">
            <v>KOZHIKODE</v>
          </cell>
        </row>
        <row r="586">
          <cell r="A586" t="str">
            <v>MANJERI</v>
          </cell>
          <cell r="B586" t="str">
            <v>KERALA</v>
          </cell>
          <cell r="C586" t="str">
            <v>KOZHIKODE</v>
          </cell>
        </row>
        <row r="587">
          <cell r="A587" t="str">
            <v>TIRUR</v>
          </cell>
          <cell r="B587" t="str">
            <v>KERALA</v>
          </cell>
          <cell r="C587" t="str">
            <v>KOZHIKODE</v>
          </cell>
        </row>
        <row r="588">
          <cell r="A588" t="str">
            <v>BADAGARA</v>
          </cell>
          <cell r="B588" t="str">
            <v>KERALA</v>
          </cell>
          <cell r="C588" t="str">
            <v>KOZHIKODE</v>
          </cell>
        </row>
        <row r="589">
          <cell r="A589" t="str">
            <v>KASARGODE</v>
          </cell>
          <cell r="B589" t="str">
            <v>KERALA</v>
          </cell>
          <cell r="C589" t="str">
            <v>KOZHIKODE</v>
          </cell>
        </row>
        <row r="590">
          <cell r="A590" t="str">
            <v>TELLICHERRY</v>
          </cell>
          <cell r="B590" t="str">
            <v>KERALA</v>
          </cell>
          <cell r="C590" t="str">
            <v>KOZHIKODE</v>
          </cell>
        </row>
        <row r="591">
          <cell r="A591" t="str">
            <v>KANHANGAD</v>
          </cell>
          <cell r="B591" t="str">
            <v>KERALA</v>
          </cell>
          <cell r="C591" t="str">
            <v>KOZHIKODE</v>
          </cell>
        </row>
        <row r="592">
          <cell r="A592" t="str">
            <v>PAYYANNUR</v>
          </cell>
          <cell r="B592" t="str">
            <v>KERALA</v>
          </cell>
          <cell r="C592" t="str">
            <v>KOZHIKODE</v>
          </cell>
        </row>
        <row r="593">
          <cell r="A593" t="str">
            <v>PERINTHALMANNA</v>
          </cell>
          <cell r="B593" t="str">
            <v>KERALA</v>
          </cell>
          <cell r="C593" t="str">
            <v>KOZHIKODE</v>
          </cell>
        </row>
        <row r="594">
          <cell r="A594" t="str">
            <v>TALIPARAMBA</v>
          </cell>
          <cell r="B594" t="str">
            <v>KERALA</v>
          </cell>
          <cell r="C594" t="str">
            <v>KOZHIKODE</v>
          </cell>
        </row>
        <row r="595">
          <cell r="A595" t="str">
            <v>KALPETTA</v>
          </cell>
          <cell r="B595" t="str">
            <v>KERALA</v>
          </cell>
          <cell r="C595" t="str">
            <v>KOZHIKODE</v>
          </cell>
        </row>
        <row r="596">
          <cell r="A596" t="str">
            <v>NILAMBUR</v>
          </cell>
          <cell r="B596" t="str">
            <v>KERALA</v>
          </cell>
          <cell r="C596" t="str">
            <v>KOZHIKODE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port"/>
      <sheetName val="for report"/>
      <sheetName val="RF"/>
      <sheetName val="RM"/>
      <sheetName val="SHP"/>
      <sheetName val="Master"/>
      <sheetName val="Cash bank on VD"/>
      <sheetName val="PL"/>
      <sheetName val="BS"/>
      <sheetName val="Dep"/>
      <sheetName val="Assumptions"/>
      <sheetName val="VD"/>
      <sheetName val="Index"/>
      <sheetName val="Assum"/>
      <sheetName val="Summary"/>
      <sheetName val="EBITDA annual"/>
      <sheetName val="PNL monthwise projections"/>
      <sheetName val="Cash Flow Monthwise Projections"/>
      <sheetName val="WACC"/>
      <sheetName val="DCF"/>
    </sheetNames>
    <sheetDataSet>
      <sheetData sheetId="0">
        <row r="12">
          <cell r="E12">
            <v>1651</v>
          </cell>
        </row>
      </sheetData>
      <sheetData sheetId="1"/>
      <sheetData sheetId="2"/>
      <sheetData sheetId="3"/>
      <sheetData sheetId="4"/>
      <sheetData sheetId="5"/>
      <sheetData sheetId="6"/>
      <sheetData sheetId="7"/>
      <sheetData sheetId="8"/>
      <sheetData sheetId="9"/>
      <sheetData sheetId="10"/>
      <sheetData sheetId="11"/>
      <sheetData sheetId="12">
        <row r="8">
          <cell r="E8">
            <v>1</v>
          </cell>
        </row>
      </sheetData>
      <sheetData sheetId="13"/>
      <sheetData sheetId="14"/>
      <sheetData sheetId="15"/>
      <sheetData sheetId="16"/>
      <sheetData sheetId="17"/>
      <sheetData sheetId="18"/>
      <sheetData sheetId="19"/>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 RECONCILIATION"/>
      <sheetName val="EXPENDITURE CYCLE"/>
      <sheetName val="DESIGN TAB"/>
    </sheetNames>
    <sheetDataSet>
      <sheetData sheetId="0" refreshError="1"/>
      <sheetData sheetId="1" refreshError="1"/>
      <sheetData sheetId="2"/>
      <sheetData sheetId="3"/>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ra"/>
      <sheetName val="Simulator Consolidated"/>
      <sheetName val="Simulator Detail"/>
      <sheetName val="Matlab"/>
      <sheetName val="Mentor Graphics"/>
      <sheetName val="Matrix-X"/>
      <sheetName val="Grand Total"/>
      <sheetName val="Tools"/>
      <sheetName val="Power Hawk"/>
      <sheetName val="Cash"/>
      <sheetName val="Sales Inv"/>
      <sheetName val="lov-COAct"/>
      <sheetName val="lov-cspl"/>
    </sheetNames>
    <sheetDataSet>
      <sheetData sheetId="0" refreshError="1"/>
      <sheetData sheetId="1"/>
      <sheetData sheetId="2">
        <row r="1">
          <cell r="K1">
            <v>49</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
      <sheetName val="JJ"/>
      <sheetName val="KM"/>
      <sheetName val="HS"/>
      <sheetName val="JU"/>
      <sheetName val="AP"/>
      <sheetName val="PR"/>
      <sheetName val="LJ 1"/>
      <sheetName val="LJ 2"/>
      <sheetName val="AS"/>
      <sheetName val="HK"/>
      <sheetName val="Toll-I summary"/>
      <sheetName val="Sensitivity Analysis-II"/>
      <sheetName val="Assumption-II"/>
      <sheetName val="Phasing-II"/>
      <sheetName val="Toll-II-old"/>
      <sheetName val="Sheet2"/>
      <sheetName val="Tax"/>
      <sheetName val="KK stretch"/>
      <sheetName val="Toll-II-Summary"/>
      <sheetName val="DSCR - II"/>
      <sheetName val="Financials- II"/>
      <sheetName val="Operation Working-II"/>
      <sheetName val="Operation Working-II-old"/>
      <sheetName val="Depreciat-I"/>
      <sheetName val="Debt-I"/>
      <sheetName val="Financials-I"/>
      <sheetName val="Consol- I &amp; II"/>
      <sheetName val="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替"/>
      <sheetName val="EQ海外"/>
      <sheetName val="海外WORK"/>
    </sheetNames>
    <sheetDataSet>
      <sheetData sheetId="0"/>
      <sheetData sheetId="1"/>
      <sheetData sheetId="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SCurve-Total"/>
      <sheetName val="RLG"/>
      <sheetName val="BND"/>
      <sheetName val="CD"/>
      <sheetName val="SC-RH"/>
      <sheetName val="SC-RK"/>
      <sheetName val="BSN"/>
      <sheetName val="HUD"/>
      <sheetName val="JP"/>
      <sheetName val="JPexclRL"/>
      <sheetName val="JP-RL"/>
      <sheetName val="RMS"/>
      <sheetName val="MDM-TOTAL"/>
      <sheetName val="MDM-RF "/>
      <sheetName val="MDM-RW"/>
      <sheetName val="PBMR"/>
      <sheetName val="BSD"/>
      <sheetName val="ROSData"/>
      <sheetName val="Input"/>
      <sheetName val="COKER S CURVE"/>
      <sheetName val="Sheet1"/>
      <sheetName val="commodity curve COKER"/>
      <sheetName val="front anal cdu"/>
      <sheetName val="piping status cdu"/>
      <sheetName val="mtrl constraints cdu_vdu"/>
      <sheetName val="bal eqpt instts"/>
      <sheetName val="other PCOs"/>
      <sheetName val="MDM-RF_"/>
      <sheetName val="COKER_S_CURVE"/>
      <sheetName val="commodity_curve_COKER"/>
      <sheetName val="front_anal_cdu"/>
      <sheetName val="piping_status_cdu"/>
      <sheetName val="mtrl_constraints_cdu_vdu"/>
      <sheetName val="bal_eqpt_instts"/>
      <sheetName val="other_PCOs"/>
      <sheetName val="MDM-RF_1"/>
      <sheetName val="COKER_S_CURVE1"/>
      <sheetName val="commodity_curve_COKER1"/>
      <sheetName val="front_anal_cdu1"/>
      <sheetName val="piping_status_cdu1"/>
      <sheetName val="mtrl_constraints_cdu_vdu1"/>
      <sheetName val="bal_eqpt_instts1"/>
      <sheetName val="other_PCOs1"/>
      <sheetName val="MDM-RF_2"/>
      <sheetName val="COKER_S_CURVE2"/>
      <sheetName val="commodity_curve_COKER2"/>
      <sheetName val="front_anal_cdu2"/>
      <sheetName val="piping_status_cdu2"/>
      <sheetName val="mtrl_constraints_cdu_vdu2"/>
      <sheetName val="bal_eqpt_instts2"/>
      <sheetName val="other_PCOs2"/>
      <sheetName val="MDM-RF_3"/>
      <sheetName val="COKER_S_CURVE3"/>
      <sheetName val="commodity_curve_COKER3"/>
      <sheetName val="front_anal_cdu3"/>
      <sheetName val="piping_status_cdu3"/>
      <sheetName val="mtrl_constraints_cdu_vdu3"/>
      <sheetName val="bal_eqpt_instts3"/>
      <sheetName val="other_PCOs3"/>
      <sheetName val="Contract Value summary"/>
      <sheetName val="assumptions"/>
      <sheetName val="Project ODC_NDEU"/>
      <sheetName val="Const QMS Dash Board"/>
      <sheetName val="DETAIL SHEET"/>
      <sheetName val="NLD - Assum"/>
      <sheetName val="Capex-fixed"/>
      <sheetName val="Assmpns"/>
      <sheetName val="oresreqsum"/>
      <sheetName val="factors"/>
      <sheetName val="Level 0"/>
      <sheetName val="Acc_10.5"/>
      <sheetName val="Project_ODC_NDEU"/>
      <sheetName val="Const_QMS_Dash_Board"/>
      <sheetName val="DETAIL_SHEET"/>
      <sheetName val="NLD_-_Assum"/>
      <sheetName val="Level_0"/>
      <sheetName val="Acc_10_5"/>
      <sheetName val="R2"/>
      <sheetName val="DETAIL_SHEET1"/>
      <sheetName val="NLD_-_Assum1"/>
      <sheetName val="Project_ODC_NDEU1"/>
      <sheetName val="Level_01"/>
      <sheetName val="Acc_10_51"/>
      <sheetName val="Const_QMS_Dash_Board1"/>
      <sheetName val="DETAIL_SHEET2"/>
      <sheetName val="NLD_-_Assum2"/>
      <sheetName val="Project_ODC_NDEU2"/>
      <sheetName val="Level_02"/>
      <sheetName val="Acc_10_52"/>
      <sheetName val="Const_QMS_Dash_Board2"/>
      <sheetName val="MDM-RF_4"/>
      <sheetName val="COKER_S_CURVE4"/>
      <sheetName val="commodity_curve_COKER4"/>
      <sheetName val="front_anal_cdu4"/>
      <sheetName val="piping_status_cdu4"/>
      <sheetName val="mtrl_constraints_cdu_vdu4"/>
      <sheetName val="bal_eqpt_instts4"/>
      <sheetName val="other_PCOs4"/>
      <sheetName val="DETAIL_SHEET3"/>
      <sheetName val="NLD_-_Assum3"/>
      <sheetName val="Project_ODC_NDEU3"/>
      <sheetName val="Level_03"/>
      <sheetName val="Acc_10_53"/>
      <sheetName val="Const_QMS_Dash_Board3"/>
      <sheetName val="Cover"/>
      <sheetName val="Rates Basic"/>
      <sheetName val="fco"/>
      <sheetName val="PARTY"/>
      <sheetName val="prg"/>
      <sheetName val="prod"/>
      <sheetName val="Sheet2"/>
      <sheetName val="CRUDE UPDATE"/>
      <sheetName val="TB9899"/>
      <sheetName val="PostOrdStat"/>
      <sheetName val="MDM-RF_6"/>
      <sheetName val="COKER_S_CURVE6"/>
      <sheetName val="commodity_curve_COKER6"/>
      <sheetName val="front_anal_cdu6"/>
      <sheetName val="piping_status_cdu6"/>
      <sheetName val="mtrl_constraints_cdu_vdu6"/>
      <sheetName val="bal_eqpt_instts6"/>
      <sheetName val="other_PCOs6"/>
      <sheetName val="DETAIL_SHEET5"/>
      <sheetName val="NLD_-_Assum5"/>
      <sheetName val="Project_ODC_NDEU5"/>
      <sheetName val="Level_05"/>
      <sheetName val="Acc_10_55"/>
      <sheetName val="Const_QMS_Dash_Board5"/>
      <sheetName val="MDM-RF_5"/>
      <sheetName val="COKER_S_CURVE5"/>
      <sheetName val="commodity_curve_COKER5"/>
      <sheetName val="front_anal_cdu5"/>
      <sheetName val="piping_status_cdu5"/>
      <sheetName val="mtrl_constraints_cdu_vdu5"/>
      <sheetName val="bal_eqpt_instts5"/>
      <sheetName val="other_PCOs5"/>
      <sheetName val="DETAIL_SHEET4"/>
      <sheetName val="NLD_-_Assum4"/>
      <sheetName val="Project_ODC_NDEU4"/>
      <sheetName val="Level_04"/>
      <sheetName val="Acc_10_54"/>
      <sheetName val="Const_QMS_Dash_Board4"/>
      <sheetName val="Calculation Master"/>
      <sheetName val="Michael Magliato"/>
      <sheetName val="Variables"/>
      <sheetName val="Manpower"/>
      <sheetName val="Parameter"/>
      <sheetName val="3MLKQ"/>
      <sheetName val="INFO"/>
      <sheetName val="NOTES "/>
      <sheetName val="TBAL9697 -group wise  sdpl"/>
      <sheetName val="Config"/>
      <sheetName val="Break Dw"/>
      <sheetName val="Profit and Loss"/>
      <sheetName val="IPO"/>
      <sheetName val="DPR MP"/>
      <sheetName val="Ph-2 Hold"/>
      <sheetName val="SUMMARY"/>
      <sheetName val="no front"/>
      <sheetName val="PH-2 NO and Less front"/>
      <sheetName val="FOREST ISSUE"/>
      <sheetName val="dpr stl"/>
      <sheetName val="ecc_res"/>
      <sheetName val="Consolidation Units "/>
      <sheetName val="Contract_Value_summary"/>
      <sheetName val="Calculation_Master"/>
      <sheetName val="Michael_Magliato"/>
      <sheetName val="Consolidation_Units_"/>
      <sheetName val="Factor -local"/>
      <sheetName val="Factor- cables"/>
      <sheetName val="Contract_Value_summary1"/>
      <sheetName val="Calculation_Master1"/>
      <sheetName val="Michael_Magliato1"/>
      <sheetName val="Consolidation_Units_1"/>
      <sheetName val="Contract_Value_summary2"/>
      <sheetName val="Calculation_Master2"/>
      <sheetName val="Michael_Magliato2"/>
      <sheetName val="Consolidation_Units_2"/>
      <sheetName val="MDM-RF_7"/>
      <sheetName val="COKER_S_CURVE7"/>
      <sheetName val="commodity_curve_COKER7"/>
      <sheetName val="front_anal_cdu7"/>
      <sheetName val="piping_status_cdu7"/>
      <sheetName val="mtrl_constraints_cdu_vdu7"/>
      <sheetName val="bal_eqpt_instts7"/>
      <sheetName val="other_PCOs7"/>
      <sheetName val="Contract_Value_summary3"/>
      <sheetName val="Calculation_Master3"/>
      <sheetName val="Michael_Magliato3"/>
      <sheetName val="Consolidation_Units_3"/>
      <sheetName val="MDM-RF_8"/>
      <sheetName val="COKER_S_CURVE8"/>
      <sheetName val="commodity_curve_COKER8"/>
      <sheetName val="front_anal_cdu8"/>
      <sheetName val="piping_status_cdu8"/>
      <sheetName val="mtrl_constraints_cdu_vdu8"/>
      <sheetName val="bal_eqpt_instts8"/>
      <sheetName val="other_PCOs8"/>
      <sheetName val="Contract_Value_summary4"/>
      <sheetName val="Calculation_Master4"/>
      <sheetName val="Michael_Magliato4"/>
      <sheetName val="Consolidation_Units_4"/>
      <sheetName val="CodeList"/>
      <sheetName val="summary CF"/>
      <sheetName val="MDM-RF_9"/>
      <sheetName val="COKER_S_CURVE9"/>
      <sheetName val="commodity_curve_COKER9"/>
      <sheetName val="front_anal_cdu9"/>
      <sheetName val="piping_status_cdu9"/>
      <sheetName val="mtrl_constraints_cdu_vdu9"/>
      <sheetName val="bal_eqpt_instts9"/>
      <sheetName val="other_PCOs9"/>
      <sheetName val="Contract_Value_summary5"/>
      <sheetName val="Calculation_Master5"/>
      <sheetName val="Michael_Magliato5"/>
      <sheetName val="Consolidation_Units_5"/>
      <sheetName val="MDM-RF_10"/>
      <sheetName val="COKER_S_CURVE10"/>
      <sheetName val="commodity_curve_COKER10"/>
      <sheetName val="front_anal_cdu10"/>
      <sheetName val="piping_status_cdu10"/>
      <sheetName val="mtrl_constraints_cdu_vdu10"/>
      <sheetName val="bal_eqpt_instts10"/>
      <sheetName val="other_PCOs10"/>
      <sheetName val="Contract_Value_summary6"/>
      <sheetName val="Calculation_Master6"/>
      <sheetName val="Michael_Magliato6"/>
      <sheetName val="Consolidation_Units_6"/>
      <sheetName val="Factor_-local"/>
      <sheetName val="Factor-_cables"/>
      <sheetName val="summary_CF"/>
      <sheetName val="MDM-RF_11"/>
      <sheetName val="COKER_S_CURVE11"/>
      <sheetName val="commodity_curve_COKER11"/>
      <sheetName val="front_anal_cdu11"/>
      <sheetName val="piping_status_cdu11"/>
      <sheetName val="mtrl_constraints_cdu_vdu11"/>
      <sheetName val="bal_eqpt_instts11"/>
      <sheetName val="other_PCOs11"/>
      <sheetName val="Contract_Value_summary7"/>
      <sheetName val="Calculation_Master7"/>
      <sheetName val="Michael_Magliato7"/>
      <sheetName val="Consolidation_Units_7"/>
      <sheetName val="Factor_-local1"/>
      <sheetName val="Factor-_cables1"/>
      <sheetName val="summary_CF1"/>
      <sheetName val="MDM-RF_12"/>
      <sheetName val="COKER_S_CURVE12"/>
      <sheetName val="commodity_curve_COKER12"/>
      <sheetName val="front_anal_cdu12"/>
      <sheetName val="piping_status_cdu12"/>
      <sheetName val="mtrl_constraints_cdu_vdu12"/>
      <sheetName val="bal_eqpt_instts12"/>
      <sheetName val="other_PCOs12"/>
      <sheetName val="Contract_Value_summary8"/>
      <sheetName val="Calculation_Master8"/>
      <sheetName val="Michael_Magliato8"/>
      <sheetName val="Consolidation_Units_8"/>
      <sheetName val="Factor_-local2"/>
      <sheetName val="Factor-_cables2"/>
      <sheetName val="summary_CF2"/>
      <sheetName val="MDM-RF_13"/>
      <sheetName val="COKER_S_CURVE13"/>
      <sheetName val="commodity_curve_COKER13"/>
      <sheetName val="front_anal_cdu13"/>
      <sheetName val="piping_status_cdu13"/>
      <sheetName val="mtrl_constraints_cdu_vdu13"/>
      <sheetName val="bal_eqpt_instts13"/>
      <sheetName val="other_PCOs13"/>
      <sheetName val="Contract_Value_summary9"/>
      <sheetName val="Calculation_Master9"/>
      <sheetName val="Michael_Magliato9"/>
      <sheetName val="Consolidation_Units_9"/>
      <sheetName val="Factor_-local3"/>
      <sheetName val="Factor-_cables3"/>
      <sheetName val="summary_CF3"/>
      <sheetName val="IT Category Codes"/>
      <sheetName val="TAX INCOME"/>
      <sheetName val="PE charts 2007"/>
      <sheetName val="EV EBITDA"/>
      <sheetName val="MDM-RF_14"/>
      <sheetName val="COKER_S_CURVE14"/>
      <sheetName val="commodity_curve_COKER14"/>
      <sheetName val="front_anal_cdu14"/>
      <sheetName val="piping_status_cdu14"/>
      <sheetName val="mtrl_constraints_cdu_vdu14"/>
      <sheetName val="bal_eqpt_instts14"/>
      <sheetName val="other_PCOs14"/>
      <sheetName val="Contract_Value_summary10"/>
      <sheetName val="Calculation_Master10"/>
      <sheetName val="Michael_Magliato10"/>
      <sheetName val="Consolidation_Units_10"/>
      <sheetName val="Factor_-local4"/>
      <sheetName val="Factor-_cables4"/>
      <sheetName val="summary_CF4"/>
      <sheetName val="Joseph"/>
      <sheetName val="Civil Works"/>
      <sheetName val="80G"/>
      <sheetName val="Project_ODC_NDEU6"/>
      <sheetName val="Const_QMS_Dash_Board6"/>
      <sheetName val="DETAIL_SHEET6"/>
      <sheetName val="NLD_-_Assum6"/>
      <sheetName val="Level_06"/>
      <sheetName val="Acc_10_56"/>
      <sheetName val="Rates_Basic"/>
      <sheetName val="CRUDE_UPDATE"/>
      <sheetName val="NOTES_"/>
      <sheetName val="TBAL9697_-group_wise__sdpl"/>
      <sheetName val="Break_Dw"/>
      <sheetName val="Profit_and_Loss"/>
      <sheetName val="DPR_MP"/>
      <sheetName val="Ph-2_Hold"/>
      <sheetName val="no_front"/>
      <sheetName val="PH-2_NO_and_Less_front"/>
      <sheetName val="FOREST_ISSUE"/>
      <sheetName val="dpr_stl"/>
      <sheetName val="COSTMAR"/>
      <sheetName val="Title"/>
      <sheetName val="Exchange Rates"/>
      <sheetName val="Casecompannual"/>
      <sheetName val="Account Scores"/>
      <sheetName val="Operating Statistics"/>
      <sheetName val="Profile"/>
      <sheetName val="GS-DCF"/>
      <sheetName val="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Circles-26GHz"/>
      <sheetName val="Summary_26GHz"/>
      <sheetName val="Planning Tool + RF Opt"/>
      <sheetName val="Unit_Models"/>
      <sheetName val="factors"/>
      <sheetName val="All Circles-10.5"/>
      <sheetName val="Summary_10.5"/>
      <sheetName val="Tools&amp;Test"/>
    </sheetNames>
    <sheetDataSet>
      <sheetData sheetId="0" refreshError="1"/>
      <sheetData sheetId="1" refreshError="1"/>
      <sheetData sheetId="2" refreshError="1"/>
      <sheetData sheetId="3" refreshError="1"/>
      <sheetData sheetId="4" refreshError="1">
        <row r="3">
          <cell r="C3">
            <v>0.6</v>
          </cell>
        </row>
        <row r="4">
          <cell r="C4">
            <v>0.4</v>
          </cell>
        </row>
        <row r="6">
          <cell r="C6">
            <v>1.8554889999999999</v>
          </cell>
        </row>
        <row r="7">
          <cell r="C7">
            <v>1.2225605599999998</v>
          </cell>
        </row>
        <row r="8">
          <cell r="C8">
            <v>1.2831997500000001</v>
          </cell>
        </row>
        <row r="12">
          <cell r="C12">
            <v>42.35</v>
          </cell>
        </row>
        <row r="13">
          <cell r="C13">
            <v>48.5</v>
          </cell>
        </row>
        <row r="23">
          <cell r="C23">
            <v>0.75</v>
          </cell>
        </row>
      </sheetData>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right"/>
      <sheetName val="Assume"/>
      <sheetName val="Print Menu"/>
      <sheetName val="ResetModule"/>
      <sheetName val="Adjustments"/>
      <sheetName val="Export"/>
      <sheetName val="Income Statement Input"/>
      <sheetName val="Balance Sheet Input"/>
      <sheetName val="Support Schedules"/>
      <sheetName val="Income Statement"/>
      <sheetName val="Balance Sheet"/>
      <sheetName val="NOPAT"/>
      <sheetName val="NOPAT-SBS"/>
      <sheetName val="Capital"/>
      <sheetName val="Capital-SBS"/>
      <sheetName val="Cum Unusual"/>
      <sheetName val="COT"/>
      <sheetName val="CET"/>
      <sheetName val="EVA"/>
      <sheetName val="MVA"/>
      <sheetName val="Graphs-MVA"/>
      <sheetName val="EVA-MVA"/>
      <sheetName val="Graphs-EVA"/>
      <sheetName val="PerfSum"/>
      <sheetName val="SixPanel"/>
      <sheetName val="Forecast-Input"/>
      <sheetName val="Engine NOPAT"/>
      <sheetName val="Engine CAPITAL"/>
      <sheetName val="Valuation"/>
      <sheetName val="Charts"/>
      <sheetName val="Validation"/>
      <sheetName val="Leases"/>
      <sheetName val="Capitalized Expense"/>
      <sheetName val="wwww"/>
      <sheetName val="HideModule"/>
      <sheetName val="ruSureModule"/>
      <sheetName val="PrintModule"/>
      <sheetName val="Reset-Module"/>
      <sheetName val="Hide-Module"/>
      <sheetName val="ruSure-Module"/>
      <sheetName val="Print Module"/>
      <sheetName val="cop"/>
      <sheetName val="TB9899"/>
      <sheetName val="Capital_by_Years_Valuation"/>
      <sheetName val="ReportsParameters"/>
      <sheetName val="Nopat_by_Years_Valuation"/>
      <sheetName val="Data"/>
      <sheetName val="factors"/>
      <sheetName val="COA_20040726"/>
      <sheetName val="PARTY"/>
      <sheetName val="prg"/>
      <sheetName val="prod"/>
      <sheetName val="CF"/>
      <sheetName val="Print_Menu"/>
      <sheetName val="Income_Statement_Input"/>
      <sheetName val="Balance_Sheet_Input"/>
      <sheetName val="Support_Schedules"/>
      <sheetName val="Income_Statement"/>
      <sheetName val="Balance_Sheet"/>
      <sheetName val="Cum_Unusual"/>
      <sheetName val="Engine_NOPAT"/>
      <sheetName val="Engine_CAPITAL"/>
      <sheetName val="Capitalized_Expense"/>
      <sheetName val="Print_Module"/>
      <sheetName val="Print_Menu1"/>
      <sheetName val="Income_Statement_Input1"/>
      <sheetName val="Balance_Sheet_Input1"/>
      <sheetName val="Support_Schedules1"/>
      <sheetName val="Income_Statement1"/>
      <sheetName val="Balance_Sheet1"/>
      <sheetName val="Cum_Unusual1"/>
      <sheetName val="Engine_NOPAT1"/>
      <sheetName val="Engine_CAPITAL1"/>
      <sheetName val="Capitalized_Expense1"/>
      <sheetName val="Print_Module1"/>
      <sheetName val="Forecast_Input"/>
      <sheetName val="HI-TARGE"/>
      <sheetName val="Copy of AAsamtel"/>
      <sheetName val="Print_Menu2"/>
      <sheetName val="Income_Statement_Input2"/>
      <sheetName val="Balance_Sheet_Input2"/>
      <sheetName val="Support_Schedules2"/>
      <sheetName val="Income_Statement2"/>
      <sheetName val="Balance_Sheet2"/>
      <sheetName val="Cum_Unusual2"/>
      <sheetName val="Engine_NOPAT2"/>
      <sheetName val="Engine_CAPITAL2"/>
      <sheetName val="Capitalized_Expense2"/>
      <sheetName val="Print_Module2"/>
      <sheetName val="USER"/>
      <sheetName val="inc rec"/>
      <sheetName val="inc_rec"/>
      <sheetName val="oresreqsum"/>
      <sheetName val="TB"/>
      <sheetName val="INV"/>
      <sheetName val="coa_ramco_168"/>
      <sheetName val="CBDGT979"/>
      <sheetName val="TGT"/>
      <sheetName val="HP Inv"/>
      <sheetName val="discounts_XP140"/>
      <sheetName val="LOB_TABLE"/>
      <sheetName val="Hid_x0000__x0000_odule"/>
      <sheetName val="Parameters"/>
      <sheetName val="Timeoffice"/>
      <sheetName val="Int - Cum02"/>
      <sheetName val="SALE&amp;COST"/>
      <sheetName val="Variables"/>
      <sheetName val="index"/>
      <sheetName val="Total Machine Cost"/>
      <sheetName val="PE CHARGES"/>
      <sheetName val="Copy_of_AAsamtel"/>
      <sheetName val="Total_Machine_Cost"/>
      <sheetName val="PE_CHARGES"/>
      <sheetName val="FLASH"/>
      <sheetName val="FORM-16"/>
      <sheetName val="sdrs_mar"/>
      <sheetName val="Input"/>
      <sheetName val="Print_Menu3"/>
      <sheetName val="Income_Statement_Input3"/>
      <sheetName val="Balance_Sheet_Input3"/>
      <sheetName val="Support_Schedules3"/>
      <sheetName val="Income_Statement3"/>
      <sheetName val="Balance_Sheet3"/>
      <sheetName val="Cum_Unusual3"/>
      <sheetName val="Engine_NOPAT3"/>
      <sheetName val="Engine_CAPITAL3"/>
      <sheetName val="Capitalized_Expense3"/>
      <sheetName val="Print_Module3"/>
      <sheetName val="Copy_of_AAsamtel1"/>
      <sheetName val="inc_rec1"/>
      <sheetName val="Total_Machine_Cost1"/>
      <sheetName val="PE_CHARGES1"/>
      <sheetName val="HP_Inv"/>
      <sheetName val="Hidodule"/>
      <sheetName val="Int_-_Cum02"/>
      <sheetName val="Cancel &amp; Rollover"/>
      <sheetName val="Report"/>
      <sheetName val="Cancel_&amp;_Rollover"/>
      <sheetName val="MODEL"/>
      <sheetName val="Investment"/>
      <sheetName val="tbc"/>
      <sheetName val="Controls"/>
      <sheetName val="Print Controls"/>
      <sheetName val="SAP code"/>
      <sheetName val="Hid_x005f_x0000__x005f_x0000_odule"/>
      <sheetName val="SOLUT001"/>
      <sheetName val="#REF!"/>
      <sheetName val="Hid_x005f_x005f_x005f_x0000__x005f_x005f_x005f_x0000_od"/>
      <sheetName val="Assum SG&amp;A-ROW"/>
      <sheetName val="Assumptions US-Rev"/>
      <sheetName val="Hid"/>
      <sheetName val="Options"/>
      <sheetName val="Financials Forecast"/>
      <sheetName val="Admin &amp; Assumptions"/>
      <sheetName val="Print Tables - Financials"/>
      <sheetName val="Recast of Comparable P&amp;L's "/>
      <sheetName val="Market Demand Forecast"/>
      <sheetName val="Market Print Tables"/>
      <sheetName val="Bathinda"/>
      <sheetName val="export-PM"/>
      <sheetName val="export-TN"/>
      <sheetName val="himachal"/>
      <sheetName val="ludhiana"/>
      <sheetName val="orissa"/>
      <sheetName val="PM"/>
      <sheetName val="Power &amp; Fuel(SMS)"/>
      <sheetName val="MFG"/>
      <sheetName val="Box"/>
      <sheetName val="Platforms"/>
      <sheetName val="b"/>
      <sheetName val="Assumptions"/>
      <sheetName val="SUB SCHEDULE"/>
      <sheetName val="raw data"/>
      <sheetName val="Sheet1"/>
      <sheetName val="Financial Summary-MGMT Case"/>
      <sheetName val="combnd 08 09"/>
      <sheetName val="Assum"/>
      <sheetName val="WCAP"/>
    </sheetNames>
    <sheetDataSet>
      <sheetData sheetId="0" refreshError="1"/>
      <sheetData sheetId="1" refreshError="1">
        <row r="4">
          <cell r="A4">
            <v>8</v>
          </cell>
        </row>
        <row r="6">
          <cell r="D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jected"/>
      <sheetName val="Historical"/>
      <sheetName val="Assum"/>
      <sheetName val="Tariff"/>
      <sheetName val="Gen"/>
      <sheetName val="Financials (2)"/>
      <sheetName val="Working Capital RK"/>
      <sheetName val="Depreciation Schedule"/>
      <sheetName val="RK Debt"/>
      <sheetName val="WACC RK"/>
      <sheetName val="EV"/>
      <sheetName val="Sheet2"/>
      <sheetName val="Financials"/>
      <sheetName val="Dep"/>
      <sheetName val="WC"/>
      <sheetName val="Debt"/>
      <sheetName val="Os"/>
      <sheetName val="CMA"/>
      <sheetName val="Operating Statement"/>
      <sheetName val="Balance Sheet"/>
      <sheetName val="Additional Information"/>
      <sheetName val="Sheet1"/>
      <sheetName val="Valuation Summary "/>
    </sheetNames>
    <sheetDataSet>
      <sheetData sheetId="0">
        <row r="5">
          <cell r="D5" t="str">
            <v>Total revenue</v>
          </cell>
        </row>
      </sheetData>
      <sheetData sheetId="1">
        <row r="2">
          <cell r="D2">
            <v>2018</v>
          </cell>
        </row>
      </sheetData>
      <sheetData sheetId="2">
        <row r="147">
          <cell r="B147">
            <v>10000000</v>
          </cell>
        </row>
        <row r="148">
          <cell r="B148">
            <v>100000</v>
          </cell>
        </row>
        <row r="149">
          <cell r="B149">
            <v>1000000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05_Group"/>
      <sheetName val="Group Companies"/>
      <sheetName val="Sheet4"/>
      <sheetName val="Final_JVs"/>
      <sheetName val="Sheet1"/>
      <sheetName val="Lrnet_Inftch"/>
      <sheetName val="NKEL"/>
      <sheetName val="CTNL"/>
      <sheetName val="Sheet2"/>
      <sheetName val="IETS"/>
      <sheetName val="Finvest"/>
      <sheetName val="Unbooked PSI"/>
      <sheetName val="IIL(Associate)"/>
      <sheetName val="InvstSmrt"/>
      <sheetName val="IIML"/>
      <sheetName val="gtricl"/>
      <sheetName val="Asso_Prof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bu"/>
      <sheetName val="Input"/>
      <sheetName val="Part ABC"/>
      <sheetName val="Part D"/>
      <sheetName val="Part F"/>
      <sheetName val="Part EGHI"/>
      <sheetName val="Part J"/>
      <sheetName val="Bac-up Part D"/>
      <sheetName val="Back up Part  E"/>
      <sheetName val="Backup Part F"/>
      <sheetName val="Backup Part G"/>
      <sheetName val="Backup Part I"/>
      <sheetName val="Cr Expo - Reco"/>
      <sheetName val="Drs REco"/>
      <sheetName val="Unquoted investments"/>
      <sheetName val="Sub Debt Maturity"/>
      <sheetName val="Trends"/>
      <sheetName val="fixed asset work"/>
      <sheetName val="Sheet1"/>
      <sheetName val="---"/>
      <sheetName val="Summary"/>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kks vs. records (2)"/>
      <sheetName val="Bokks vs. records"/>
      <sheetName val="Service tax payments"/>
      <sheetName val="Interest - Corporation bank"/>
      <sheetName val="ICICI &amp; TMBL interest"/>
      <sheetName val="Gratuity"/>
      <sheetName val="Bonus"/>
      <sheetName val="PL-paid (given by Bodena Sir)"/>
      <sheetName val="PL"/>
      <sheetName val="bodenna-sales-2008"/>
      <sheetName val="tower"/>
      <sheetName val="Lookups"/>
    </sheetNames>
    <sheetDataSet>
      <sheetData sheetId="0"/>
      <sheetData sheetId="1" refreshError="1"/>
      <sheetData sheetId="2" refreshError="1"/>
      <sheetData sheetId="3" refreshError="1"/>
      <sheetData sheetId="4">
        <row r="4">
          <cell r="J4">
            <v>3997594.5</v>
          </cell>
        </row>
        <row r="5">
          <cell r="J5">
            <v>115583</v>
          </cell>
        </row>
        <row r="6">
          <cell r="J6">
            <v>1406509</v>
          </cell>
        </row>
        <row r="7">
          <cell r="J7">
            <v>373421</v>
          </cell>
        </row>
        <row r="8">
          <cell r="J8">
            <v>353</v>
          </cell>
        </row>
        <row r="9">
          <cell r="J9">
            <v>487661.6</v>
          </cell>
        </row>
        <row r="10">
          <cell r="J10">
            <v>100486</v>
          </cell>
        </row>
        <row r="11">
          <cell r="J11">
            <v>101264</v>
          </cell>
        </row>
        <row r="12">
          <cell r="J12">
            <v>102452</v>
          </cell>
        </row>
        <row r="13">
          <cell r="J13">
            <v>226073</v>
          </cell>
        </row>
        <row r="14">
          <cell r="J14">
            <v>388300</v>
          </cell>
        </row>
        <row r="15">
          <cell r="J15">
            <v>-190906</v>
          </cell>
        </row>
        <row r="16">
          <cell r="J16">
            <v>53710</v>
          </cell>
        </row>
        <row r="17">
          <cell r="J17">
            <v>14267</v>
          </cell>
        </row>
        <row r="18">
          <cell r="J18">
            <v>40701</v>
          </cell>
        </row>
        <row r="19">
          <cell r="J19">
            <v>131757</v>
          </cell>
        </row>
        <row r="20">
          <cell r="J20">
            <v>56242</v>
          </cell>
        </row>
        <row r="21">
          <cell r="J21">
            <v>14939</v>
          </cell>
        </row>
        <row r="22">
          <cell r="J22">
            <v>42621</v>
          </cell>
        </row>
        <row r="23">
          <cell r="J23">
            <v>137969</v>
          </cell>
        </row>
        <row r="24">
          <cell r="J24">
            <v>104885</v>
          </cell>
        </row>
        <row r="25">
          <cell r="J25">
            <v>97021</v>
          </cell>
        </row>
        <row r="26">
          <cell r="J26">
            <v>93163</v>
          </cell>
        </row>
        <row r="27">
          <cell r="J27">
            <v>97766</v>
          </cell>
        </row>
        <row r="28">
          <cell r="J28">
            <v>90553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Summary"/>
      <sheetName val="Main Sheet"/>
      <sheetName val="VRXP"/>
      <sheetName val="V.Ins"/>
      <sheetName val="Sw"/>
      <sheetName val="Rent others"/>
      <sheetName val="Rent Guest House Actual"/>
      <sheetName val="Int. on HP"/>
      <sheetName val="Fuel Charges"/>
      <sheetName val="Subscription"/>
      <sheetName val="Entertainment"/>
      <sheetName val="SIE Admin &amp; Corp"/>
      <sheetName val="4219020-SIE Advert"/>
      <sheetName val="4219021-SIE P&amp;S"/>
      <sheetName val="Dont Alter"/>
      <sheetName val="Sheet1"/>
      <sheetName val="Fbt SANDEEP"/>
      <sheetName val="inve"/>
      <sheetName val="Financials New format"/>
      <sheetName val="Financials"/>
      <sheetName val="Revised Sch VI BS"/>
      <sheetName val="Revised Sch VI BS Notes"/>
      <sheetName val="Revised Sch VI PNL"/>
      <sheetName val="Revised Sch VI PNL Notes"/>
      <sheetName val="BS"/>
      <sheetName val="BS detailed"/>
      <sheetName val="P&amp;L"/>
      <sheetName val="Cash flow"/>
      <sheetName val="P&amp;L detailed"/>
      <sheetName val="Sch 01"/>
      <sheetName val="Schedule 02"/>
      <sheetName val="Sche 02"/>
      <sheetName val="Sch 02"/>
      <sheetName val="Sch 03 &amp; 04"/>
      <sheetName val="Sch 05"/>
      <sheetName val="Sche 06"/>
      <sheetName val="Sch 07, 08 &amp; 09 "/>
      <sheetName val="Sched 06"/>
      <sheetName val="Sch 10, 11 &amp; 12"/>
      <sheetName val="Sch 13 &amp; 14"/>
      <sheetName val="Sch 15 &amp; 16"/>
      <sheetName val="Sch 17, 18 &amp; 19"/>
      <sheetName val="SignatoriesR"/>
      <sheetName val="Signatories"/>
      <sheetName val="SEBI"/>
      <sheetName val="Other-details"/>
      <sheetName val="SEBI-EXTRA"/>
      <sheetName val="Other-details-HFM"/>
      <sheetName val="ICICI &amp; TMBL interest"/>
      <sheetName val="Base Dump FAR"/>
      <sheetName val="Inter Co Balances"/>
      <sheetName val="coa_ramco_168"/>
      <sheetName val="Primero Tower Budget"/>
      <sheetName val="Ref"/>
      <sheetName val="Grouping"/>
      <sheetName val="Determination of Threshold"/>
      <sheetName val="GL DUMP NEW"/>
      <sheetName val="McKAnalyst"/>
      <sheetName val="sch"/>
      <sheetName val="Activity Codes"/>
      <sheetName val="Assumptions"/>
      <sheetName val="FFM"/>
      <sheetName val="BS-203"/>
      <sheetName val="bed"/>
    </sheetNames>
    <sheetDataSet>
      <sheetData sheetId="0"/>
      <sheetData sheetId="1">
        <row r="3">
          <cell r="B3" t="str">
            <v>Conference</v>
          </cell>
        </row>
      </sheetData>
      <sheetData sheetId="2"/>
      <sheetData sheetId="3"/>
      <sheetData sheetId="4"/>
      <sheetData sheetId="5"/>
      <sheetData sheetId="6"/>
      <sheetData sheetId="7">
        <row r="3">
          <cell r="B3">
            <v>0</v>
          </cell>
        </row>
      </sheetData>
      <sheetData sheetId="8"/>
      <sheetData sheetId="9"/>
      <sheetData sheetId="10">
        <row r="2">
          <cell r="D2">
            <v>2090</v>
          </cell>
        </row>
        <row r="3">
          <cell r="D3">
            <v>10658</v>
          </cell>
        </row>
        <row r="4">
          <cell r="D4">
            <v>414</v>
          </cell>
        </row>
        <row r="5">
          <cell r="D5">
            <v>5000</v>
          </cell>
        </row>
        <row r="6">
          <cell r="D6">
            <v>3274.12</v>
          </cell>
        </row>
        <row r="7">
          <cell r="D7">
            <v>1515</v>
          </cell>
        </row>
        <row r="8">
          <cell r="D8">
            <v>2080.86</v>
          </cell>
        </row>
        <row r="9">
          <cell r="D9">
            <v>110</v>
          </cell>
        </row>
        <row r="10">
          <cell r="D10">
            <v>1650</v>
          </cell>
        </row>
        <row r="11">
          <cell r="D11">
            <v>20000</v>
          </cell>
        </row>
        <row r="12">
          <cell r="D12">
            <v>89888</v>
          </cell>
        </row>
        <row r="13">
          <cell r="D13">
            <v>70000</v>
          </cell>
        </row>
        <row r="14">
          <cell r="D14">
            <v>1150</v>
          </cell>
        </row>
        <row r="15">
          <cell r="D15">
            <v>3160.35</v>
          </cell>
        </row>
        <row r="16">
          <cell r="D16">
            <v>11242</v>
          </cell>
        </row>
        <row r="17">
          <cell r="D17">
            <v>1200</v>
          </cell>
        </row>
        <row r="18">
          <cell r="D18">
            <v>581</v>
          </cell>
        </row>
        <row r="19">
          <cell r="D19">
            <v>60</v>
          </cell>
        </row>
        <row r="20">
          <cell r="D20">
            <v>180</v>
          </cell>
        </row>
        <row r="21">
          <cell r="D21">
            <v>380</v>
          </cell>
        </row>
        <row r="22">
          <cell r="D22">
            <v>4000</v>
          </cell>
        </row>
        <row r="23">
          <cell r="D23">
            <v>1070</v>
          </cell>
        </row>
        <row r="24">
          <cell r="D24">
            <v>4993000</v>
          </cell>
        </row>
        <row r="25">
          <cell r="D25">
            <v>1500000</v>
          </cell>
        </row>
        <row r="26">
          <cell r="D26">
            <v>1714000</v>
          </cell>
        </row>
        <row r="27">
          <cell r="D27">
            <v>1870130</v>
          </cell>
        </row>
        <row r="28">
          <cell r="D28">
            <v>-4993000</v>
          </cell>
        </row>
        <row r="29">
          <cell r="D29">
            <v>1403500</v>
          </cell>
        </row>
        <row r="30">
          <cell r="D30">
            <v>1247580</v>
          </cell>
        </row>
        <row r="31">
          <cell r="D31">
            <v>623800</v>
          </cell>
        </row>
        <row r="32">
          <cell r="D32">
            <v>155800</v>
          </cell>
        </row>
        <row r="33">
          <cell r="D33">
            <v>-10000</v>
          </cell>
        </row>
        <row r="34">
          <cell r="D34">
            <v>4993000</v>
          </cell>
        </row>
        <row r="35">
          <cell r="D35">
            <v>-1500000</v>
          </cell>
        </row>
        <row r="36">
          <cell r="D36">
            <v>-11997810</v>
          </cell>
        </row>
        <row r="37">
          <cell r="D37">
            <v>-1539610</v>
          </cell>
        </row>
        <row r="38">
          <cell r="D38">
            <v>-1679854</v>
          </cell>
        </row>
        <row r="39">
          <cell r="D39">
            <v>-1260702</v>
          </cell>
        </row>
        <row r="40">
          <cell r="D40">
            <v>-560332</v>
          </cell>
        </row>
        <row r="41">
          <cell r="D41">
            <v>-1120646</v>
          </cell>
        </row>
        <row r="42">
          <cell r="D42">
            <v>-4484990</v>
          </cell>
        </row>
        <row r="43">
          <cell r="D43">
            <v>-130966</v>
          </cell>
        </row>
        <row r="44">
          <cell r="D44">
            <v>1500000</v>
          </cell>
        </row>
        <row r="45">
          <cell r="D45">
            <v>405</v>
          </cell>
        </row>
        <row r="46">
          <cell r="D46">
            <v>55000</v>
          </cell>
        </row>
        <row r="47">
          <cell r="D47">
            <v>240</v>
          </cell>
        </row>
        <row r="48">
          <cell r="D48">
            <v>130</v>
          </cell>
        </row>
        <row r="49">
          <cell r="D49">
            <v>3371</v>
          </cell>
        </row>
        <row r="50">
          <cell r="D50">
            <v>60</v>
          </cell>
        </row>
        <row r="51">
          <cell r="D51">
            <v>100</v>
          </cell>
        </row>
        <row r="52">
          <cell r="D52">
            <v>5282850</v>
          </cell>
        </row>
        <row r="53">
          <cell r="D53">
            <v>7717150</v>
          </cell>
        </row>
        <row r="54">
          <cell r="D54">
            <v>-1002190</v>
          </cell>
        </row>
        <row r="55">
          <cell r="D55">
            <v>-60</v>
          </cell>
        </row>
        <row r="56">
          <cell r="D56">
            <v>500</v>
          </cell>
        </row>
        <row r="57">
          <cell r="D57">
            <v>2078</v>
          </cell>
        </row>
        <row r="58">
          <cell r="D58">
            <v>210</v>
          </cell>
        </row>
        <row r="59">
          <cell r="D59">
            <v>300</v>
          </cell>
        </row>
        <row r="60">
          <cell r="D60">
            <v>150</v>
          </cell>
        </row>
        <row r="61">
          <cell r="D61">
            <v>300</v>
          </cell>
        </row>
        <row r="62">
          <cell r="D62">
            <v>204</v>
          </cell>
        </row>
        <row r="63">
          <cell r="D63">
            <v>103</v>
          </cell>
        </row>
        <row r="64">
          <cell r="D64">
            <v>112700</v>
          </cell>
        </row>
        <row r="65">
          <cell r="D65">
            <v>700</v>
          </cell>
        </row>
        <row r="66">
          <cell r="D66">
            <v>1040</v>
          </cell>
        </row>
        <row r="67">
          <cell r="D67">
            <v>105</v>
          </cell>
        </row>
        <row r="68">
          <cell r="D68">
            <v>1515</v>
          </cell>
        </row>
        <row r="69">
          <cell r="D69">
            <v>600</v>
          </cell>
        </row>
        <row r="70">
          <cell r="D70">
            <v>2000</v>
          </cell>
        </row>
        <row r="71">
          <cell r="D71">
            <v>11633</v>
          </cell>
        </row>
        <row r="72">
          <cell r="D72">
            <v>45660</v>
          </cell>
        </row>
        <row r="73">
          <cell r="D73">
            <v>-11633</v>
          </cell>
        </row>
        <row r="74">
          <cell r="D74">
            <v>-45660</v>
          </cell>
        </row>
        <row r="75">
          <cell r="D75">
            <v>1500</v>
          </cell>
        </row>
        <row r="76">
          <cell r="D76">
            <v>750</v>
          </cell>
        </row>
        <row r="77">
          <cell r="D77">
            <v>3926</v>
          </cell>
        </row>
        <row r="78">
          <cell r="D78">
            <v>600</v>
          </cell>
        </row>
        <row r="79">
          <cell r="D79">
            <v>174390</v>
          </cell>
        </row>
        <row r="80">
          <cell r="D80">
            <v>190276</v>
          </cell>
        </row>
        <row r="81">
          <cell r="D81">
            <v>142799</v>
          </cell>
        </row>
        <row r="82">
          <cell r="D82">
            <v>126935</v>
          </cell>
        </row>
        <row r="83">
          <cell r="D83">
            <v>508011</v>
          </cell>
        </row>
        <row r="84">
          <cell r="D84">
            <v>63468</v>
          </cell>
        </row>
        <row r="85">
          <cell r="D85">
            <v>14834</v>
          </cell>
        </row>
        <row r="86">
          <cell r="D86">
            <v>110</v>
          </cell>
        </row>
        <row r="87">
          <cell r="D87">
            <v>400</v>
          </cell>
        </row>
        <row r="88">
          <cell r="D88">
            <v>3630.6</v>
          </cell>
        </row>
        <row r="89">
          <cell r="D89">
            <v>-517</v>
          </cell>
        </row>
        <row r="90">
          <cell r="D90">
            <v>-1109027</v>
          </cell>
        </row>
        <row r="91">
          <cell r="D91">
            <v>1109027</v>
          </cell>
        </row>
        <row r="92">
          <cell r="D92">
            <v>-686704.38</v>
          </cell>
        </row>
        <row r="93">
          <cell r="D93">
            <v>763102.21</v>
          </cell>
        </row>
        <row r="94">
          <cell r="D94">
            <v>65</v>
          </cell>
        </row>
        <row r="95">
          <cell r="D95">
            <v>385</v>
          </cell>
        </row>
        <row r="96">
          <cell r="D96">
            <v>100000</v>
          </cell>
        </row>
        <row r="97">
          <cell r="D97">
            <v>330</v>
          </cell>
        </row>
        <row r="98">
          <cell r="D98">
            <v>116258</v>
          </cell>
        </row>
        <row r="99">
          <cell r="D99">
            <v>116258</v>
          </cell>
        </row>
        <row r="100">
          <cell r="D100">
            <v>-683701.24</v>
          </cell>
        </row>
        <row r="101">
          <cell r="D101">
            <v>683701.24</v>
          </cell>
        </row>
        <row r="102">
          <cell r="D102">
            <v>686704.38</v>
          </cell>
        </row>
        <row r="103">
          <cell r="D103">
            <v>3631</v>
          </cell>
        </row>
        <row r="104">
          <cell r="D104">
            <v>25027</v>
          </cell>
        </row>
        <row r="105">
          <cell r="D105">
            <v>120</v>
          </cell>
        </row>
        <row r="106">
          <cell r="D106">
            <v>250</v>
          </cell>
        </row>
        <row r="107">
          <cell r="D107">
            <v>2375</v>
          </cell>
        </row>
        <row r="108">
          <cell r="D108">
            <v>210</v>
          </cell>
        </row>
        <row r="109">
          <cell r="D109">
            <v>3631</v>
          </cell>
        </row>
        <row r="110">
          <cell r="D110">
            <v>2500</v>
          </cell>
        </row>
        <row r="111">
          <cell r="D111">
            <v>8000</v>
          </cell>
        </row>
        <row r="112">
          <cell r="D112">
            <v>155</v>
          </cell>
        </row>
        <row r="113">
          <cell r="D113">
            <v>360</v>
          </cell>
        </row>
        <row r="114">
          <cell r="D114">
            <v>240</v>
          </cell>
        </row>
        <row r="115">
          <cell r="D115">
            <v>120</v>
          </cell>
        </row>
        <row r="116">
          <cell r="D116">
            <v>600</v>
          </cell>
        </row>
        <row r="117">
          <cell r="D117">
            <v>60</v>
          </cell>
        </row>
        <row r="118">
          <cell r="D118">
            <v>360</v>
          </cell>
        </row>
        <row r="119">
          <cell r="D119">
            <v>63469</v>
          </cell>
        </row>
        <row r="120">
          <cell r="D120">
            <v>3631</v>
          </cell>
        </row>
        <row r="121">
          <cell r="D121">
            <v>6240</v>
          </cell>
        </row>
        <row r="122">
          <cell r="D122">
            <v>180</v>
          </cell>
        </row>
        <row r="123">
          <cell r="D123">
            <v>4190</v>
          </cell>
        </row>
        <row r="124">
          <cell r="D124">
            <v>142799</v>
          </cell>
        </row>
        <row r="125">
          <cell r="D125">
            <v>470</v>
          </cell>
        </row>
        <row r="126">
          <cell r="D126">
            <v>120</v>
          </cell>
        </row>
        <row r="127">
          <cell r="D127">
            <v>120</v>
          </cell>
        </row>
        <row r="128">
          <cell r="D128">
            <v>2437</v>
          </cell>
        </row>
        <row r="129">
          <cell r="D129">
            <v>190275</v>
          </cell>
        </row>
        <row r="130">
          <cell r="D130">
            <v>126935</v>
          </cell>
        </row>
        <row r="131">
          <cell r="D131">
            <v>508010</v>
          </cell>
        </row>
        <row r="132">
          <cell r="D132">
            <v>3631</v>
          </cell>
        </row>
        <row r="133">
          <cell r="D133">
            <v>110</v>
          </cell>
        </row>
        <row r="134">
          <cell r="D134">
            <v>90000</v>
          </cell>
        </row>
        <row r="135">
          <cell r="D135">
            <v>110</v>
          </cell>
        </row>
        <row r="136">
          <cell r="D136">
            <v>180</v>
          </cell>
        </row>
        <row r="137">
          <cell r="D137">
            <v>50000</v>
          </cell>
        </row>
        <row r="138">
          <cell r="D138">
            <v>2990</v>
          </cell>
        </row>
        <row r="139">
          <cell r="D139">
            <v>48620</v>
          </cell>
        </row>
        <row r="140">
          <cell r="D140">
            <v>18232.5</v>
          </cell>
        </row>
        <row r="141">
          <cell r="D141">
            <v>12155</v>
          </cell>
        </row>
        <row r="142">
          <cell r="D142">
            <v>-180</v>
          </cell>
        </row>
        <row r="143">
          <cell r="D143">
            <v>180</v>
          </cell>
        </row>
        <row r="144">
          <cell r="D144">
            <v>2400</v>
          </cell>
        </row>
        <row r="145">
          <cell r="D145">
            <v>5625</v>
          </cell>
        </row>
        <row r="146">
          <cell r="D146">
            <v>1950</v>
          </cell>
        </row>
        <row r="147">
          <cell r="D147">
            <v>3631</v>
          </cell>
        </row>
        <row r="148">
          <cell r="D148">
            <v>-100000</v>
          </cell>
        </row>
        <row r="149">
          <cell r="D149">
            <v>4600</v>
          </cell>
        </row>
        <row r="150">
          <cell r="D150">
            <v>5000</v>
          </cell>
        </row>
        <row r="151">
          <cell r="D151">
            <v>25000</v>
          </cell>
        </row>
        <row r="152">
          <cell r="D152">
            <v>25000</v>
          </cell>
        </row>
        <row r="153">
          <cell r="D153">
            <v>1985</v>
          </cell>
        </row>
        <row r="154">
          <cell r="D154">
            <v>7311</v>
          </cell>
        </row>
        <row r="155">
          <cell r="D155">
            <v>126933</v>
          </cell>
        </row>
        <row r="156">
          <cell r="D156">
            <v>-174390</v>
          </cell>
        </row>
        <row r="157">
          <cell r="D157">
            <v>50822</v>
          </cell>
        </row>
        <row r="158">
          <cell r="D158">
            <v>20000</v>
          </cell>
        </row>
        <row r="159">
          <cell r="D159">
            <v>190276</v>
          </cell>
        </row>
        <row r="160">
          <cell r="D160">
            <v>100</v>
          </cell>
        </row>
        <row r="161">
          <cell r="D161">
            <v>2500</v>
          </cell>
        </row>
        <row r="162">
          <cell r="D162">
            <v>3780</v>
          </cell>
        </row>
        <row r="163">
          <cell r="D163">
            <v>5000</v>
          </cell>
        </row>
        <row r="164">
          <cell r="D164">
            <v>950</v>
          </cell>
        </row>
        <row r="165">
          <cell r="D165">
            <v>6864</v>
          </cell>
        </row>
        <row r="166">
          <cell r="D166">
            <v>3631</v>
          </cell>
        </row>
        <row r="167">
          <cell r="D167">
            <v>29669</v>
          </cell>
        </row>
        <row r="168">
          <cell r="D168">
            <v>63469</v>
          </cell>
        </row>
        <row r="169">
          <cell r="D169">
            <v>142799</v>
          </cell>
        </row>
        <row r="170">
          <cell r="D170">
            <v>-1500000</v>
          </cell>
        </row>
        <row r="171">
          <cell r="D171">
            <v>508012</v>
          </cell>
        </row>
      </sheetData>
      <sheetData sheetId="11"/>
      <sheetData sheetId="12">
        <row r="2">
          <cell r="D2">
            <v>2090</v>
          </cell>
        </row>
      </sheetData>
      <sheetData sheetId="13">
        <row r="2">
          <cell r="D2">
            <v>2090</v>
          </cell>
          <cell r="H2">
            <v>81600</v>
          </cell>
        </row>
        <row r="3">
          <cell r="H3">
            <v>1219967</v>
          </cell>
        </row>
        <row r="4">
          <cell r="H4">
            <v>15548191</v>
          </cell>
        </row>
        <row r="5">
          <cell r="H5">
            <v>18360</v>
          </cell>
        </row>
        <row r="6">
          <cell r="H6">
            <v>400</v>
          </cell>
        </row>
        <row r="7">
          <cell r="H7">
            <v>15482094</v>
          </cell>
        </row>
        <row r="8">
          <cell r="H8">
            <v>256000</v>
          </cell>
        </row>
        <row r="9">
          <cell r="H9">
            <v>561800</v>
          </cell>
        </row>
        <row r="10">
          <cell r="H10">
            <v>730117</v>
          </cell>
        </row>
        <row r="11">
          <cell r="H11">
            <v>103459</v>
          </cell>
        </row>
        <row r="12">
          <cell r="H12">
            <v>938320</v>
          </cell>
        </row>
        <row r="13">
          <cell r="H13">
            <v>143035</v>
          </cell>
        </row>
        <row r="14">
          <cell r="H14">
            <v>998880</v>
          </cell>
        </row>
        <row r="15">
          <cell r="H15">
            <v>-1011240</v>
          </cell>
        </row>
        <row r="16">
          <cell r="H16">
            <v>-998880</v>
          </cell>
        </row>
        <row r="17">
          <cell r="H17">
            <v>1011240</v>
          </cell>
        </row>
        <row r="18">
          <cell r="H18">
            <v>982026</v>
          </cell>
        </row>
        <row r="19">
          <cell r="H19">
            <v>955060</v>
          </cell>
        </row>
        <row r="20">
          <cell r="H20">
            <v>45000</v>
          </cell>
        </row>
        <row r="21">
          <cell r="H21">
            <v>10400</v>
          </cell>
        </row>
        <row r="22">
          <cell r="H22">
            <v>-204328</v>
          </cell>
        </row>
        <row r="23">
          <cell r="H23">
            <v>11252715</v>
          </cell>
        </row>
        <row r="24">
          <cell r="H24">
            <v>1123600</v>
          </cell>
        </row>
        <row r="25">
          <cell r="H25">
            <v>130321</v>
          </cell>
        </row>
        <row r="26">
          <cell r="H26">
            <v>158128</v>
          </cell>
        </row>
        <row r="27">
          <cell r="H27">
            <v>105419</v>
          </cell>
        </row>
        <row r="28">
          <cell r="H28">
            <v>4171590</v>
          </cell>
        </row>
        <row r="29">
          <cell r="H29">
            <v>8890836</v>
          </cell>
        </row>
        <row r="30">
          <cell r="H30">
            <v>6802116</v>
          </cell>
        </row>
        <row r="31">
          <cell r="H31">
            <v>7315918</v>
          </cell>
        </row>
        <row r="32">
          <cell r="H32">
            <v>4125494</v>
          </cell>
        </row>
        <row r="33">
          <cell r="H33">
            <v>5185892</v>
          </cell>
        </row>
        <row r="34">
          <cell r="H34">
            <v>204328</v>
          </cell>
        </row>
        <row r="35">
          <cell r="H35">
            <v>204328</v>
          </cell>
        </row>
        <row r="36">
          <cell r="H36">
            <v>1080208.57</v>
          </cell>
        </row>
        <row r="37">
          <cell r="H37">
            <v>4586535</v>
          </cell>
        </row>
        <row r="38">
          <cell r="H38">
            <v>97372.42</v>
          </cell>
        </row>
        <row r="39">
          <cell r="H39">
            <v>383672</v>
          </cell>
        </row>
        <row r="40">
          <cell r="H40">
            <v>154000</v>
          </cell>
        </row>
        <row r="41">
          <cell r="H41">
            <v>0.34</v>
          </cell>
        </row>
        <row r="42">
          <cell r="H42">
            <v>-10351439</v>
          </cell>
        </row>
        <row r="43">
          <cell r="H43">
            <v>825867</v>
          </cell>
        </row>
        <row r="44">
          <cell r="H44">
            <v>-50500000</v>
          </cell>
        </row>
        <row r="45">
          <cell r="H45">
            <v>-14600000</v>
          </cell>
        </row>
      </sheetData>
      <sheetData sheetId="14"/>
      <sheetData sheetId="15">
        <row r="3">
          <cell r="B3" t="str">
            <v>Conference</v>
          </cell>
        </row>
        <row r="4">
          <cell r="B4" t="str">
            <v>Conveyance</v>
          </cell>
        </row>
        <row r="5">
          <cell r="B5" t="str">
            <v>Employee Welfare</v>
          </cell>
        </row>
        <row r="6">
          <cell r="B6" t="str">
            <v>Entertainment</v>
          </cell>
        </row>
        <row r="7">
          <cell r="B7" t="str">
            <v>Gifts</v>
          </cell>
        </row>
        <row r="8">
          <cell r="B8" t="str">
            <v>Hotel, Boarding &amp; Lodging</v>
          </cell>
        </row>
        <row r="9">
          <cell r="B9" t="str">
            <v>Maintenance of accomodation in the nature of guest house</v>
          </cell>
        </row>
        <row r="10">
          <cell r="B10" t="str">
            <v>Not Applicable</v>
          </cell>
        </row>
        <row r="11">
          <cell r="B11" t="str">
            <v>Repair, Running and Maintenance of Motor Car</v>
          </cell>
        </row>
        <row r="12">
          <cell r="B12" t="str">
            <v>Sales Promotion (including publicity)</v>
          </cell>
        </row>
        <row r="13">
          <cell r="B13" t="str">
            <v>Tour, travel &amp; Foreign Travel</v>
          </cell>
        </row>
        <row r="14">
          <cell r="B14" t="str">
            <v>Use of Club facilities</v>
          </cell>
        </row>
        <row r="15">
          <cell r="B15" t="str">
            <v>Use of telephone</v>
          </cell>
        </row>
      </sheetData>
      <sheetData sheetId="16"/>
      <sheetData sheetId="17" refreshError="1"/>
      <sheetData sheetId="18" refreshError="1"/>
      <sheetData sheetId="19">
        <row r="2">
          <cell r="D2">
            <v>2090</v>
          </cell>
        </row>
      </sheetData>
      <sheetData sheetId="20">
        <row r="2">
          <cell r="D2">
            <v>2090</v>
          </cell>
        </row>
      </sheetData>
      <sheetData sheetId="21">
        <row r="2">
          <cell r="D2">
            <v>2090</v>
          </cell>
        </row>
      </sheetData>
      <sheetData sheetId="22">
        <row r="2">
          <cell r="D2">
            <v>2090</v>
          </cell>
        </row>
      </sheetData>
      <sheetData sheetId="23">
        <row r="2">
          <cell r="D2">
            <v>2090</v>
          </cell>
        </row>
      </sheetData>
      <sheetData sheetId="24">
        <row r="2">
          <cell r="D2">
            <v>2090</v>
          </cell>
        </row>
      </sheetData>
      <sheetData sheetId="25">
        <row r="2">
          <cell r="D2">
            <v>2090</v>
          </cell>
        </row>
      </sheetData>
      <sheetData sheetId="26">
        <row r="2">
          <cell r="D2">
            <v>2090</v>
          </cell>
        </row>
      </sheetData>
      <sheetData sheetId="27">
        <row r="2">
          <cell r="D2">
            <v>2090</v>
          </cell>
        </row>
      </sheetData>
      <sheetData sheetId="28">
        <row r="2">
          <cell r="D2">
            <v>2090</v>
          </cell>
        </row>
      </sheetData>
      <sheetData sheetId="29">
        <row r="2">
          <cell r="D2">
            <v>2090</v>
          </cell>
        </row>
      </sheetData>
      <sheetData sheetId="30">
        <row r="2">
          <cell r="D2">
            <v>2090</v>
          </cell>
        </row>
      </sheetData>
      <sheetData sheetId="31">
        <row r="2">
          <cell r="D2">
            <v>2090</v>
          </cell>
        </row>
      </sheetData>
      <sheetData sheetId="32">
        <row r="2">
          <cell r="D2">
            <v>2090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sheetName val="Sheet1"/>
      <sheetName val="Original (4)"/>
      <sheetName val="Original (3)"/>
      <sheetName val="Original (2)"/>
      <sheetName val="Original"/>
      <sheetName val="Advance"/>
    </sheetNames>
    <sheetDataSet>
      <sheetData sheetId="0"/>
      <sheetData sheetId="1"/>
      <sheetData sheetId="2"/>
      <sheetData sheetId="3"/>
      <sheetData sheetId="4"/>
      <sheetData sheetId="5"/>
      <sheetData sheetId="6"/>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Sensitivity"/>
      <sheetName val="Valuation"/>
      <sheetName val="Capitalization"/>
      <sheetName val="Key Statistics"/>
      <sheetName val="OpStmt"/>
      <sheetName val="OpStmt-M"/>
      <sheetName val="Returns"/>
      <sheetName val="Returns-M"/>
      <sheetName val="Returns-Q"/>
      <sheetName val="Partner Promote"/>
      <sheetName val="A-General"/>
      <sheetName val="A-Global"/>
      <sheetName val="A-Debt"/>
      <sheetName val="Debt"/>
      <sheetName val="A-Tax"/>
      <sheetName val="Tax"/>
      <sheetName val="A-Rentroll"/>
      <sheetName val="A-Tenancies"/>
      <sheetName val="A-LeasingTerm"/>
      <sheetName val="PrintManagerCode"/>
      <sheetName val="A-CurrMktRent"/>
      <sheetName val="A-Growth"/>
      <sheetName val="A-StepUps"/>
      <sheetName val="A-SpecificRent"/>
      <sheetName val="A-MinVac"/>
      <sheetName val="A-Expenses"/>
      <sheetName val="A-Other"/>
      <sheetName val="A-Disposition"/>
      <sheetName val="MktRent"/>
      <sheetName val="ReportManagerCode"/>
      <sheetName val="Occ"/>
      <sheetName val="Rent"/>
      <sheetName val="Renewal"/>
      <sheetName val="LeaseStatus"/>
      <sheetName val="Disposition"/>
      <sheetName val="StepUps"/>
      <sheetName val="Fund &amp; Investor Summary"/>
      <sheetName val="Investment Summary"/>
      <sheetName val="Class A"/>
      <sheetName val="Class B"/>
      <sheetName val="Macro"/>
      <sheetName val="A_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 Summary"/>
      <sheetName val="Tranching"/>
      <sheetName val="Available Cashflows"/>
      <sheetName val="Input"/>
      <sheetName val="Cap Cost"/>
      <sheetName val="MoF"/>
      <sheetName val="Traffic-Toll-Revenue"/>
      <sheetName val="O&amp;M &amp; MM"/>
      <sheetName val="Loans"/>
      <sheetName val="Dep"/>
      <sheetName val="Tax"/>
      <sheetName val="P&amp;L"/>
      <sheetName val="FF"/>
      <sheetName val="BS"/>
      <sheetName val="Ratios"/>
      <sheetName val="Dividends"/>
      <sheetName val="IRR"/>
      <sheetName val="Sensitivities"/>
      <sheetName val="Module1"/>
      <sheetName val="Module2"/>
      <sheetName val="Module3"/>
    </sheetNames>
    <sheetDataSet>
      <sheetData sheetId="0"/>
      <sheetData sheetId="1"/>
      <sheetData sheetId="2"/>
      <sheetData sheetId="3" refreshError="1"/>
      <sheetData sheetId="4" refreshError="1"/>
      <sheetData sheetId="5" refreshError="1"/>
      <sheetData sheetId="6" refreshError="1"/>
      <sheetData sheetId="7"/>
      <sheetData sheetId="8"/>
      <sheetData sheetId="9" refreshError="1"/>
      <sheetData sheetId="10"/>
      <sheetData sheetId="11"/>
      <sheetData sheetId="12" refreshError="1"/>
      <sheetData sheetId="13" refreshError="1"/>
      <sheetData sheetId="14" refreshError="1"/>
      <sheetData sheetId="15"/>
      <sheetData sheetId="16"/>
      <sheetData sheetId="17"/>
      <sheetData sheetId="18" refreshError="1"/>
      <sheetData sheetId="19" refreshError="1"/>
      <sheetData sheetId="2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Index"/>
      <sheetName val="Historical Data"/>
      <sheetName val="Results"/>
      <sheetName val="Forecast Drivers"/>
      <sheetName val="Valuation Summary"/>
      <sheetName val="Operating Lease"/>
      <sheetName val="Beta_Calculation"/>
      <sheetName val="Risk_Free_Rate"/>
      <sheetName val="WACC"/>
      <sheetName val="Non Operating Income"/>
      <sheetName val="Scenario_Analysis"/>
      <sheetName val="Sensitivity_Atrisk"/>
      <sheetName val="Tornado_and_Spider_Chart"/>
      <sheetName val="Phase_2"/>
      <sheetName val="Fundamental multiples"/>
      <sheetName val="Notes on comparables"/>
      <sheetName val="Comparables from same industry"/>
      <sheetName val="Analysis of Multiples"/>
      <sheetName val="Implied Growth"/>
      <sheetName val="Optimal Capital Structure"/>
      <sheetName val="RVG"/>
      <sheetName val="Mckinsey_Pentagon"/>
    </sheetNames>
    <sheetDataSet>
      <sheetData sheetId="0"/>
      <sheetData sheetId="1"/>
      <sheetData sheetId="2"/>
      <sheetData sheetId="3">
        <row r="145">
          <cell r="AD145">
            <v>3013.5467328497193</v>
          </cell>
        </row>
      </sheetData>
      <sheetData sheetId="4">
        <row r="131">
          <cell r="E131">
            <v>0</v>
          </cell>
          <cell r="F131">
            <v>0</v>
          </cell>
          <cell r="G131">
            <v>0</v>
          </cell>
          <cell r="H131">
            <v>0.91813708402648286</v>
          </cell>
          <cell r="I131">
            <v>5.1128982463297961</v>
          </cell>
          <cell r="J131">
            <v>8.260077966882367</v>
          </cell>
          <cell r="K131">
            <v>8.0619394298395139</v>
          </cell>
          <cell r="L131">
            <v>7.8329579207746862</v>
          </cell>
          <cell r="M131">
            <v>6.9181626687791997</v>
          </cell>
          <cell r="N131">
            <v>7.0442973004581413</v>
          </cell>
          <cell r="O131">
            <v>7.3173148163308932</v>
          </cell>
          <cell r="P131">
            <v>7.1025443377642539</v>
          </cell>
          <cell r="Q131">
            <v>7.1895597132737725</v>
          </cell>
          <cell r="R131">
            <v>7.2059485893177548</v>
          </cell>
          <cell r="S131">
            <v>7.1663118175274567</v>
          </cell>
        </row>
      </sheetData>
      <sheetData sheetId="5">
        <row r="7">
          <cell r="M7">
            <v>915.10270000000003</v>
          </cell>
        </row>
      </sheetData>
      <sheetData sheetId="6"/>
      <sheetData sheetId="7"/>
      <sheetData sheetId="8"/>
      <sheetData sheetId="9">
        <row r="65">
          <cell r="C65">
            <v>0.15909999999999999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HDFC-278"/>
      <sheetName val="IOB-891"/>
      <sheetName val="PNB-117"/>
      <sheetName val="PNB-493"/>
      <sheetName val="SBI"/>
    </sheetNames>
    <sheetDataSet>
      <sheetData sheetId="0" refreshError="1"/>
      <sheetData sheetId="1">
        <row r="25">
          <cell r="E25">
            <v>188239.98</v>
          </cell>
        </row>
      </sheetData>
      <sheetData sheetId="2">
        <row r="127">
          <cell r="F127">
            <v>52170.470000001602</v>
          </cell>
        </row>
      </sheetData>
      <sheetData sheetId="3">
        <row r="24">
          <cell r="E24">
            <v>28630.5</v>
          </cell>
        </row>
      </sheetData>
      <sheetData sheetId="4">
        <row r="36">
          <cell r="E36">
            <v>40000.5</v>
          </cell>
        </row>
      </sheetData>
      <sheetData sheetId="5">
        <row r="29">
          <cell r="E29">
            <v>382476</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heet1"/>
      <sheetName val="E - Schedule"/>
      <sheetName val="Form A"/>
      <sheetName val="bs group"/>
      <sheetName val="p&amp;l group"/>
      <sheetName val="Sheet2"/>
      <sheetName val="TRIAL"/>
      <sheetName val="Post Trial Entries"/>
      <sheetName val="p&amp;l group 2007-2008"/>
      <sheetName val="bs group 2007-2008"/>
      <sheetName val="ANNX -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minder"/>
      <sheetName val="Inputs"/>
      <sheetName val="Repayment"/>
      <sheetName val="Debt Sch."/>
      <sheetName val="PC &amp; MOF"/>
      <sheetName val="Workings"/>
      <sheetName val="WC Sch."/>
      <sheetName val="Repay eith wo VGF"/>
      <sheetName val="Dep. Sch."/>
      <sheetName val="Tax Sch."/>
      <sheetName val="Statement"/>
      <sheetName val="SBI - PFSBU - P90"/>
      <sheetName val="Senstivity"/>
      <sheetName val="VGF impact"/>
      <sheetName val="SBI - PFSBU - P75"/>
      <sheetName val="SBI_Additional Info"/>
      <sheetName val="SBI_CMA_P&amp;L"/>
      <sheetName val="SBI_CMA_BS"/>
    </sheetNames>
    <sheetDataSet>
      <sheetData sheetId="0" refreshError="1"/>
      <sheetData sheetId="1">
        <row r="8">
          <cell r="H8">
            <v>1.3944372499703384</v>
          </cell>
        </row>
        <row r="68">
          <cell r="D68">
            <v>1623.9012786513763</v>
          </cell>
        </row>
      </sheetData>
      <sheetData sheetId="2" refreshError="1"/>
      <sheetData sheetId="3" refreshError="1"/>
      <sheetData sheetId="4">
        <row r="77">
          <cell r="C77">
            <v>1.0180556177186162E-5</v>
          </cell>
        </row>
      </sheetData>
      <sheetData sheetId="5">
        <row r="7">
          <cell r="E7">
            <v>0</v>
          </cell>
        </row>
      </sheetData>
      <sheetData sheetId="6" refreshError="1"/>
      <sheetData sheetId="7" refreshError="1"/>
      <sheetData sheetId="8">
        <row r="38">
          <cell r="E38">
            <v>0</v>
          </cell>
        </row>
      </sheetData>
      <sheetData sheetId="9" refreshError="1"/>
      <sheetData sheetId="10">
        <row r="21">
          <cell r="E21">
            <v>0</v>
          </cell>
        </row>
      </sheetData>
      <sheetData sheetId="11">
        <row r="46">
          <cell r="A46">
            <v>1.6974266906044284</v>
          </cell>
        </row>
        <row r="47">
          <cell r="A47">
            <v>1.3</v>
          </cell>
        </row>
        <row r="52">
          <cell r="A52">
            <v>13.089297346564287</v>
          </cell>
        </row>
      </sheetData>
      <sheetData sheetId="12">
        <row r="6">
          <cell r="E6">
            <v>0</v>
          </cell>
          <cell r="F6">
            <v>5.6433408577878111E-2</v>
          </cell>
        </row>
        <row r="7">
          <cell r="E7">
            <v>0</v>
          </cell>
          <cell r="F7">
            <v>0.1</v>
          </cell>
        </row>
        <row r="8">
          <cell r="E8">
            <v>0</v>
          </cell>
          <cell r="F8">
            <v>0.1</v>
          </cell>
        </row>
        <row r="9">
          <cell r="E9">
            <v>0</v>
          </cell>
          <cell r="F9">
            <v>0.01</v>
          </cell>
        </row>
        <row r="17">
          <cell r="E17">
            <v>0</v>
          </cell>
        </row>
        <row r="19">
          <cell r="E19">
            <v>0</v>
          </cell>
        </row>
        <row r="20">
          <cell r="E20">
            <v>0</v>
          </cell>
        </row>
        <row r="21">
          <cell r="E21">
            <v>0</v>
          </cell>
        </row>
        <row r="22">
          <cell r="E22">
            <v>0</v>
          </cell>
        </row>
      </sheetData>
      <sheetData sheetId="13" refreshError="1"/>
      <sheetData sheetId="14" refreshError="1"/>
      <sheetData sheetId="15" refreshError="1"/>
      <sheetData sheetId="16" refreshError="1"/>
      <sheetData sheetId="1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2000-01"/>
    </sheetNames>
    <sheetDataSet>
      <sheetData sheetId="0">
        <row r="3">
          <cell r="B3">
            <v>7.8600000000000003E-2</v>
          </cell>
        </row>
        <row r="6">
          <cell r="B6">
            <v>0.06</v>
          </cell>
        </row>
        <row r="7">
          <cell r="B7">
            <v>0.06</v>
          </cell>
        </row>
        <row r="8">
          <cell r="B8">
            <v>0.06</v>
          </cell>
        </row>
        <row r="9">
          <cell r="B9">
            <v>0.06</v>
          </cell>
        </row>
        <row r="10">
          <cell r="B10">
            <v>0.05</v>
          </cell>
        </row>
        <row r="11">
          <cell r="B11">
            <v>0.12</v>
          </cell>
        </row>
        <row r="12">
          <cell r="B12">
            <v>0.12</v>
          </cell>
        </row>
        <row r="13">
          <cell r="B13">
            <v>1</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Ratios after Sensitivity"/>
      <sheetName val="Break even sales dec 10%"/>
      <sheetName val="Break even cost inc 5%"/>
      <sheetName val="Break even capex 5%"/>
      <sheetName val="Break even"/>
      <sheetName val="Highlights"/>
      <sheetName val="Monthwise FY 2015"/>
      <sheetName val="Stock"/>
      <sheetName val="Base Assumption"/>
      <sheetName val="Final Accounts"/>
      <sheetName val="Sheet1"/>
      <sheetName val="Loans-original"/>
      <sheetName val="Profitability Total"/>
      <sheetName val="Financials"/>
      <sheetName val="BS"/>
      <sheetName val="TNW"/>
      <sheetName val="SENSITIVITY ANALYSIS"/>
      <sheetName val="FACR"/>
      <sheetName val="Valid"/>
      <sheetName val="Loans updated"/>
      <sheetName val="Comparison"/>
      <sheetName val="Financial Summary"/>
      <sheetName val="unitwise--&gt;"/>
      <sheetName val="Calculation-R"/>
      <sheetName val="Profitability-R"/>
      <sheetName val="Calculation-B"/>
      <sheetName val="Profitability-B"/>
      <sheetName val="Calculation-Neem"/>
      <sheetName val="Profitability-Neem"/>
      <sheetName val="Calculation-Rishi"/>
      <sheetName val="Profitability- Rishi"/>
      <sheetName val="Calculation-P"/>
      <sheetName val="Profitability- P"/>
      <sheetName val="Calculation-Nashik Comb"/>
      <sheetName val="Profitability- Nashik comb"/>
      <sheetName val="Calculation-N"/>
      <sheetName val="Profitability- N"/>
      <sheetName val="Calculation-N (2)"/>
      <sheetName val="Profitability- N (2)"/>
      <sheetName val="Calculation -Naidupeta"/>
      <sheetName val="Profitability Naidupeta"/>
      <sheetName val="Profitability Mumbai"/>
      <sheetName val="Profitability  HO"/>
      <sheetName val="Investments"/>
      <sheetName val="7.0 Capex"/>
      <sheetName val="Fixed Assets"/>
      <sheetName val="I.T.Dep"/>
      <sheetName val="Reserves"/>
      <sheetName val="Working Capital"/>
      <sheetName val="Wcap Norms "/>
      <sheetName val="Computation"/>
      <sheetName val="Loans Old"/>
      <sheetName val="Loan cashflow 1"/>
      <sheetName val="Int 2"/>
      <sheetName val="Int cal"/>
      <sheetName val="Loan cashflow"/>
      <sheetName val="Financial Ratios"/>
      <sheetName val="Ratio Analysis"/>
      <sheetName val="Schedule 6"/>
      <sheetName val="Proposed Sch"/>
      <sheetName val="SBI"/>
      <sheetName val="HDFC"/>
      <sheetName val="EXIM"/>
      <sheetName val="HSBC"/>
      <sheetName val="AXIS"/>
      <sheetName val="STANC"/>
      <sheetName val="BOB"/>
      <sheetName val="DBS"/>
      <sheetName val="Aditya Birla"/>
      <sheetName val="L&amp;T"/>
      <sheetName val="LIC"/>
      <sheetName val="GIC"/>
      <sheetName val="Final Accounts &amp; Cash Flow- rev"/>
      <sheetName val="Sacrifice"/>
      <sheetName val="CDR Summary"/>
      <sheetName val="Cost of Scheme"/>
      <sheetName val="Equity"/>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an Jvmar06"/>
      <sheetName val="BS"/>
      <sheetName val="cashflow"/>
      <sheetName val="PL"/>
      <sheetName val="Schedules"/>
      <sheetName val="FA schedule"/>
      <sheetName val="Sch22"/>
      <sheetName val="Inv"/>
      <sheetName val="BS sub sh"/>
      <sheetName val="Invest. thousand"/>
      <sheetName val="Investments"/>
      <sheetName val="pubres"/>
      <sheetName val="Sheet1"/>
      <sheetName val="Income"/>
      <sheetName val="Exp"/>
      <sheetName val="Leave encashement"/>
      <sheetName val="TB APJ"/>
      <sheetName val="Variance"/>
      <sheetName val="vari-1"/>
      <sheetName val="TB WORLI"/>
      <sheetName val="deftax"/>
      <sheetName val="Quar ABNL"/>
      <sheetName val="it depr."/>
      <sheetName val="FASCHEDULE"/>
      <sheetName val="G SecST&amp;LT "/>
      <sheetName val="itcomp"/>
      <sheetName val="ratio 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7">
          <cell r="B67">
            <v>125873</v>
          </cell>
        </row>
        <row r="85">
          <cell r="B85">
            <v>53508</v>
          </cell>
        </row>
        <row r="97">
          <cell r="B97">
            <v>4803530</v>
          </cell>
        </row>
      </sheetData>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ssumptions"/>
      <sheetName val="BS Assum"/>
      <sheetName val="Revenue"/>
      <sheetName val="Cost1"/>
      <sheetName val="Sheet4"/>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sheetName val="Financials"/>
      <sheetName val="Anupam"/>
      <sheetName val="comp rev exp"/>
      <sheetName val="AnuPriyaCapex"/>
      <sheetName val="Excise on RM"/>
      <sheetName val="DATA"/>
      <sheetName val="debt schedule"/>
      <sheetName val="ecc_res"/>
      <sheetName val="HOUSE RENT DEPO."/>
      <sheetName val="Validations"/>
      <sheetName val="Do not delete"/>
      <sheetName val="Ledge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TB"/>
      <sheetName val="Sheet1"/>
      <sheetName val="entries to make"/>
      <sheetName val="Sheet4"/>
      <sheetName val="Sheet3"/>
      <sheetName val="Sheet2"/>
      <sheetName val="OSL-EXPENSES"/>
      <sheetName val="Sheet5"/>
      <sheetName val="31.03.08 BS"/>
      <sheetName val="master TB"/>
      <sheetName val="Sale entry"/>
      <sheetName val="FINAL TRIAL BALANCES"/>
      <sheetName val="GROUPING"/>
      <sheetName val="comparisons"/>
      <sheetName val="SAP 31ST ENTRIES"/>
      <sheetName val="31ST MARCH"/>
      <sheetName val="VENDOR"/>
      <sheetName val="to enter in SAP"/>
      <sheetName val="OTHER PAYABLES"/>
      <sheetName val="EMPLOYEE DESOSIT RECEIVED"/>
      <sheetName val="FA SCHEDULE"/>
      <sheetName val="CASH BALANCES"/>
      <sheetName val="BANK BALANCES"/>
      <sheetName val="AUC 0708"/>
      <sheetName val="OTHER RECEIVABLES"/>
      <sheetName val="DEPOSITS &amp; ADVANCES PA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ow r="338">
          <cell r="C338">
            <v>826500</v>
          </cell>
        </row>
        <row r="343">
          <cell r="C343">
            <v>7500000</v>
          </cell>
        </row>
        <row r="345">
          <cell r="C345">
            <v>8326500</v>
          </cell>
        </row>
      </sheetData>
      <sheetData sheetId="20" refreshError="1"/>
      <sheetData sheetId="21">
        <row r="82">
          <cell r="L82">
            <v>8034586.6399999997</v>
          </cell>
        </row>
      </sheetData>
      <sheetData sheetId="22">
        <row r="59">
          <cell r="J59">
            <v>13824420.39000001</v>
          </cell>
        </row>
      </sheetData>
      <sheetData sheetId="23" refreshError="1"/>
      <sheetData sheetId="24">
        <row r="18">
          <cell r="C18">
            <v>3926986.4899999993</v>
          </cell>
        </row>
      </sheetData>
      <sheetData sheetId="25">
        <row r="54">
          <cell r="E54">
            <v>8295083</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2)"/>
      <sheetName val="Index"/>
      <sheetName val="BalanceSheet"/>
      <sheetName val="Cash Flow Local"/>
      <sheetName val="CONSO P&amp;L REGION WISE"/>
      <sheetName val="CONSO P&amp;L"/>
      <sheetName val="Comparison with Budget"/>
      <sheetName val="Debtors Ageing Dec 02 M"/>
      <sheetName val="Debtors Summary - Mumbai"/>
      <sheetName val="Debtors Ageing Dec 02 (C)"/>
      <sheetName val="Debtors Summary- Chennai"/>
      <sheetName val="Debtors (Bang)"/>
      <sheetName val="Debtors Bang"/>
      <sheetName val="Debtors Ageing Conso "/>
      <sheetName val="Debtors Summary-Conso"/>
      <sheetName val="Key Performance 1"/>
      <sheetName val="Key Performance 2"/>
      <sheetName val="Key Performance 3"/>
      <sheetName val="CONSO"/>
      <sheetName val="CONSO - TRNSP"/>
      <sheetName val="MUMBAI P&amp;L"/>
      <sheetName val="MUMBAI"/>
      <sheetName val="MUMBAI - TRNSP"/>
      <sheetName val="BANDRA"/>
      <sheetName val="BANDRA - TRANSPORT"/>
      <sheetName val="MAHAPE"/>
      <sheetName val="MAHAPE - TRNSP"/>
      <sheetName val="KANDIVILI PLANT"/>
      <sheetName val="KANDIVILI TRANSPORT"/>
      <sheetName val="PUMP - MUM"/>
      <sheetName val="MU - Clab"/>
      <sheetName val="ADMIN 1 MUMBAI"/>
      <sheetName val="ADMIN 2 MUMBAI"/>
      <sheetName val="MUMBAI REGIONAL"/>
      <sheetName val="CHENNAI P&amp;L"/>
      <sheetName val="THIRU"/>
      <sheetName val="THIRU - TRNSP"/>
      <sheetName val="CHENNAI - PUMPING"/>
      <sheetName val="CH - CLAB"/>
      <sheetName val="KEERAPAKKAM QUARRY"/>
      <sheetName val="QUARRY STOCK"/>
      <sheetName val="CH - ADMIN1"/>
      <sheetName val="CH - ADMIN 2"/>
      <sheetName val="CH - REGIONAL"/>
      <sheetName val="BANGALORE P &amp; L"/>
      <sheetName val="BANGALORE PLANT"/>
      <sheetName val="BANGALORE TRANSPORT"/>
      <sheetName val="BANGALORE PUMPING"/>
      <sheetName val="BANGALORE LAB"/>
      <sheetName val="BANGALORE QUARRY"/>
      <sheetName val="BANG QUARRY PROD"/>
      <sheetName val="BANG QUARRY TRASNPORT"/>
      <sheetName val="BANGALORE ADMIN 1"/>
      <sheetName val="BANGALORE ADMIN 2"/>
      <sheetName val="BANGALORE REGIONAL"/>
      <sheetName val="MU ADMIN1"/>
      <sheetName val="MU ADMIN 2"/>
      <sheetName val="CORPORATE"/>
      <sheetName val="TALOJA"/>
      <sheetName val="INS MUM"/>
      <sheetName val="INS CHENNAI"/>
      <sheetName val="SALARY"/>
      <sheetName val="CHENNAI"/>
      <sheetName val="CHENNAI - QUARRY"/>
      <sheetName val="WORKINGS"/>
      <sheetName val="MUMBAI FAR"/>
      <sheetName val="CHENNAI FAR"/>
      <sheetName val="BANG F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minder"/>
      <sheetName val="Inputs"/>
      <sheetName val="PC &amp; MOF"/>
      <sheetName val="Workings"/>
      <sheetName val="WC Sch."/>
      <sheetName val="Debt Sch."/>
      <sheetName val="Dep. Sch."/>
      <sheetName val="Tax Sch."/>
      <sheetName val="Statement"/>
      <sheetName val="SBI_Additional Info"/>
      <sheetName val="VGF impact"/>
      <sheetName val="SBI_CMA_P&amp;L"/>
      <sheetName val="SBI_CMA_BS"/>
    </sheetNames>
    <sheetDataSet>
      <sheetData sheetId="0"/>
      <sheetData sheetId="1">
        <row r="133">
          <cell r="D133">
            <v>0.34608000000000005</v>
          </cell>
        </row>
      </sheetData>
      <sheetData sheetId="2">
        <row r="67">
          <cell r="C67">
            <v>5.820991026883604E-5</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EF"/>
      <sheetName val="Masters"/>
    </sheetNames>
    <sheetDataSet>
      <sheetData sheetId="0" refreshError="1"/>
      <sheetData sheetId="1" refreshError="1"/>
      <sheetData sheetId="2"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s"/>
      <sheetName val="tds"/>
      <sheetName val="43b"/>
      <sheetName val="depjc1&amp;2"/>
      <sheetName val="dep 99"/>
      <sheetName val="dep1&amp;2&amp;pla"/>
      <sheetName val="80IA"/>
      <sheetName val="80HHC"/>
      <sheetName val="80IA 2"/>
      <sheetName val="capgain"/>
      <sheetName val="ind"/>
    </sheetNames>
    <sheetDataSet>
      <sheetData sheetId="0"/>
      <sheetData sheetId="1"/>
      <sheetData sheetId="2"/>
      <sheetData sheetId="3" refreshError="1">
        <row r="28">
          <cell r="H28">
            <v>540967</v>
          </cell>
        </row>
        <row r="33">
          <cell r="H33">
            <v>2453</v>
          </cell>
        </row>
      </sheetData>
      <sheetData sheetId="4"/>
      <sheetData sheetId="5"/>
      <sheetData sheetId="6"/>
      <sheetData sheetId="7"/>
      <sheetData sheetId="8"/>
      <sheetData sheetId="9"/>
      <sheetData sheetId="10"/>
      <sheetData sheetId="1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Inv"/>
      <sheetName val="Cash"/>
      <sheetName val="IS"/>
      <sheetName val="Grand Total"/>
      <sheetName val="30300"/>
      <sheetName val="30310"/>
      <sheetName val="30312"/>
      <sheetName val="30315"/>
      <sheetName val="30220"/>
      <sheetName val="30410"/>
      <sheetName val="30540"/>
      <sheetName val="30610"/>
      <sheetName val="30710"/>
      <sheetName val="30720"/>
      <sheetName val="30810"/>
      <sheetName val="30820"/>
      <sheetName val="30900"/>
      <sheetName val="BS"/>
      <sheetName val="B-1"/>
      <sheetName val="Interco US"/>
      <sheetName val="ICO UK"/>
      <sheetName val="ICO France"/>
      <sheetName val="ICO Germany"/>
      <sheetName val="ICO Italy"/>
      <sheetName val="ICO Swiss"/>
      <sheetName val="ICO Austria"/>
      <sheetName val="ICO Ireland"/>
      <sheetName val="ICO Spain"/>
      <sheetName val="Commission"/>
      <sheetName val="ESPP"/>
      <sheetName val="EXH E-1"/>
      <sheetName val="Dividend (Annex19)-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mulator Detail"/>
    </sheetNames>
    <sheetDataSet>
      <sheetData sheetId="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Sheet1"/>
      <sheetName val="HLY_-99-00"/>
      <sheetName val="Hydro_Data"/>
      <sheetName val="dpc_cost"/>
      <sheetName val="Plant_Availability"/>
      <sheetName val="Bombaybazar(Remark)"/>
      <sheetName val="Discom Details"/>
      <sheetName val="A 3.7"/>
      <sheetName val="C.S.GENERATION"/>
      <sheetName val="Sch-3"/>
      <sheetName val="Assumptions"/>
      <sheetName val="04rel"/>
      <sheetName val="HLY_-99-002"/>
      <sheetName val="Hydro_Data2"/>
      <sheetName val="dpc_cost2"/>
      <sheetName val="Plant_Availability2"/>
      <sheetName val="HLY_-99-001"/>
      <sheetName val="Hydro_Data1"/>
      <sheetName val="dpc_cost1"/>
      <sheetName val="Plant_Availability1"/>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1">
          <cell r="D1">
            <v>0</v>
          </cell>
        </row>
      </sheetData>
      <sheetData sheetId="35">
        <row r="1">
          <cell r="D1">
            <v>0</v>
          </cell>
        </row>
      </sheetData>
      <sheetData sheetId="36" refreshError="1"/>
      <sheetData sheetId="37" refreshError="1"/>
      <sheetData sheetId="38" refreshError="1"/>
      <sheetData sheetId="39" refreshError="1"/>
      <sheetData sheetId="4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H (2)"/>
      <sheetName val="location"/>
      <sheetName val="EX H"/>
      <sheetName val="145Asales tax [ignore]"/>
      <sheetName val="EX A 145A final"/>
      <sheetName val="EX A 145A DEVIATION"/>
      <sheetName val="DEPN"/>
      <sheetName val="wdvTRF"/>
      <sheetName val="Capex"/>
      <sheetName val="Capex (2)"/>
      <sheetName val="EX B esic"/>
      <sheetName val="Exhibit C"/>
      <sheetName val="clubs details"/>
      <sheetName val="EXd"/>
      <sheetName val="EX E"/>
      <sheetName val="EX F1 summ"/>
      <sheetName val="43B"/>
      <sheetName val="EX F1"/>
      <sheetName val="EX F2ESIC"/>
      <sheetName val="Exhibit D4"/>
      <sheetName val="Sheet1"/>
      <sheetName val="EX F2EPS"/>
      <sheetName val="EX F2others"/>
      <sheetName val="EXG (3)"/>
      <sheetName val="EX E MODVAT"/>
      <sheetName val="EXG"/>
      <sheetName val="depo"/>
      <sheetName val="EX j"/>
      <sheetName val="192"/>
      <sheetName val="193"/>
      <sheetName val="194A"/>
      <sheetName val="194C"/>
      <sheetName val="194 I"/>
      <sheetName val="194 J"/>
      <sheetName val="Rm"/>
      <sheetName val="ratio"/>
      <sheetName val="RATIOS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M checkbook"/>
      <sheetName val="#REF"/>
      <sheetName val="FINAL"/>
    </sheetNames>
    <sheetDataSet>
      <sheetData sheetId="0" refreshError="1"/>
      <sheetData sheetId="1" refreshError="1"/>
      <sheetData sheetId="2"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ice"/>
      <sheetName val="Core Assumptions"/>
      <sheetName val="Scenarios"/>
      <sheetName val="Charts"/>
      <sheetName val="MAnalytic"/>
      <sheetName val="Rating Analytics -Draft"/>
      <sheetName val="Tariff_ATL"/>
      <sheetName val="Financial_ATL"/>
      <sheetName val="MoF_ATL"/>
      <sheetName val="ATL"/>
      <sheetName val="Mundra-Mohindergarh"/>
      <sheetName val="Tariff_M2M"/>
      <sheetName val="Financials_M2M"/>
      <sheetName val="MoF_M2M"/>
      <sheetName val="Analysis_M2M"/>
      <sheetName val="Mundra-Dahegam"/>
      <sheetName val="Tariff_M2D"/>
      <sheetName val="Financials_M2D"/>
      <sheetName val="MoF_M2D"/>
      <sheetName val="Tiroda-Warora"/>
      <sheetName val="Tariff_T2W"/>
      <sheetName val="Financials_T2W"/>
      <sheetName val="MoF_T2W"/>
      <sheetName val="Tiroda-Aurangabad"/>
      <sheetName val="Tariff_T2A"/>
      <sheetName val="Financials_T2A"/>
      <sheetName val="MoF_T2A"/>
      <sheetName val="Tariff_CWR"/>
      <sheetName val="C_WR"/>
      <sheetName val="Tariff_RRW"/>
      <sheetName val="RR_W"/>
      <sheetName val="Tariff_SBR"/>
      <sheetName val="S_BR"/>
      <sheetName val="ATL-Standalone"/>
      <sheetName val="ATIL Financial"/>
      <sheetName val="MEGPTCL Financial"/>
      <sheetName val="Recon Statement"/>
      <sheetName val="Misc"/>
    </sheetNames>
    <sheetDataSet>
      <sheetData sheetId="0" refreshError="1"/>
      <sheetData sheetId="1">
        <row r="48">
          <cell r="F48">
            <v>0.08</v>
          </cell>
        </row>
        <row r="246">
          <cell r="D246">
            <v>4</v>
          </cell>
        </row>
        <row r="247">
          <cell r="C247">
            <v>275.48500000000001</v>
          </cell>
        </row>
      </sheetData>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sheetData sheetId="18" refreshError="1"/>
      <sheetData sheetId="19" refreshError="1"/>
      <sheetData sheetId="20" refreshError="1"/>
      <sheetData sheetId="21"/>
      <sheetData sheetId="22" refreshError="1"/>
      <sheetData sheetId="23" refreshError="1"/>
      <sheetData sheetId="24" refreshError="1"/>
      <sheetData sheetId="25"/>
      <sheetData sheetId="26" refreshError="1"/>
      <sheetData sheetId="27" refreshError="1"/>
      <sheetData sheetId="28"/>
      <sheetData sheetId="29" refreshError="1"/>
      <sheetData sheetId="30"/>
      <sheetData sheetId="31" refreshError="1"/>
      <sheetData sheetId="32"/>
      <sheetData sheetId="33"/>
      <sheetData sheetId="34"/>
      <sheetData sheetId="35"/>
      <sheetData sheetId="36" refreshError="1"/>
      <sheetData sheetId="3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use 12 (b)"/>
      <sheetName val="Excise on RM"/>
      <sheetName val="Summary"/>
      <sheetName val="Rollup"/>
    </sheetNames>
    <sheetDataSet>
      <sheetData sheetId="0"/>
      <sheetData sheetId="1"/>
      <sheetData sheetId="2" refreshError="1"/>
      <sheetData sheetId="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local"/>
      <sheetName val="Factor- cables"/>
      <sheetName val="ACC_DATABASE"/>
      <sheetName val="Factor -Imports (FCA Prices)"/>
      <sheetName val="PRICE_DATABASE"/>
      <sheetName val="Price_list"/>
      <sheetName val="1E1-TOTAL"/>
      <sheetName val="2E1-TOTAL"/>
      <sheetName val="4E1-TOTAL"/>
      <sheetName val="E1+FE-TOTAL"/>
      <sheetName val="2E1+FE-TOTAL"/>
      <sheetName val="24POTS+FE-TOTAL"/>
      <sheetName val="Interface_Cards"/>
      <sheetName val="Planning_Tool"/>
      <sheetName val="TOTAL_28MHz"/>
      <sheetName val="TOTAL_14MHz"/>
      <sheetName val="Summary"/>
      <sheetName val="2E1+FE-TOTAL_WA3K"/>
      <sheetName val="Factor _local"/>
      <sheetName val="Factor_ cables"/>
      <sheetName val="Factor_-local"/>
      <sheetName val="Factor-_cables"/>
      <sheetName val="Factor_-Imports_(FCA_Prices)"/>
      <sheetName val="Factor__local"/>
      <sheetName val="Factor__cables"/>
      <sheetName val="Factor_-local1"/>
      <sheetName val="Factor-_cables1"/>
      <sheetName val="Factor_-Imports_(FCA_Prices)1"/>
      <sheetName val="Factor__local1"/>
      <sheetName val="Factor__cables1"/>
      <sheetName val="Factor_-local2"/>
      <sheetName val="Factor-_cables2"/>
      <sheetName val="Factor_-Imports_(FCA_Prices)2"/>
      <sheetName val="Factor__local2"/>
      <sheetName val="Factor__cables2"/>
      <sheetName val="Recon"/>
      <sheetName val="INFO"/>
      <sheetName val="NOTES "/>
      <sheetName val="Project ODC_NDEU"/>
      <sheetName val="Quantity"/>
      <sheetName val="CTDZ6kv (gd1) "/>
      <sheetName val="CTDZ 0.4+cto (GD1)"/>
      <sheetName val="CTTBA (gd1)"/>
      <sheetName val="JUN-FG-DIR"/>
      <sheetName val="Bank Rev"/>
      <sheetName val="SCB - Annexure A"/>
      <sheetName val="OT400"/>
      <sheetName val="Lead Sheet"/>
      <sheetName val="PanhandleB"/>
      <sheetName val="Inputs "/>
      <sheetName val="Factor_-local3"/>
      <sheetName val="Factor-_cables3"/>
      <sheetName val="Factor_-Imports_(FCA_Prices)3"/>
      <sheetName val="Inputs_"/>
      <sheetName val="Equipment"/>
      <sheetName val="Assumptions"/>
      <sheetName val="Factor_-local6"/>
      <sheetName val="Factor-_cables6"/>
      <sheetName val="Factor_-Imports_(FCA_Prices)5"/>
      <sheetName val="Inputs_2"/>
      <sheetName val="Project_ODC_NDEU1"/>
      <sheetName val="CTDZ6kv_(gd1)_1"/>
      <sheetName val="CTDZ_0_4+cto_(GD1)1"/>
      <sheetName val="CTTBA_(gd1)1"/>
      <sheetName val="Factor-_cables4"/>
      <sheetName val="Factor_-local4"/>
      <sheetName val="Factor_-local5"/>
      <sheetName val="Factor-_cables5"/>
      <sheetName val="Factor_-Imports_(FCA_Prices)4"/>
      <sheetName val="Inputs_1"/>
      <sheetName val="Project_ODC_NDEU"/>
      <sheetName val="CTDZ6kv_(gd1)_"/>
      <sheetName val="CTDZ_0_4+cto_(GD1)"/>
      <sheetName val="CTTBA_(gd1)"/>
      <sheetName val="List"/>
      <sheetName val="REINF."/>
      <sheetName val="LOADS"/>
      <sheetName val="P1"/>
      <sheetName val="O2"/>
      <sheetName val="P_Par"/>
      <sheetName val="Index (MF)"/>
      <sheetName val="Rev"/>
      <sheetName val="factors"/>
      <sheetName val="Basis"/>
      <sheetName val="capex"/>
      <sheetName val="Factor__local3"/>
      <sheetName val="Factor__cables3"/>
      <sheetName val="Index_(MF)"/>
      <sheetName val="Factor__local4"/>
      <sheetName val="Factor__cables4"/>
      <sheetName val="Index_(MF)1"/>
      <sheetName val="Factor__local5"/>
      <sheetName val="Factor__cables5"/>
      <sheetName val="Index_(MF)2"/>
      <sheetName val="Factor_-Imports_(FCA_Prices)6"/>
      <sheetName val="Factor__local6"/>
      <sheetName val="Factor__cables6"/>
      <sheetName val="Index_(MF)3"/>
      <sheetName val="Factor_-local7"/>
      <sheetName val="Factor-_cables7"/>
      <sheetName val="Factor_-Imports_(FCA_Prices)7"/>
      <sheetName val="Factor__local7"/>
      <sheetName val="Factor__cables7"/>
      <sheetName val="Index_(MF)4"/>
      <sheetName val="CRITERIA4"/>
      <sheetName val="Sheet2"/>
      <sheetName val="Factor_-local8"/>
      <sheetName val="Factor-_cables8"/>
      <sheetName val="Factor_-Imports_(FCA_Prices)8"/>
      <sheetName val="Factor__local8"/>
      <sheetName val="Factor__cables8"/>
      <sheetName val="Index_(MF)5"/>
      <sheetName val="Factor_-local9"/>
      <sheetName val="Factor-_cables9"/>
      <sheetName val="Factor_-Imports_(FCA_Prices)9"/>
      <sheetName val="Factor__local9"/>
      <sheetName val="Factor__cables9"/>
      <sheetName val="Index_(MF)6"/>
      <sheetName val="Factor_-local10"/>
      <sheetName val="Factor-_cables10"/>
      <sheetName val="Factor_-Imports_(FCA_Prices)10"/>
      <sheetName val="Factor__local10"/>
      <sheetName val="Factor__cables10"/>
      <sheetName val="Index_(MF)7"/>
      <sheetName val="Factor_-local11"/>
      <sheetName val="Factor-_cables11"/>
      <sheetName val="Factor_-Imports_(FCA_Prices)11"/>
      <sheetName val="Factor__local11"/>
      <sheetName val="Factor__cables11"/>
      <sheetName val="Index_(MF)8"/>
      <sheetName val="Factor_-local12"/>
      <sheetName val="Factor-_cables12"/>
      <sheetName val="Factor_-Imports_(FCA_Prices)12"/>
      <sheetName val="Factor__local12"/>
      <sheetName val="Factor__cables12"/>
      <sheetName val="Index_(MF)9"/>
      <sheetName val="BS Schdl- 1 &amp; 2"/>
      <sheetName val="Fixed Assets-Last year"/>
      <sheetName val="Notes"/>
      <sheetName val="TB"/>
      <sheetName val="BS"/>
      <sheetName val="Project_ODC_NDEU2"/>
      <sheetName val="CTDZ6kv_(gd1)_2"/>
      <sheetName val="CTDZ_0_4+cto_(GD1)2"/>
      <sheetName val="CTTBA_(gd1)2"/>
      <sheetName val="Bank_Rev"/>
      <sheetName val="SCB_-_Annexure_A"/>
      <sheetName val="Lead_Sheet"/>
      <sheetName val="Inputs_3"/>
      <sheetName val="NOTES_"/>
      <sheetName val="REINF_"/>
      <sheetName val="XLR_NoRangeSheet"/>
      <sheetName val="Codes"/>
      <sheetName val="Navigation Sheet"/>
      <sheetName val="Slate"/>
      <sheetName val="INPUT"/>
      <sheetName val="Final Prices"/>
      <sheetName val=" Back up Enc 3A"/>
      <sheetName val="Eqpmnt Plng"/>
      <sheetName val="Factor_sheet"/>
      <sheetName val="AN 2000"/>
      <sheetName val="Utilization"/>
      <sheetName val="BR"/>
      <sheetName val="database-NO"/>
      <sheetName val="Edge_Multiservice"/>
      <sheetName val="ISBSCF"/>
      <sheetName val="DCF"/>
    </sheetNames>
    <sheetDataSet>
      <sheetData sheetId="0" refreshError="1">
        <row r="55">
          <cell r="D55">
            <v>0.99958497613612796</v>
          </cell>
        </row>
      </sheetData>
      <sheetData sheetId="1" refreshError="1">
        <row r="29">
          <cell r="B29">
            <v>1.2222242514856079</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ow r="29">
          <cell r="B29">
            <v>1.2222242514856079</v>
          </cell>
        </row>
      </sheetData>
      <sheetData sheetId="21">
        <row r="29">
          <cell r="B29">
            <v>1.2222242514856079</v>
          </cell>
        </row>
      </sheetData>
      <sheetData sheetId="22">
        <row r="29">
          <cell r="B29">
            <v>1.2222242514856079</v>
          </cell>
        </row>
      </sheetData>
      <sheetData sheetId="23">
        <row r="29">
          <cell r="B29">
            <v>1.2222242514856079</v>
          </cell>
        </row>
      </sheetData>
      <sheetData sheetId="24">
        <row r="29">
          <cell r="B29">
            <v>1.2222242514856079</v>
          </cell>
        </row>
      </sheetData>
      <sheetData sheetId="25">
        <row r="29">
          <cell r="B29">
            <v>1.2222242514856079</v>
          </cell>
        </row>
      </sheetData>
      <sheetData sheetId="26">
        <row r="29">
          <cell r="B29">
            <v>1.2222242514856079</v>
          </cell>
        </row>
      </sheetData>
      <sheetData sheetId="27">
        <row r="29">
          <cell r="B29">
            <v>1.2222242514856079</v>
          </cell>
        </row>
      </sheetData>
      <sheetData sheetId="28">
        <row r="29">
          <cell r="B29">
            <v>1.2222242514856079</v>
          </cell>
        </row>
      </sheetData>
      <sheetData sheetId="29">
        <row r="29">
          <cell r="B29">
            <v>1.2222242514856079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9">
          <cell r="B29">
            <v>1.2222242514856079</v>
          </cell>
        </row>
      </sheetData>
      <sheetData sheetId="51">
        <row r="29">
          <cell r="B29">
            <v>1.2222242514856079</v>
          </cell>
        </row>
      </sheetData>
      <sheetData sheetId="52">
        <row r="29">
          <cell r="B29">
            <v>1.2222242514856079</v>
          </cell>
        </row>
      </sheetData>
      <sheetData sheetId="53">
        <row r="29">
          <cell r="B29">
            <v>1.2222242514856079</v>
          </cell>
        </row>
      </sheetData>
      <sheetData sheetId="54" refreshError="1"/>
      <sheetData sheetId="55" refreshError="1"/>
      <sheetData sheetId="56">
        <row r="29">
          <cell r="B29">
            <v>1.2222242514856079</v>
          </cell>
        </row>
      </sheetData>
      <sheetData sheetId="57">
        <row r="29">
          <cell r="B29">
            <v>1.2222242514856079</v>
          </cell>
        </row>
      </sheetData>
      <sheetData sheetId="58">
        <row r="29">
          <cell r="B29">
            <v>1.2222242514856079</v>
          </cell>
        </row>
      </sheetData>
      <sheetData sheetId="59">
        <row r="29">
          <cell r="B29">
            <v>1.2222242514856079</v>
          </cell>
        </row>
      </sheetData>
      <sheetData sheetId="60">
        <row r="29">
          <cell r="B29">
            <v>1.2222242514856079</v>
          </cell>
        </row>
      </sheetData>
      <sheetData sheetId="61">
        <row r="29">
          <cell r="B29">
            <v>1.2222242514856079</v>
          </cell>
        </row>
      </sheetData>
      <sheetData sheetId="62">
        <row r="29">
          <cell r="B29">
            <v>1.2222242514856079</v>
          </cell>
        </row>
      </sheetData>
      <sheetData sheetId="63">
        <row r="29">
          <cell r="B29">
            <v>1.2222242514856079</v>
          </cell>
        </row>
      </sheetData>
      <sheetData sheetId="64">
        <row r="29">
          <cell r="B29">
            <v>1.2222242514856079</v>
          </cell>
        </row>
      </sheetData>
      <sheetData sheetId="65">
        <row r="29">
          <cell r="B29">
            <v>1.2222242514856079</v>
          </cell>
        </row>
      </sheetData>
      <sheetData sheetId="66">
        <row r="29">
          <cell r="B29">
            <v>1.2222242514856079</v>
          </cell>
        </row>
      </sheetData>
      <sheetData sheetId="67">
        <row r="29">
          <cell r="B29">
            <v>1.2222242514856079</v>
          </cell>
        </row>
      </sheetData>
      <sheetData sheetId="68">
        <row r="29">
          <cell r="B29">
            <v>1.2222242514856079</v>
          </cell>
        </row>
      </sheetData>
      <sheetData sheetId="69">
        <row r="29">
          <cell r="B29">
            <v>1.2222242514856079</v>
          </cell>
        </row>
      </sheetData>
      <sheetData sheetId="70">
        <row r="29">
          <cell r="B29">
            <v>1.2222242514856079</v>
          </cell>
        </row>
      </sheetData>
      <sheetData sheetId="71">
        <row r="29">
          <cell r="B29">
            <v>1.2222242514856079</v>
          </cell>
        </row>
      </sheetData>
      <sheetData sheetId="72">
        <row r="29">
          <cell r="B29">
            <v>1.2222242514856079</v>
          </cell>
        </row>
      </sheetData>
      <sheetData sheetId="73">
        <row r="29">
          <cell r="B29">
            <v>1.2222242514856079</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ow r="29">
          <cell r="B29">
            <v>1.2222242514856079</v>
          </cell>
        </row>
      </sheetData>
      <sheetData sheetId="86">
        <row r="29">
          <cell r="B29">
            <v>1.2222242514856079</v>
          </cell>
        </row>
      </sheetData>
      <sheetData sheetId="87">
        <row r="29">
          <cell r="B29">
            <v>1.2222242514856079</v>
          </cell>
        </row>
      </sheetData>
      <sheetData sheetId="88">
        <row r="29">
          <cell r="B29">
            <v>1.2222242514856079</v>
          </cell>
        </row>
      </sheetData>
      <sheetData sheetId="89">
        <row r="29">
          <cell r="B29">
            <v>1.2222242514856079</v>
          </cell>
        </row>
      </sheetData>
      <sheetData sheetId="90">
        <row r="29">
          <cell r="B29">
            <v>1.2222242514856079</v>
          </cell>
        </row>
      </sheetData>
      <sheetData sheetId="91">
        <row r="29">
          <cell r="B29">
            <v>1.2222242514856079</v>
          </cell>
        </row>
      </sheetData>
      <sheetData sheetId="92">
        <row r="29">
          <cell r="B29">
            <v>1.2222242514856079</v>
          </cell>
        </row>
      </sheetData>
      <sheetData sheetId="93">
        <row r="29">
          <cell r="B29">
            <v>1.2222242514856079</v>
          </cell>
        </row>
      </sheetData>
      <sheetData sheetId="94">
        <row r="29">
          <cell r="B29">
            <v>1.2222242514856079</v>
          </cell>
        </row>
      </sheetData>
      <sheetData sheetId="95">
        <row r="29">
          <cell r="B29">
            <v>1.2222242514856079</v>
          </cell>
        </row>
      </sheetData>
      <sheetData sheetId="96">
        <row r="29">
          <cell r="B29">
            <v>1.2222242514856079</v>
          </cell>
        </row>
      </sheetData>
      <sheetData sheetId="97">
        <row r="29">
          <cell r="B29">
            <v>1.2222242514856079</v>
          </cell>
        </row>
      </sheetData>
      <sheetData sheetId="98">
        <row r="29">
          <cell r="B29">
            <v>1.2222242514856079</v>
          </cell>
        </row>
      </sheetData>
      <sheetData sheetId="99">
        <row r="29">
          <cell r="B29">
            <v>1.2222242514856079</v>
          </cell>
        </row>
      </sheetData>
      <sheetData sheetId="100">
        <row r="29">
          <cell r="B29">
            <v>1.2222242514856079</v>
          </cell>
        </row>
      </sheetData>
      <sheetData sheetId="101">
        <row r="29">
          <cell r="B29">
            <v>1.2222242514856079</v>
          </cell>
        </row>
      </sheetData>
      <sheetData sheetId="102">
        <row r="55">
          <cell r="D55">
            <v>0.99958497613612796</v>
          </cell>
        </row>
      </sheetData>
      <sheetData sheetId="103">
        <row r="29">
          <cell r="B29">
            <v>1.2222242514856079</v>
          </cell>
        </row>
      </sheetData>
      <sheetData sheetId="104" refreshError="1"/>
      <sheetData sheetId="105" refreshError="1"/>
      <sheetData sheetId="106">
        <row r="29">
          <cell r="B29">
            <v>1.2222242514856079</v>
          </cell>
        </row>
      </sheetData>
      <sheetData sheetId="107">
        <row r="29">
          <cell r="B29">
            <v>1.2222242514856079</v>
          </cell>
        </row>
      </sheetData>
      <sheetData sheetId="108">
        <row r="29">
          <cell r="B29">
            <v>1.2222242514856079</v>
          </cell>
        </row>
      </sheetData>
      <sheetData sheetId="109">
        <row r="55">
          <cell r="D55">
            <v>0.99958497613612796</v>
          </cell>
        </row>
      </sheetData>
      <sheetData sheetId="110">
        <row r="29">
          <cell r="B29">
            <v>1.2222242514856079</v>
          </cell>
        </row>
      </sheetData>
      <sheetData sheetId="111">
        <row r="29">
          <cell r="B29">
            <v>1.2222242514856079</v>
          </cell>
        </row>
      </sheetData>
      <sheetData sheetId="112">
        <row r="29">
          <cell r="B29">
            <v>1.2222242514856079</v>
          </cell>
        </row>
      </sheetData>
      <sheetData sheetId="113">
        <row r="29">
          <cell r="B29">
            <v>1.2222242514856079</v>
          </cell>
        </row>
      </sheetData>
      <sheetData sheetId="114">
        <row r="29">
          <cell r="B29">
            <v>1.2222242514856079</v>
          </cell>
        </row>
      </sheetData>
      <sheetData sheetId="115">
        <row r="55">
          <cell r="D55">
            <v>0.99958497613612796</v>
          </cell>
        </row>
      </sheetData>
      <sheetData sheetId="116">
        <row r="29">
          <cell r="B29">
            <v>1.2222242514856079</v>
          </cell>
        </row>
      </sheetData>
      <sheetData sheetId="117">
        <row r="29">
          <cell r="B29">
            <v>1.2222242514856079</v>
          </cell>
        </row>
      </sheetData>
      <sheetData sheetId="118">
        <row r="29">
          <cell r="B29">
            <v>1.2222242514856079</v>
          </cell>
        </row>
      </sheetData>
      <sheetData sheetId="119">
        <row r="29">
          <cell r="B29">
            <v>1.2222242514856079</v>
          </cell>
        </row>
      </sheetData>
      <sheetData sheetId="120">
        <row r="29">
          <cell r="B29">
            <v>1.2222242514856079</v>
          </cell>
        </row>
      </sheetData>
      <sheetData sheetId="121">
        <row r="55">
          <cell r="D55">
            <v>0.99958497613612796</v>
          </cell>
        </row>
      </sheetData>
      <sheetData sheetId="122">
        <row r="29">
          <cell r="B29">
            <v>1.2222242514856079</v>
          </cell>
        </row>
      </sheetData>
      <sheetData sheetId="123">
        <row r="29">
          <cell r="B29">
            <v>1.2222242514856079</v>
          </cell>
        </row>
      </sheetData>
      <sheetData sheetId="124">
        <row r="29">
          <cell r="B29">
            <v>1.2222242514856079</v>
          </cell>
        </row>
      </sheetData>
      <sheetData sheetId="125">
        <row r="29">
          <cell r="B29">
            <v>1.2222242514856079</v>
          </cell>
        </row>
      </sheetData>
      <sheetData sheetId="126"/>
      <sheetData sheetId="127">
        <row r="55">
          <cell r="D55">
            <v>0.99958497613612796</v>
          </cell>
        </row>
      </sheetData>
      <sheetData sheetId="128">
        <row r="29">
          <cell r="B29">
            <v>1.2222242514856079</v>
          </cell>
        </row>
      </sheetData>
      <sheetData sheetId="129">
        <row r="29">
          <cell r="B29">
            <v>1.2222242514856079</v>
          </cell>
        </row>
      </sheetData>
      <sheetData sheetId="130">
        <row r="29">
          <cell r="B29">
            <v>1.2222242514856079</v>
          </cell>
        </row>
      </sheetData>
      <sheetData sheetId="131">
        <row r="29">
          <cell r="B29">
            <v>1.2222242514856079</v>
          </cell>
        </row>
      </sheetData>
      <sheetData sheetId="132"/>
      <sheetData sheetId="133"/>
      <sheetData sheetId="134">
        <row r="55">
          <cell r="D55">
            <v>0.99958497613612796</v>
          </cell>
        </row>
      </sheetData>
      <sheetData sheetId="135">
        <row r="29">
          <cell r="B29">
            <v>1.2222242514856079</v>
          </cell>
        </row>
      </sheetData>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rialbal"/>
      <sheetName val="expcfd"/>
      <sheetName val="defentry"/>
      <sheetName val="taxfree"/>
      <sheetName val="roi"/>
      <sheetName val="depre"/>
    </sheetNames>
    <sheetDataSet>
      <sheetData sheetId="0"/>
      <sheetData sheetId="1">
        <row r="145">
          <cell r="B145">
            <v>1204916880.8</v>
          </cell>
        </row>
      </sheetData>
      <sheetData sheetId="2"/>
      <sheetData sheetId="3"/>
      <sheetData sheetId="4"/>
      <sheetData sheetId="5"/>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Done"/>
      <sheetName val="Pivot Table"/>
      <sheetName val="O&amp;M"/>
      <sheetName val="Toll"/>
      <sheetName val="PLL"/>
      <sheetName val="O&amp;M ledger"/>
      <sheetName val="Toll ledger"/>
      <sheetName val="O&amp;M Amtrl"/>
      <sheetName val="Debit Sample Data"/>
      <sheetName val="CMA_Calculations"/>
      <sheetName val="CMA_Selections"/>
      <sheetName val="Samples Selected"/>
      <sheetName val="XREF"/>
      <sheetName val="Tickmarks"/>
      <sheetName val="CMA_SampleDesign"/>
      <sheetName val="DialogInser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 analysis"/>
      <sheetName val="pubres"/>
      <sheetName val="BS"/>
      <sheetName val="PL"/>
      <sheetName val="Schedules"/>
      <sheetName val="Liab"/>
      <sheetName val="Assets"/>
      <sheetName val="Income"/>
      <sheetName val="Exp"/>
      <sheetName val="TB"/>
      <sheetName val="deftax"/>
      <sheetName val="wndeftax"/>
      <sheetName val="G SecST&amp;LT "/>
      <sheetName val="FA"/>
      <sheetName val="itcomp"/>
      <sheetName val="Recon"/>
      <sheetName val="BREAKUP"/>
    </sheetNames>
    <sheetDataSet>
      <sheetData sheetId="0"/>
      <sheetData sheetId="1"/>
      <sheetData sheetId="2"/>
      <sheetData sheetId="3"/>
      <sheetData sheetId="4"/>
      <sheetData sheetId="5"/>
      <sheetData sheetId="6"/>
      <sheetData sheetId="7"/>
      <sheetData sheetId="8"/>
      <sheetData sheetId="9">
        <row r="185">
          <cell r="B185">
            <v>2529</v>
          </cell>
        </row>
      </sheetData>
      <sheetData sheetId="10"/>
      <sheetData sheetId="11"/>
      <sheetData sheetId="12"/>
      <sheetData sheetId="13"/>
      <sheetData sheetId="14"/>
      <sheetData sheetId="15"/>
      <sheetData sheetId="16"/>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Factset"/>
      <sheetName val="Output- Power"/>
      <sheetName val="TM_CoCo Inputs"/>
      <sheetName val="TM_CoCo Input Sheet"/>
      <sheetName val="TM_DCF Input Sheet"/>
      <sheetName val="TM_CoCos Output Sheet"/>
      <sheetName val="TM_Valuation Summary"/>
      <sheetName val="TM_DCF"/>
    </sheetNames>
    <sheetDataSet>
      <sheetData sheetId="0"/>
      <sheetData sheetId="1">
        <row r="1">
          <cell r="A1">
            <v>1</v>
          </cell>
        </row>
        <row r="23">
          <cell r="IU23">
            <v>10</v>
          </cell>
        </row>
        <row r="24">
          <cell r="IU24">
            <v>0</v>
          </cell>
        </row>
        <row r="25">
          <cell r="IU25">
            <v>50</v>
          </cell>
        </row>
        <row r="26">
          <cell r="IU26">
            <v>0</v>
          </cell>
        </row>
        <row r="29">
          <cell r="IU29">
            <v>100</v>
          </cell>
        </row>
        <row r="30">
          <cell r="IU30">
            <v>0</v>
          </cell>
        </row>
      </sheetData>
      <sheetData sheetId="2">
        <row r="1">
          <cell r="B1">
            <v>2</v>
          </cell>
        </row>
      </sheetData>
      <sheetData sheetId="3"/>
      <sheetData sheetId="4"/>
      <sheetData sheetId="5"/>
      <sheetData sheetId="6"/>
      <sheetData sheetId="7"/>
      <sheetData sheetId="8"/>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HO"/>
      <sheetName val="MUMBAI"/>
      <sheetName val="NOIDA"/>
      <sheetName val="ASF"/>
      <sheetName val="CONTRACT"/>
      <sheetName val="SUMMARY"/>
      <sheetName val="Sheet1"/>
      <sheetName val="APPRISEL 2013"/>
    </sheetNames>
    <sheetDataSet>
      <sheetData sheetId="0">
        <row r="2">
          <cell r="C2">
            <v>1235</v>
          </cell>
          <cell r="D2" t="str">
            <v>AMIT TINDWANI</v>
          </cell>
        </row>
        <row r="3">
          <cell r="C3">
            <v>1236</v>
          </cell>
          <cell r="D3" t="str">
            <v>VIMALA NAIR</v>
          </cell>
        </row>
        <row r="4">
          <cell r="C4">
            <v>1237</v>
          </cell>
          <cell r="D4" t="str">
            <v>SACHIN AMBAVKAR</v>
          </cell>
        </row>
        <row r="5">
          <cell r="C5">
            <v>1238</v>
          </cell>
          <cell r="D5" t="str">
            <v>ANIL KUMAR PANDIT</v>
          </cell>
        </row>
        <row r="6">
          <cell r="C6">
            <v>1242</v>
          </cell>
          <cell r="D6" t="str">
            <v>NILESH SHAH</v>
          </cell>
        </row>
        <row r="7">
          <cell r="C7">
            <v>1243</v>
          </cell>
          <cell r="D7" t="str">
            <v>SUJIT JADHAV</v>
          </cell>
        </row>
        <row r="8">
          <cell r="C8">
            <v>1244</v>
          </cell>
          <cell r="D8" t="str">
            <v>CHANDRASHEKHAR DESHMUKH</v>
          </cell>
        </row>
        <row r="9">
          <cell r="C9">
            <v>1245</v>
          </cell>
          <cell r="D9" t="str">
            <v>ADITI ATHALYE</v>
          </cell>
        </row>
        <row r="10">
          <cell r="C10">
            <v>1246</v>
          </cell>
          <cell r="D10" t="str">
            <v>AMOL ANAND BHONDULE</v>
          </cell>
        </row>
        <row r="11">
          <cell r="C11">
            <v>1250</v>
          </cell>
          <cell r="D11" t="str">
            <v>SUBRAMANIAN SEKAR</v>
          </cell>
        </row>
        <row r="12">
          <cell r="C12">
            <v>1251</v>
          </cell>
          <cell r="D12" t="str">
            <v>KISHOR KENE</v>
          </cell>
        </row>
        <row r="13">
          <cell r="C13">
            <v>1253</v>
          </cell>
          <cell r="D13" t="str">
            <v>SARWAR FAIYZ KHAN</v>
          </cell>
        </row>
        <row r="14">
          <cell r="C14">
            <v>1254</v>
          </cell>
          <cell r="D14" t="str">
            <v>OM PRAKASH PRAJAPATI</v>
          </cell>
        </row>
        <row r="15">
          <cell r="C15">
            <v>1256</v>
          </cell>
          <cell r="D15" t="str">
            <v>SIDDESH BAGAWE</v>
          </cell>
        </row>
        <row r="16">
          <cell r="C16">
            <v>1257</v>
          </cell>
          <cell r="D16" t="str">
            <v>RAJASHREE TORASKAR</v>
          </cell>
        </row>
        <row r="17">
          <cell r="C17">
            <v>1258</v>
          </cell>
          <cell r="D17" t="str">
            <v>BHANODAYA VARANASI</v>
          </cell>
        </row>
        <row r="18">
          <cell r="C18">
            <v>1266</v>
          </cell>
          <cell r="D18" t="str">
            <v>SANDESH KOTHAVADE</v>
          </cell>
        </row>
        <row r="19">
          <cell r="C19">
            <v>1273</v>
          </cell>
          <cell r="D19" t="str">
            <v>RUSHANG SUTARIA</v>
          </cell>
        </row>
        <row r="20">
          <cell r="C20">
            <v>1260</v>
          </cell>
          <cell r="D20" t="str">
            <v>NARENDRA R RAUT</v>
          </cell>
        </row>
        <row r="21">
          <cell r="C21">
            <v>1261</v>
          </cell>
          <cell r="D21" t="str">
            <v>PRADYUMNA DESHPANDE</v>
          </cell>
        </row>
        <row r="22">
          <cell r="C22">
            <v>1262</v>
          </cell>
          <cell r="D22" t="str">
            <v>SAURABH GUPTA</v>
          </cell>
        </row>
        <row r="23">
          <cell r="C23">
            <v>1263</v>
          </cell>
          <cell r="D23" t="str">
            <v>MEENAKSHI RAINA</v>
          </cell>
        </row>
        <row r="24">
          <cell r="C24">
            <v>1264</v>
          </cell>
          <cell r="D24" t="str">
            <v>ARVIND POTDAR</v>
          </cell>
        </row>
        <row r="25">
          <cell r="C25">
            <v>1265</v>
          </cell>
          <cell r="D25" t="str">
            <v>GIRISH PATIL</v>
          </cell>
        </row>
        <row r="26">
          <cell r="C26">
            <v>1267</v>
          </cell>
          <cell r="D26" t="str">
            <v>SHYAM MANUJA</v>
          </cell>
        </row>
        <row r="27">
          <cell r="C27">
            <v>1268</v>
          </cell>
          <cell r="D27" t="str">
            <v>VINOD KUMAR VARMA</v>
          </cell>
        </row>
        <row r="28">
          <cell r="C28">
            <v>1269</v>
          </cell>
          <cell r="D28" t="str">
            <v>ATUL MATHUR</v>
          </cell>
        </row>
        <row r="29">
          <cell r="C29">
            <v>1270</v>
          </cell>
          <cell r="D29" t="str">
            <v>B. UMA SHANKAR</v>
          </cell>
        </row>
        <row r="30">
          <cell r="C30">
            <v>1271</v>
          </cell>
          <cell r="D30" t="str">
            <v>SUBRAT BEHERA</v>
          </cell>
        </row>
        <row r="31">
          <cell r="C31">
            <v>1272</v>
          </cell>
          <cell r="D31" t="str">
            <v>AKHILESHWAR SINGH</v>
          </cell>
        </row>
        <row r="32">
          <cell r="C32">
            <v>1274</v>
          </cell>
          <cell r="D32" t="str">
            <v>SATISH KANKANMELI</v>
          </cell>
        </row>
        <row r="33">
          <cell r="C33">
            <v>1275</v>
          </cell>
          <cell r="D33">
            <v>0</v>
          </cell>
        </row>
        <row r="34">
          <cell r="C34">
            <v>1276</v>
          </cell>
          <cell r="D34">
            <v>0</v>
          </cell>
        </row>
        <row r="35">
          <cell r="C35">
            <v>1277</v>
          </cell>
          <cell r="D35">
            <v>0</v>
          </cell>
        </row>
        <row r="36">
          <cell r="C36">
            <v>1278</v>
          </cell>
          <cell r="D36">
            <v>0</v>
          </cell>
        </row>
        <row r="37">
          <cell r="C37">
            <v>1279</v>
          </cell>
          <cell r="D37">
            <v>0</v>
          </cell>
        </row>
        <row r="38">
          <cell r="C38">
            <v>1280</v>
          </cell>
          <cell r="D38">
            <v>0</v>
          </cell>
        </row>
        <row r="39">
          <cell r="C39">
            <v>1281</v>
          </cell>
          <cell r="D39">
            <v>0</v>
          </cell>
        </row>
        <row r="40">
          <cell r="C40">
            <v>1282</v>
          </cell>
          <cell r="D40">
            <v>0</v>
          </cell>
        </row>
        <row r="41">
          <cell r="C41">
            <v>1283</v>
          </cell>
          <cell r="D41">
            <v>0</v>
          </cell>
        </row>
        <row r="42">
          <cell r="C42">
            <v>1284</v>
          </cell>
          <cell r="D42">
            <v>0</v>
          </cell>
        </row>
        <row r="43">
          <cell r="C43">
            <v>1285</v>
          </cell>
          <cell r="D43">
            <v>0</v>
          </cell>
        </row>
        <row r="44">
          <cell r="C44">
            <v>1286</v>
          </cell>
          <cell r="D44">
            <v>0</v>
          </cell>
        </row>
        <row r="45">
          <cell r="C45">
            <v>1287</v>
          </cell>
          <cell r="D45">
            <v>0</v>
          </cell>
        </row>
        <row r="46">
          <cell r="C46">
            <v>1288</v>
          </cell>
          <cell r="D46">
            <v>0</v>
          </cell>
        </row>
        <row r="47">
          <cell r="C47">
            <v>1289</v>
          </cell>
          <cell r="D47">
            <v>0</v>
          </cell>
        </row>
        <row r="48">
          <cell r="C48">
            <v>1290</v>
          </cell>
          <cell r="D48">
            <v>0</v>
          </cell>
        </row>
        <row r="49">
          <cell r="C49">
            <v>1291</v>
          </cell>
          <cell r="D49">
            <v>0</v>
          </cell>
        </row>
        <row r="50">
          <cell r="C50">
            <v>1292</v>
          </cell>
          <cell r="D50">
            <v>0</v>
          </cell>
        </row>
        <row r="51">
          <cell r="C51">
            <v>1293</v>
          </cell>
          <cell r="D51">
            <v>0</v>
          </cell>
        </row>
        <row r="52">
          <cell r="C52">
            <v>1294</v>
          </cell>
          <cell r="D52">
            <v>0</v>
          </cell>
        </row>
        <row r="53">
          <cell r="C53">
            <v>1295</v>
          </cell>
          <cell r="D53">
            <v>0</v>
          </cell>
        </row>
        <row r="54">
          <cell r="C54">
            <v>1296</v>
          </cell>
          <cell r="D54">
            <v>0</v>
          </cell>
        </row>
        <row r="55">
          <cell r="C55">
            <v>1297</v>
          </cell>
          <cell r="D55">
            <v>0</v>
          </cell>
        </row>
        <row r="56">
          <cell r="C56">
            <v>1298</v>
          </cell>
          <cell r="D56">
            <v>0</v>
          </cell>
        </row>
        <row r="57">
          <cell r="C57">
            <v>1299</v>
          </cell>
          <cell r="D57">
            <v>0</v>
          </cell>
        </row>
        <row r="58">
          <cell r="C58">
            <v>1300</v>
          </cell>
          <cell r="D58">
            <v>0</v>
          </cell>
        </row>
        <row r="59">
          <cell r="C59">
            <v>1301</v>
          </cell>
          <cell r="D59">
            <v>0</v>
          </cell>
        </row>
        <row r="60">
          <cell r="C60">
            <v>1302</v>
          </cell>
          <cell r="D60">
            <v>0</v>
          </cell>
        </row>
        <row r="61">
          <cell r="C61">
            <v>1303</v>
          </cell>
          <cell r="D61">
            <v>0</v>
          </cell>
        </row>
        <row r="62">
          <cell r="C62">
            <v>1304</v>
          </cell>
          <cell r="D62">
            <v>0</v>
          </cell>
        </row>
        <row r="63">
          <cell r="C63">
            <v>1305</v>
          </cell>
          <cell r="D63">
            <v>0</v>
          </cell>
        </row>
        <row r="64">
          <cell r="C64">
            <v>1306</v>
          </cell>
          <cell r="D64">
            <v>0</v>
          </cell>
        </row>
        <row r="65">
          <cell r="C65">
            <v>1307</v>
          </cell>
          <cell r="D65">
            <v>0</v>
          </cell>
        </row>
        <row r="66">
          <cell r="C66">
            <v>1308</v>
          </cell>
          <cell r="D66">
            <v>0</v>
          </cell>
        </row>
        <row r="67">
          <cell r="C67">
            <v>1309</v>
          </cell>
          <cell r="D67">
            <v>0</v>
          </cell>
        </row>
        <row r="68">
          <cell r="C68">
            <v>1310</v>
          </cell>
          <cell r="D68">
            <v>0</v>
          </cell>
        </row>
        <row r="69">
          <cell r="C69">
            <v>1311</v>
          </cell>
          <cell r="D69">
            <v>0</v>
          </cell>
        </row>
        <row r="70">
          <cell r="C70">
            <v>1312</v>
          </cell>
          <cell r="D70">
            <v>0</v>
          </cell>
        </row>
        <row r="71">
          <cell r="C71">
            <v>1313</v>
          </cell>
          <cell r="D71">
            <v>0</v>
          </cell>
        </row>
        <row r="72">
          <cell r="C72">
            <v>1314</v>
          </cell>
          <cell r="D72">
            <v>0</v>
          </cell>
        </row>
        <row r="73">
          <cell r="C73">
            <v>1315</v>
          </cell>
          <cell r="D73">
            <v>0</v>
          </cell>
        </row>
        <row r="74">
          <cell r="C74">
            <v>1316</v>
          </cell>
          <cell r="D74">
            <v>0</v>
          </cell>
        </row>
        <row r="75">
          <cell r="C75">
            <v>1317</v>
          </cell>
          <cell r="D75">
            <v>0</v>
          </cell>
        </row>
        <row r="76">
          <cell r="C76">
            <v>1318</v>
          </cell>
          <cell r="D76">
            <v>0</v>
          </cell>
        </row>
        <row r="77">
          <cell r="C77">
            <v>1319</v>
          </cell>
          <cell r="D77">
            <v>0</v>
          </cell>
        </row>
        <row r="78">
          <cell r="C78">
            <v>1320</v>
          </cell>
          <cell r="D78">
            <v>0</v>
          </cell>
        </row>
        <row r="79">
          <cell r="C79">
            <v>1321</v>
          </cell>
          <cell r="D79">
            <v>0</v>
          </cell>
        </row>
        <row r="80">
          <cell r="C80">
            <v>1322</v>
          </cell>
          <cell r="D80">
            <v>0</v>
          </cell>
        </row>
        <row r="81">
          <cell r="C81">
            <v>1323</v>
          </cell>
          <cell r="D81">
            <v>0</v>
          </cell>
        </row>
        <row r="82">
          <cell r="C82">
            <v>1324</v>
          </cell>
          <cell r="D82">
            <v>0</v>
          </cell>
        </row>
        <row r="83">
          <cell r="C83">
            <v>1325</v>
          </cell>
          <cell r="D83">
            <v>0</v>
          </cell>
        </row>
        <row r="84">
          <cell r="C84">
            <v>1326</v>
          </cell>
          <cell r="D84">
            <v>0</v>
          </cell>
        </row>
        <row r="85">
          <cell r="C85">
            <v>1327</v>
          </cell>
          <cell r="D85">
            <v>0</v>
          </cell>
        </row>
        <row r="86">
          <cell r="C86">
            <v>1328</v>
          </cell>
          <cell r="D86">
            <v>0</v>
          </cell>
        </row>
        <row r="87">
          <cell r="C87">
            <v>1329</v>
          </cell>
          <cell r="D87">
            <v>0</v>
          </cell>
        </row>
        <row r="88">
          <cell r="C88">
            <v>1330</v>
          </cell>
          <cell r="D88">
            <v>0</v>
          </cell>
        </row>
        <row r="89">
          <cell r="C89">
            <v>1331</v>
          </cell>
          <cell r="D89">
            <v>0</v>
          </cell>
        </row>
        <row r="90">
          <cell r="C90">
            <v>1332</v>
          </cell>
          <cell r="D90">
            <v>0</v>
          </cell>
        </row>
        <row r="91">
          <cell r="C91">
            <v>1333</v>
          </cell>
          <cell r="D91">
            <v>0</v>
          </cell>
        </row>
        <row r="92">
          <cell r="C92">
            <v>1334</v>
          </cell>
          <cell r="D92">
            <v>0</v>
          </cell>
        </row>
        <row r="93">
          <cell r="C93">
            <v>1335</v>
          </cell>
          <cell r="D93">
            <v>0</v>
          </cell>
        </row>
        <row r="94">
          <cell r="C94">
            <v>1336</v>
          </cell>
          <cell r="D94">
            <v>0</v>
          </cell>
        </row>
        <row r="95">
          <cell r="C95">
            <v>1337</v>
          </cell>
          <cell r="D95">
            <v>0</v>
          </cell>
        </row>
        <row r="96">
          <cell r="C96">
            <v>1338</v>
          </cell>
          <cell r="D96">
            <v>0</v>
          </cell>
        </row>
        <row r="97">
          <cell r="C97">
            <v>1339</v>
          </cell>
          <cell r="D97">
            <v>0</v>
          </cell>
        </row>
        <row r="98">
          <cell r="C98">
            <v>1340</v>
          </cell>
          <cell r="D98">
            <v>0</v>
          </cell>
        </row>
        <row r="99">
          <cell r="C99">
            <v>1341</v>
          </cell>
          <cell r="D99">
            <v>0</v>
          </cell>
        </row>
        <row r="100">
          <cell r="C100">
            <v>1342</v>
          </cell>
          <cell r="D100">
            <v>0</v>
          </cell>
        </row>
        <row r="101">
          <cell r="C101">
            <v>1343</v>
          </cell>
          <cell r="D101">
            <v>0</v>
          </cell>
        </row>
        <row r="102">
          <cell r="C102">
            <v>1344</v>
          </cell>
          <cell r="D102">
            <v>0</v>
          </cell>
        </row>
        <row r="103">
          <cell r="C103">
            <v>1345</v>
          </cell>
          <cell r="D103">
            <v>0</v>
          </cell>
        </row>
        <row r="104">
          <cell r="C104">
            <v>1346</v>
          </cell>
          <cell r="D104">
            <v>0</v>
          </cell>
        </row>
        <row r="105">
          <cell r="C105">
            <v>1347</v>
          </cell>
          <cell r="D105">
            <v>0</v>
          </cell>
        </row>
        <row r="106">
          <cell r="C106">
            <v>1348</v>
          </cell>
          <cell r="D106">
            <v>0</v>
          </cell>
        </row>
        <row r="107">
          <cell r="C107">
            <v>1349</v>
          </cell>
          <cell r="D107">
            <v>0</v>
          </cell>
        </row>
        <row r="108">
          <cell r="C108">
            <v>1350</v>
          </cell>
          <cell r="D108">
            <v>0</v>
          </cell>
        </row>
        <row r="109">
          <cell r="C109">
            <v>1351</v>
          </cell>
          <cell r="D109">
            <v>0</v>
          </cell>
        </row>
        <row r="110">
          <cell r="C110">
            <v>1352</v>
          </cell>
          <cell r="D110">
            <v>0</v>
          </cell>
        </row>
        <row r="111">
          <cell r="C111">
            <v>1353</v>
          </cell>
          <cell r="D111">
            <v>0</v>
          </cell>
        </row>
        <row r="112">
          <cell r="C112">
            <v>1354</v>
          </cell>
          <cell r="D112">
            <v>0</v>
          </cell>
        </row>
        <row r="113">
          <cell r="C113">
            <v>1355</v>
          </cell>
          <cell r="D113">
            <v>0</v>
          </cell>
        </row>
        <row r="114">
          <cell r="C114">
            <v>1356</v>
          </cell>
          <cell r="D114">
            <v>0</v>
          </cell>
        </row>
        <row r="115">
          <cell r="C115">
            <v>1357</v>
          </cell>
          <cell r="D115">
            <v>0</v>
          </cell>
        </row>
        <row r="116">
          <cell r="C116">
            <v>1358</v>
          </cell>
          <cell r="D116">
            <v>0</v>
          </cell>
        </row>
        <row r="117">
          <cell r="C117">
            <v>1359</v>
          </cell>
          <cell r="D117">
            <v>0</v>
          </cell>
        </row>
        <row r="118">
          <cell r="C118">
            <v>1360</v>
          </cell>
          <cell r="D118">
            <v>0</v>
          </cell>
        </row>
        <row r="119">
          <cell r="C119">
            <v>1361</v>
          </cell>
          <cell r="D119">
            <v>0</v>
          </cell>
        </row>
        <row r="120">
          <cell r="C120">
            <v>1362</v>
          </cell>
          <cell r="D120">
            <v>0</v>
          </cell>
        </row>
        <row r="121">
          <cell r="C121">
            <v>1363</v>
          </cell>
          <cell r="D121">
            <v>0</v>
          </cell>
        </row>
        <row r="122">
          <cell r="C122">
            <v>1364</v>
          </cell>
          <cell r="D122">
            <v>0</v>
          </cell>
        </row>
        <row r="123">
          <cell r="C123">
            <v>1365</v>
          </cell>
          <cell r="D123">
            <v>0</v>
          </cell>
        </row>
        <row r="124">
          <cell r="C124">
            <v>1366</v>
          </cell>
          <cell r="D124">
            <v>0</v>
          </cell>
        </row>
        <row r="125">
          <cell r="C125">
            <v>1367</v>
          </cell>
          <cell r="D125">
            <v>0</v>
          </cell>
        </row>
        <row r="126">
          <cell r="C126">
            <v>1368</v>
          </cell>
          <cell r="D126">
            <v>0</v>
          </cell>
        </row>
        <row r="127">
          <cell r="C127">
            <v>1369</v>
          </cell>
          <cell r="D127">
            <v>0</v>
          </cell>
        </row>
        <row r="128">
          <cell r="C128">
            <v>1370</v>
          </cell>
          <cell r="D128">
            <v>0</v>
          </cell>
        </row>
        <row r="129">
          <cell r="C129">
            <v>1371</v>
          </cell>
          <cell r="D129">
            <v>0</v>
          </cell>
        </row>
        <row r="130">
          <cell r="C130">
            <v>1372</v>
          </cell>
          <cell r="D130">
            <v>0</v>
          </cell>
        </row>
        <row r="131">
          <cell r="C131">
            <v>1373</v>
          </cell>
          <cell r="D131">
            <v>0</v>
          </cell>
        </row>
        <row r="132">
          <cell r="C132">
            <v>1374</v>
          </cell>
          <cell r="D132">
            <v>0</v>
          </cell>
        </row>
        <row r="133">
          <cell r="C133">
            <v>1375</v>
          </cell>
          <cell r="D133">
            <v>0</v>
          </cell>
        </row>
        <row r="134">
          <cell r="C134">
            <v>1376</v>
          </cell>
          <cell r="D134">
            <v>0</v>
          </cell>
        </row>
        <row r="135">
          <cell r="C135">
            <v>1377</v>
          </cell>
          <cell r="D135">
            <v>0</v>
          </cell>
        </row>
        <row r="136">
          <cell r="C136">
            <v>1378</v>
          </cell>
          <cell r="D136">
            <v>0</v>
          </cell>
        </row>
        <row r="137">
          <cell r="C137">
            <v>1379</v>
          </cell>
          <cell r="D137">
            <v>0</v>
          </cell>
        </row>
        <row r="138">
          <cell r="C138">
            <v>1380</v>
          </cell>
          <cell r="D138">
            <v>0</v>
          </cell>
        </row>
        <row r="139">
          <cell r="C139">
            <v>1381</v>
          </cell>
          <cell r="D139">
            <v>0</v>
          </cell>
        </row>
        <row r="140">
          <cell r="C140">
            <v>1382</v>
          </cell>
          <cell r="D140">
            <v>0</v>
          </cell>
        </row>
        <row r="141">
          <cell r="C141">
            <v>1383</v>
          </cell>
          <cell r="D141">
            <v>0</v>
          </cell>
        </row>
        <row r="142">
          <cell r="C142">
            <v>1384</v>
          </cell>
          <cell r="D142">
            <v>0</v>
          </cell>
        </row>
        <row r="143">
          <cell r="C143">
            <v>1385</v>
          </cell>
          <cell r="D143">
            <v>0</v>
          </cell>
        </row>
        <row r="144">
          <cell r="C144">
            <v>1386</v>
          </cell>
          <cell r="D144">
            <v>0</v>
          </cell>
        </row>
        <row r="145">
          <cell r="C145">
            <v>1387</v>
          </cell>
          <cell r="D145">
            <v>0</v>
          </cell>
        </row>
        <row r="146">
          <cell r="C146">
            <v>1388</v>
          </cell>
          <cell r="D146">
            <v>0</v>
          </cell>
        </row>
        <row r="147">
          <cell r="C147">
            <v>1389</v>
          </cell>
          <cell r="D147">
            <v>0</v>
          </cell>
        </row>
        <row r="148">
          <cell r="C148">
            <v>1390</v>
          </cell>
          <cell r="D148">
            <v>0</v>
          </cell>
        </row>
        <row r="149">
          <cell r="C149">
            <v>1391</v>
          </cell>
          <cell r="D149">
            <v>0</v>
          </cell>
        </row>
        <row r="150">
          <cell r="C150">
            <v>1392</v>
          </cell>
          <cell r="D150">
            <v>0</v>
          </cell>
        </row>
        <row r="151">
          <cell r="C151">
            <v>1393</v>
          </cell>
          <cell r="D151">
            <v>0</v>
          </cell>
        </row>
        <row r="152">
          <cell r="C152">
            <v>1394</v>
          </cell>
          <cell r="D152">
            <v>0</v>
          </cell>
        </row>
        <row r="153">
          <cell r="C153">
            <v>1395</v>
          </cell>
          <cell r="D153">
            <v>0</v>
          </cell>
        </row>
        <row r="154">
          <cell r="C154">
            <v>1396</v>
          </cell>
          <cell r="D154">
            <v>0</v>
          </cell>
        </row>
        <row r="155">
          <cell r="C155">
            <v>1397</v>
          </cell>
          <cell r="D155">
            <v>0</v>
          </cell>
        </row>
        <row r="156">
          <cell r="C156">
            <v>1398</v>
          </cell>
          <cell r="D156">
            <v>0</v>
          </cell>
        </row>
        <row r="157">
          <cell r="C157">
            <v>1399</v>
          </cell>
          <cell r="D157">
            <v>0</v>
          </cell>
        </row>
        <row r="158">
          <cell r="C158">
            <v>1400</v>
          </cell>
          <cell r="D158">
            <v>0</v>
          </cell>
        </row>
        <row r="159">
          <cell r="C159">
            <v>1401</v>
          </cell>
          <cell r="D159">
            <v>0</v>
          </cell>
        </row>
        <row r="160">
          <cell r="C160">
            <v>1402</v>
          </cell>
          <cell r="D160">
            <v>0</v>
          </cell>
        </row>
        <row r="161">
          <cell r="C161">
            <v>1403</v>
          </cell>
          <cell r="D161">
            <v>0</v>
          </cell>
        </row>
        <row r="162">
          <cell r="C162">
            <v>1404</v>
          </cell>
          <cell r="D162">
            <v>0</v>
          </cell>
        </row>
        <row r="163">
          <cell r="C163">
            <v>1405</v>
          </cell>
          <cell r="D163">
            <v>0</v>
          </cell>
        </row>
        <row r="164">
          <cell r="C164">
            <v>1406</v>
          </cell>
          <cell r="D164">
            <v>0</v>
          </cell>
        </row>
        <row r="165">
          <cell r="C165">
            <v>1407</v>
          </cell>
          <cell r="D165">
            <v>0</v>
          </cell>
        </row>
        <row r="166">
          <cell r="C166">
            <v>1408</v>
          </cell>
          <cell r="D166">
            <v>0</v>
          </cell>
        </row>
        <row r="167">
          <cell r="C167">
            <v>1409</v>
          </cell>
          <cell r="D167">
            <v>0</v>
          </cell>
        </row>
        <row r="168">
          <cell r="C168">
            <v>1410</v>
          </cell>
          <cell r="D168">
            <v>0</v>
          </cell>
        </row>
        <row r="169">
          <cell r="C169">
            <v>1411</v>
          </cell>
          <cell r="D169">
            <v>0</v>
          </cell>
        </row>
        <row r="170">
          <cell r="C170">
            <v>1412</v>
          </cell>
          <cell r="D170">
            <v>0</v>
          </cell>
        </row>
        <row r="171">
          <cell r="C171">
            <v>1413</v>
          </cell>
          <cell r="D171">
            <v>0</v>
          </cell>
        </row>
        <row r="172">
          <cell r="C172">
            <v>1414</v>
          </cell>
          <cell r="D172">
            <v>0</v>
          </cell>
        </row>
        <row r="173">
          <cell r="C173">
            <v>1415</v>
          </cell>
          <cell r="D173">
            <v>0</v>
          </cell>
        </row>
        <row r="174">
          <cell r="C174">
            <v>1416</v>
          </cell>
          <cell r="D174">
            <v>0</v>
          </cell>
        </row>
        <row r="175">
          <cell r="C175">
            <v>1417</v>
          </cell>
          <cell r="D175">
            <v>0</v>
          </cell>
        </row>
        <row r="176">
          <cell r="C176">
            <v>1418</v>
          </cell>
          <cell r="D176">
            <v>0</v>
          </cell>
        </row>
        <row r="177">
          <cell r="C177">
            <v>1419</v>
          </cell>
          <cell r="D177">
            <v>0</v>
          </cell>
        </row>
        <row r="178">
          <cell r="C178">
            <v>1420</v>
          </cell>
          <cell r="D178">
            <v>0</v>
          </cell>
        </row>
        <row r="179">
          <cell r="C179">
            <v>1421</v>
          </cell>
          <cell r="D179">
            <v>0</v>
          </cell>
        </row>
        <row r="180">
          <cell r="C180">
            <v>1422</v>
          </cell>
          <cell r="D180">
            <v>0</v>
          </cell>
        </row>
        <row r="181">
          <cell r="C181">
            <v>1423</v>
          </cell>
          <cell r="D181">
            <v>0</v>
          </cell>
        </row>
        <row r="182">
          <cell r="C182">
            <v>1424</v>
          </cell>
          <cell r="D182">
            <v>0</v>
          </cell>
        </row>
        <row r="183">
          <cell r="C183">
            <v>1425</v>
          </cell>
          <cell r="D183">
            <v>0</v>
          </cell>
        </row>
        <row r="184">
          <cell r="C184">
            <v>1426</v>
          </cell>
          <cell r="D184">
            <v>0</v>
          </cell>
        </row>
        <row r="185">
          <cell r="C185">
            <v>1427</v>
          </cell>
          <cell r="D185">
            <v>0</v>
          </cell>
        </row>
        <row r="186">
          <cell r="C186">
            <v>1428</v>
          </cell>
          <cell r="D186">
            <v>0</v>
          </cell>
        </row>
        <row r="187">
          <cell r="C187">
            <v>1429</v>
          </cell>
          <cell r="D187">
            <v>0</v>
          </cell>
        </row>
        <row r="188">
          <cell r="C188">
            <v>1430</v>
          </cell>
          <cell r="D188">
            <v>0</v>
          </cell>
        </row>
        <row r="189">
          <cell r="C189">
            <v>1431</v>
          </cell>
          <cell r="D189">
            <v>0</v>
          </cell>
        </row>
        <row r="190">
          <cell r="C190">
            <v>1432</v>
          </cell>
          <cell r="D190">
            <v>0</v>
          </cell>
        </row>
        <row r="191">
          <cell r="C191">
            <v>1433</v>
          </cell>
          <cell r="D191">
            <v>0</v>
          </cell>
        </row>
        <row r="192">
          <cell r="C192">
            <v>1434</v>
          </cell>
          <cell r="D192">
            <v>0</v>
          </cell>
        </row>
        <row r="193">
          <cell r="C193">
            <v>1435</v>
          </cell>
          <cell r="D193">
            <v>0</v>
          </cell>
        </row>
        <row r="194">
          <cell r="C194">
            <v>1436</v>
          </cell>
          <cell r="D194">
            <v>0</v>
          </cell>
        </row>
        <row r="195">
          <cell r="C195">
            <v>1437</v>
          </cell>
          <cell r="D195">
            <v>0</v>
          </cell>
        </row>
        <row r="196">
          <cell r="C196">
            <v>1438</v>
          </cell>
          <cell r="D196">
            <v>0</v>
          </cell>
        </row>
        <row r="197">
          <cell r="C197">
            <v>1439</v>
          </cell>
          <cell r="D197">
            <v>0</v>
          </cell>
        </row>
        <row r="198">
          <cell r="C198">
            <v>1440</v>
          </cell>
          <cell r="D198">
            <v>0</v>
          </cell>
        </row>
        <row r="199">
          <cell r="C199">
            <v>1441</v>
          </cell>
          <cell r="D199">
            <v>0</v>
          </cell>
        </row>
        <row r="200">
          <cell r="C200">
            <v>1442</v>
          </cell>
          <cell r="D200">
            <v>0</v>
          </cell>
        </row>
        <row r="201">
          <cell r="C201">
            <v>1443</v>
          </cell>
          <cell r="D201">
            <v>0</v>
          </cell>
        </row>
        <row r="202">
          <cell r="C202">
            <v>1444</v>
          </cell>
          <cell r="D202">
            <v>0</v>
          </cell>
        </row>
        <row r="203">
          <cell r="C203">
            <v>1445</v>
          </cell>
          <cell r="D203">
            <v>0</v>
          </cell>
        </row>
        <row r="204">
          <cell r="C204">
            <v>1446</v>
          </cell>
          <cell r="D204">
            <v>0</v>
          </cell>
        </row>
        <row r="205">
          <cell r="C205">
            <v>1447</v>
          </cell>
          <cell r="D205">
            <v>0</v>
          </cell>
        </row>
        <row r="206">
          <cell r="C206">
            <v>1448</v>
          </cell>
          <cell r="D206">
            <v>0</v>
          </cell>
        </row>
        <row r="207">
          <cell r="C207">
            <v>1449</v>
          </cell>
          <cell r="D207">
            <v>0</v>
          </cell>
        </row>
        <row r="208">
          <cell r="C208">
            <v>1450</v>
          </cell>
          <cell r="D208">
            <v>0</v>
          </cell>
        </row>
        <row r="209">
          <cell r="C209">
            <v>1451</v>
          </cell>
          <cell r="D209">
            <v>0</v>
          </cell>
        </row>
        <row r="210">
          <cell r="C210">
            <v>1452</v>
          </cell>
          <cell r="D210">
            <v>0</v>
          </cell>
        </row>
        <row r="211">
          <cell r="C211">
            <v>1453</v>
          </cell>
          <cell r="D211">
            <v>0</v>
          </cell>
        </row>
        <row r="212">
          <cell r="C212">
            <v>1454</v>
          </cell>
          <cell r="D212">
            <v>0</v>
          </cell>
        </row>
        <row r="213">
          <cell r="C213">
            <v>1455</v>
          </cell>
          <cell r="D213">
            <v>0</v>
          </cell>
        </row>
        <row r="214">
          <cell r="C214">
            <v>1456</v>
          </cell>
          <cell r="D214">
            <v>0</v>
          </cell>
        </row>
        <row r="215">
          <cell r="C215">
            <v>1457</v>
          </cell>
          <cell r="D215">
            <v>0</v>
          </cell>
        </row>
        <row r="216">
          <cell r="C216">
            <v>1458</v>
          </cell>
          <cell r="D216">
            <v>0</v>
          </cell>
        </row>
        <row r="217">
          <cell r="C217">
            <v>1459</v>
          </cell>
          <cell r="D217">
            <v>0</v>
          </cell>
        </row>
        <row r="218">
          <cell r="C218">
            <v>1460</v>
          </cell>
          <cell r="D218">
            <v>0</v>
          </cell>
        </row>
        <row r="219">
          <cell r="C219">
            <v>1461</v>
          </cell>
          <cell r="D219">
            <v>0</v>
          </cell>
        </row>
        <row r="220">
          <cell r="C220">
            <v>1462</v>
          </cell>
          <cell r="D220">
            <v>0</v>
          </cell>
        </row>
        <row r="221">
          <cell r="C221">
            <v>1463</v>
          </cell>
          <cell r="D221">
            <v>0</v>
          </cell>
        </row>
        <row r="222">
          <cell r="C222">
            <v>1464</v>
          </cell>
          <cell r="D222">
            <v>0</v>
          </cell>
        </row>
        <row r="223">
          <cell r="C223">
            <v>1465</v>
          </cell>
          <cell r="D223">
            <v>0</v>
          </cell>
        </row>
        <row r="224">
          <cell r="C224">
            <v>1466</v>
          </cell>
          <cell r="D224">
            <v>0</v>
          </cell>
        </row>
        <row r="225">
          <cell r="C225">
            <v>1467</v>
          </cell>
          <cell r="D225">
            <v>0</v>
          </cell>
        </row>
      </sheetData>
      <sheetData sheetId="1"/>
      <sheetData sheetId="2"/>
      <sheetData sheetId="3"/>
      <sheetData sheetId="4"/>
      <sheetData sheetId="5"/>
      <sheetData sheetId="6">
        <row r="5">
          <cell r="D5" t="str">
            <v>AMIT TINDWANI</v>
          </cell>
        </row>
      </sheetData>
      <sheetData sheetId="7"/>
      <sheetData sheetId="8"/>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J)"/>
      <sheetName val="tb"/>
      <sheetName val="BS Rec Control Sheet"/>
    </sheetNames>
    <sheetDataSet>
      <sheetData sheetId="0" refreshError="1"/>
      <sheetData sheetId="1"/>
      <sheetData sheetId="2"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TARGE"/>
      <sheetName val="HI_TARGE"/>
      <sheetName val="Assume"/>
      <sheetName val="FORM-16"/>
      <sheetName val="entitlements"/>
      <sheetName val="Sheet9"/>
      <sheetName val="Dep 06-07"/>
      <sheetName val="JE 07"/>
      <sheetName val="Reclass BS 07"/>
      <sheetName val="Reclass PL 07"/>
      <sheetName val="Company"/>
      <sheetName val="Inputs"/>
      <sheetName val="Loss 3004"/>
      <sheetName val="F-C-2"/>
      <sheetName val="F-C"/>
      <sheetName val="SBU-DOM9"/>
      <sheetName val="Summary"/>
      <sheetName val="Gamewise P&amp;L-INR"/>
      <sheetName val="Comb PL"/>
      <sheetName val="HBO PL"/>
      <sheetName val="MAR08BAN"/>
      <sheetName val="PRESFMS"/>
      <sheetName val="mancount"/>
      <sheetName val="EAST"/>
      <sheetName val="27(b)iv Delay"/>
      <sheetName val="FA Additions"/>
      <sheetName val="Detalhe"/>
      <sheetName val="Capex - Hry"/>
      <sheetName val="CPP2"/>
      <sheetName val="Schdl 1 to8"/>
      <sheetName val="exec summ"/>
      <sheetName val="control"/>
      <sheetName val="Assumption"/>
      <sheetName val="Overview"/>
      <sheetName val="DCF"/>
      <sheetName val="DATA"/>
      <sheetName val="Assmpns"/>
      <sheetName val="Assump. "/>
      <sheetName val="Input"/>
      <sheetName val="Chemicals - REV"/>
      <sheetName val="Valuation"/>
      <sheetName val="b"/>
      <sheetName val="EVA vs FCF Graph"/>
      <sheetName val="Feed1"/>
      <sheetName val="Sell1"/>
      <sheetName val="Factor -local"/>
      <sheetName val="Factor- cables"/>
      <sheetName val="Consolidated"/>
      <sheetName val="SPT Consol"/>
      <sheetName val="NOTES"/>
      <sheetName val="Title page"/>
      <sheetName val="Detail by EE"/>
      <sheetName val="Data Inpu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vel_qty"/>
      <sheetName val="Nov_04"/>
      <sheetName val="Dec_04"/>
      <sheetName val="Assumptions"/>
      <sheetName val="dpc cost"/>
      <sheetName val="SUMMERY"/>
    </sheetNames>
    <sheetDataSet>
      <sheetData sheetId="0" refreshError="1">
        <row r="8">
          <cell r="B8">
            <v>195</v>
          </cell>
          <cell r="C8">
            <v>1</v>
          </cell>
        </row>
        <row r="9">
          <cell r="B9">
            <v>195.02500000000001</v>
          </cell>
          <cell r="C9">
            <v>1.05</v>
          </cell>
        </row>
        <row r="10">
          <cell r="B10">
            <v>195.05</v>
          </cell>
          <cell r="C10">
            <v>1.1000000000000001</v>
          </cell>
        </row>
        <row r="11">
          <cell r="B11">
            <v>195.07499999999999</v>
          </cell>
          <cell r="C11">
            <v>1.1499999999999999</v>
          </cell>
        </row>
        <row r="12">
          <cell r="B12">
            <v>195.1</v>
          </cell>
          <cell r="C12">
            <v>1.2</v>
          </cell>
        </row>
        <row r="13">
          <cell r="B13">
            <v>195.125</v>
          </cell>
          <cell r="C13">
            <v>1.25</v>
          </cell>
        </row>
        <row r="14">
          <cell r="B14">
            <v>195.15</v>
          </cell>
          <cell r="C14">
            <v>1.3</v>
          </cell>
        </row>
        <row r="15">
          <cell r="B15">
            <v>195.17500000000001</v>
          </cell>
          <cell r="C15">
            <v>1.35</v>
          </cell>
        </row>
        <row r="16">
          <cell r="B16">
            <v>195.2</v>
          </cell>
          <cell r="C16">
            <v>1.4</v>
          </cell>
        </row>
        <row r="17">
          <cell r="B17">
            <v>195.22499999999999</v>
          </cell>
          <cell r="C17">
            <v>1.45</v>
          </cell>
        </row>
        <row r="18">
          <cell r="B18">
            <v>195.25</v>
          </cell>
          <cell r="C18">
            <v>1.5</v>
          </cell>
        </row>
        <row r="19">
          <cell r="B19">
            <v>195.27500000000001</v>
          </cell>
          <cell r="C19">
            <v>1.55</v>
          </cell>
        </row>
        <row r="20">
          <cell r="B20">
            <v>195.3</v>
          </cell>
          <cell r="C20">
            <v>1.6</v>
          </cell>
        </row>
        <row r="21">
          <cell r="B21">
            <v>195.32499999999999</v>
          </cell>
          <cell r="C21">
            <v>1.65</v>
          </cell>
        </row>
        <row r="22">
          <cell r="B22">
            <v>195.35</v>
          </cell>
          <cell r="C22">
            <v>1.7</v>
          </cell>
        </row>
        <row r="23">
          <cell r="B23">
            <v>195.375</v>
          </cell>
          <cell r="C23">
            <v>1.75</v>
          </cell>
        </row>
        <row r="24">
          <cell r="B24">
            <v>195.4</v>
          </cell>
          <cell r="C24">
            <v>1.8</v>
          </cell>
        </row>
        <row r="25">
          <cell r="B25">
            <v>195.42500000000001</v>
          </cell>
          <cell r="C25">
            <v>1.85</v>
          </cell>
        </row>
        <row r="26">
          <cell r="B26">
            <v>195.45</v>
          </cell>
          <cell r="C26">
            <v>1.9</v>
          </cell>
        </row>
        <row r="27">
          <cell r="B27">
            <v>195.47499999999999</v>
          </cell>
          <cell r="C27">
            <v>1.95</v>
          </cell>
        </row>
        <row r="28">
          <cell r="B28">
            <v>195.5</v>
          </cell>
          <cell r="C28">
            <v>2</v>
          </cell>
        </row>
        <row r="29">
          <cell r="B29">
            <v>195.52500000000001</v>
          </cell>
          <cell r="C29">
            <v>2.0499999999999998</v>
          </cell>
        </row>
        <row r="30">
          <cell r="B30">
            <v>195.55</v>
          </cell>
          <cell r="C30">
            <v>2.1</v>
          </cell>
        </row>
        <row r="31">
          <cell r="B31">
            <v>195.57499999999999</v>
          </cell>
          <cell r="C31">
            <v>2.15</v>
          </cell>
        </row>
        <row r="32">
          <cell r="B32">
            <v>195.6</v>
          </cell>
          <cell r="C32">
            <v>2.2000000000000002</v>
          </cell>
        </row>
        <row r="33">
          <cell r="B33">
            <v>195.625</v>
          </cell>
          <cell r="C33">
            <v>2.25</v>
          </cell>
        </row>
        <row r="34">
          <cell r="B34">
            <v>195.65</v>
          </cell>
          <cell r="C34">
            <v>2.2999999999999998</v>
          </cell>
        </row>
        <row r="35">
          <cell r="B35">
            <v>195.67500000000001</v>
          </cell>
          <cell r="C35">
            <v>2.35</v>
          </cell>
        </row>
        <row r="36">
          <cell r="B36">
            <v>195.7</v>
          </cell>
          <cell r="C36">
            <v>2.4</v>
          </cell>
        </row>
        <row r="37">
          <cell r="B37">
            <v>195.72499999999999</v>
          </cell>
          <cell r="C37">
            <v>2.4500000000000002</v>
          </cell>
        </row>
        <row r="38">
          <cell r="B38">
            <v>195.75</v>
          </cell>
          <cell r="C38">
            <v>2.5</v>
          </cell>
        </row>
        <row r="39">
          <cell r="B39">
            <v>195.77500000000001</v>
          </cell>
          <cell r="C39">
            <v>2.5499999999999998</v>
          </cell>
        </row>
        <row r="40">
          <cell r="B40">
            <v>195.8</v>
          </cell>
          <cell r="C40">
            <v>2.6</v>
          </cell>
        </row>
        <row r="41">
          <cell r="B41">
            <v>195.82499999999999</v>
          </cell>
          <cell r="C41">
            <v>2.65</v>
          </cell>
        </row>
        <row r="42">
          <cell r="B42">
            <v>195.85</v>
          </cell>
          <cell r="C42">
            <v>2.7</v>
          </cell>
        </row>
        <row r="43">
          <cell r="B43">
            <v>195.875</v>
          </cell>
          <cell r="C43">
            <v>2.75</v>
          </cell>
        </row>
        <row r="44">
          <cell r="B44">
            <v>195.9</v>
          </cell>
          <cell r="C44">
            <v>2.8</v>
          </cell>
        </row>
        <row r="45">
          <cell r="B45">
            <v>195.92500000000001</v>
          </cell>
          <cell r="C45">
            <v>2.85</v>
          </cell>
        </row>
        <row r="46">
          <cell r="B46">
            <v>195.95</v>
          </cell>
          <cell r="C46">
            <v>2.9</v>
          </cell>
        </row>
        <row r="47">
          <cell r="B47">
            <v>195.97499999999999</v>
          </cell>
          <cell r="C47">
            <v>2.95</v>
          </cell>
        </row>
        <row r="48">
          <cell r="B48">
            <v>196</v>
          </cell>
          <cell r="C48">
            <v>3</v>
          </cell>
        </row>
        <row r="49">
          <cell r="B49">
            <v>196.02500000000001</v>
          </cell>
          <cell r="C49">
            <v>3.0750000000000002</v>
          </cell>
        </row>
        <row r="50">
          <cell r="B50">
            <v>196.05</v>
          </cell>
          <cell r="C50">
            <v>3.15</v>
          </cell>
        </row>
        <row r="51">
          <cell r="B51">
            <v>196.07499999999999</v>
          </cell>
          <cell r="C51">
            <v>3.2250000000000001</v>
          </cell>
        </row>
        <row r="52">
          <cell r="B52">
            <v>196.1</v>
          </cell>
          <cell r="C52">
            <v>3.3</v>
          </cell>
        </row>
        <row r="53">
          <cell r="B53">
            <v>196.125</v>
          </cell>
          <cell r="C53">
            <v>3.375</v>
          </cell>
        </row>
        <row r="54">
          <cell r="B54">
            <v>196.15</v>
          </cell>
          <cell r="C54">
            <v>3.45</v>
          </cell>
        </row>
        <row r="55">
          <cell r="B55">
            <v>196.17500000000001</v>
          </cell>
          <cell r="C55">
            <v>3.5249999999999999</v>
          </cell>
        </row>
        <row r="56">
          <cell r="B56">
            <v>196.2</v>
          </cell>
          <cell r="C56">
            <v>3.6</v>
          </cell>
        </row>
        <row r="57">
          <cell r="B57">
            <v>196.22499999999999</v>
          </cell>
          <cell r="C57">
            <v>3.6749999999999998</v>
          </cell>
        </row>
        <row r="58">
          <cell r="B58">
            <v>196.25</v>
          </cell>
          <cell r="C58">
            <v>3.75</v>
          </cell>
        </row>
        <row r="59">
          <cell r="B59">
            <v>196.27500000000001</v>
          </cell>
          <cell r="C59">
            <v>3.8250000000000002</v>
          </cell>
        </row>
        <row r="60">
          <cell r="B60">
            <v>196.3</v>
          </cell>
          <cell r="C60">
            <v>3.9</v>
          </cell>
        </row>
        <row r="61">
          <cell r="B61">
            <v>196.32499999999999</v>
          </cell>
          <cell r="C61">
            <v>3.9750000000000001</v>
          </cell>
        </row>
        <row r="62">
          <cell r="B62">
            <v>196.35</v>
          </cell>
          <cell r="C62">
            <v>4.05</v>
          </cell>
        </row>
        <row r="63">
          <cell r="B63">
            <v>196.375</v>
          </cell>
          <cell r="C63">
            <v>4.125</v>
          </cell>
        </row>
        <row r="64">
          <cell r="B64">
            <v>196.4</v>
          </cell>
          <cell r="C64">
            <v>4.2</v>
          </cell>
        </row>
        <row r="65">
          <cell r="B65">
            <v>196.42500000000001</v>
          </cell>
          <cell r="C65">
            <v>4.2750000000000004</v>
          </cell>
        </row>
        <row r="66">
          <cell r="B66">
            <v>196.45</v>
          </cell>
          <cell r="C66">
            <v>4.3499999999999996</v>
          </cell>
        </row>
        <row r="67">
          <cell r="B67">
            <v>196.47499999999999</v>
          </cell>
          <cell r="C67">
            <v>4.4249999999999998</v>
          </cell>
        </row>
        <row r="68">
          <cell r="B68">
            <v>196.5</v>
          </cell>
          <cell r="C68">
            <v>4.5</v>
          </cell>
        </row>
        <row r="69">
          <cell r="B69">
            <v>196.52500000000001</v>
          </cell>
          <cell r="C69">
            <v>4.5750000000000002</v>
          </cell>
        </row>
        <row r="70">
          <cell r="B70">
            <v>196.55</v>
          </cell>
          <cell r="C70">
            <v>4.6500000000000004</v>
          </cell>
        </row>
        <row r="71">
          <cell r="B71">
            <v>196.57499999999999</v>
          </cell>
          <cell r="C71">
            <v>4.7249999999999996</v>
          </cell>
        </row>
        <row r="72">
          <cell r="B72">
            <v>196.6</v>
          </cell>
          <cell r="C72">
            <v>4.8</v>
          </cell>
        </row>
        <row r="73">
          <cell r="B73">
            <v>196.625</v>
          </cell>
          <cell r="C73">
            <v>4.875</v>
          </cell>
        </row>
        <row r="74">
          <cell r="B74">
            <v>196.65</v>
          </cell>
          <cell r="C74">
            <v>4.95</v>
          </cell>
        </row>
        <row r="75">
          <cell r="B75">
            <v>196.67500000000001</v>
          </cell>
          <cell r="C75">
            <v>5.0250000000000004</v>
          </cell>
        </row>
        <row r="76">
          <cell r="B76">
            <v>196.7</v>
          </cell>
          <cell r="C76">
            <v>5.0999999999999996</v>
          </cell>
        </row>
        <row r="77">
          <cell r="B77">
            <v>196.72499999999999</v>
          </cell>
          <cell r="C77">
            <v>5.1749999999999998</v>
          </cell>
        </row>
        <row r="78">
          <cell r="B78">
            <v>196.75</v>
          </cell>
          <cell r="C78">
            <v>5.25</v>
          </cell>
        </row>
        <row r="79">
          <cell r="B79">
            <v>196.77500000000001</v>
          </cell>
          <cell r="C79">
            <v>5.3250000000000002</v>
          </cell>
        </row>
        <row r="80">
          <cell r="B80">
            <v>196.8</v>
          </cell>
          <cell r="C80">
            <v>5.4</v>
          </cell>
        </row>
        <row r="81">
          <cell r="B81">
            <v>196.82499999999999</v>
          </cell>
          <cell r="C81">
            <v>5.4749999999999996</v>
          </cell>
        </row>
        <row r="82">
          <cell r="B82">
            <v>196.85</v>
          </cell>
          <cell r="C82">
            <v>5.55</v>
          </cell>
        </row>
        <row r="83">
          <cell r="B83">
            <v>196.875</v>
          </cell>
          <cell r="C83">
            <v>5.625</v>
          </cell>
        </row>
        <row r="84">
          <cell r="B84">
            <v>196.9</v>
          </cell>
          <cell r="C84">
            <v>5.7</v>
          </cell>
        </row>
        <row r="85">
          <cell r="B85">
            <v>196.92500000000001</v>
          </cell>
          <cell r="C85">
            <v>5.7750000000000004</v>
          </cell>
        </row>
        <row r="86">
          <cell r="B86">
            <v>196.95</v>
          </cell>
          <cell r="C86">
            <v>5.85</v>
          </cell>
        </row>
        <row r="87">
          <cell r="B87">
            <v>196.97499999999999</v>
          </cell>
          <cell r="C87">
            <v>5.9249999999999998</v>
          </cell>
        </row>
        <row r="88">
          <cell r="B88">
            <v>197</v>
          </cell>
          <cell r="C88">
            <v>6</v>
          </cell>
        </row>
        <row r="89">
          <cell r="B89">
            <v>197.02500000000001</v>
          </cell>
          <cell r="C89">
            <v>6.125</v>
          </cell>
        </row>
        <row r="90">
          <cell r="B90">
            <v>197.05</v>
          </cell>
          <cell r="C90">
            <v>6.25</v>
          </cell>
        </row>
        <row r="91">
          <cell r="B91">
            <v>197.07499999999999</v>
          </cell>
          <cell r="C91">
            <v>6.375</v>
          </cell>
        </row>
        <row r="92">
          <cell r="B92">
            <v>197.1</v>
          </cell>
          <cell r="C92">
            <v>6.5</v>
          </cell>
        </row>
        <row r="93">
          <cell r="B93">
            <v>197.125</v>
          </cell>
          <cell r="C93">
            <v>6.625</v>
          </cell>
        </row>
        <row r="94">
          <cell r="B94">
            <v>197.15</v>
          </cell>
          <cell r="C94">
            <v>6.75</v>
          </cell>
        </row>
        <row r="95">
          <cell r="B95">
            <v>197.17500000000001</v>
          </cell>
          <cell r="C95">
            <v>6.875</v>
          </cell>
        </row>
        <row r="96">
          <cell r="B96">
            <v>197.2</v>
          </cell>
          <cell r="C96">
            <v>7</v>
          </cell>
        </row>
        <row r="97">
          <cell r="B97">
            <v>197.22499999999999</v>
          </cell>
          <cell r="C97">
            <v>7.125</v>
          </cell>
        </row>
        <row r="98">
          <cell r="B98">
            <v>197.25</v>
          </cell>
          <cell r="C98">
            <v>7.25</v>
          </cell>
        </row>
        <row r="99">
          <cell r="B99">
            <v>197.27500000000001</v>
          </cell>
          <cell r="C99">
            <v>7.375</v>
          </cell>
        </row>
        <row r="100">
          <cell r="B100">
            <v>197.3</v>
          </cell>
          <cell r="C100">
            <v>7.5</v>
          </cell>
        </row>
        <row r="101">
          <cell r="B101">
            <v>197.32499999999999</v>
          </cell>
          <cell r="C101">
            <v>7.625</v>
          </cell>
        </row>
        <row r="102">
          <cell r="B102">
            <v>197.35</v>
          </cell>
          <cell r="C102">
            <v>7.75</v>
          </cell>
        </row>
        <row r="103">
          <cell r="B103">
            <v>197.375</v>
          </cell>
          <cell r="C103">
            <v>7.875</v>
          </cell>
        </row>
        <row r="104">
          <cell r="B104">
            <v>197.4</v>
          </cell>
          <cell r="C104">
            <v>8</v>
          </cell>
        </row>
        <row r="105">
          <cell r="B105">
            <v>197.42500000000001</v>
          </cell>
          <cell r="C105">
            <v>8.125</v>
          </cell>
        </row>
        <row r="106">
          <cell r="B106">
            <v>197.45</v>
          </cell>
          <cell r="C106">
            <v>8.25</v>
          </cell>
        </row>
        <row r="107">
          <cell r="B107">
            <v>197.47499999999999</v>
          </cell>
          <cell r="C107">
            <v>8.375</v>
          </cell>
        </row>
        <row r="108">
          <cell r="B108">
            <v>197.5</v>
          </cell>
          <cell r="C108">
            <v>8.5</v>
          </cell>
        </row>
        <row r="109">
          <cell r="B109">
            <v>197.52500000000001</v>
          </cell>
          <cell r="C109">
            <v>8.625</v>
          </cell>
        </row>
        <row r="110">
          <cell r="B110">
            <v>197.55000000000049</v>
          </cell>
          <cell r="C110">
            <v>8.75</v>
          </cell>
        </row>
        <row r="111">
          <cell r="B111">
            <v>197.5750000000005</v>
          </cell>
          <cell r="C111">
            <v>8.875</v>
          </cell>
        </row>
        <row r="112">
          <cell r="B112">
            <v>197.6</v>
          </cell>
          <cell r="C112">
            <v>9</v>
          </cell>
        </row>
        <row r="113">
          <cell r="B113">
            <v>197.625</v>
          </cell>
          <cell r="C113">
            <v>9.125</v>
          </cell>
        </row>
        <row r="114">
          <cell r="B114">
            <v>197.65</v>
          </cell>
          <cell r="C114">
            <v>9.25</v>
          </cell>
        </row>
        <row r="115">
          <cell r="B115">
            <v>197.67500000000001</v>
          </cell>
          <cell r="C115">
            <v>9.375</v>
          </cell>
        </row>
        <row r="116">
          <cell r="B116">
            <v>197.7</v>
          </cell>
          <cell r="C116">
            <v>9.5</v>
          </cell>
        </row>
        <row r="117">
          <cell r="B117">
            <v>197.72499999999999</v>
          </cell>
          <cell r="C117">
            <v>9.625</v>
          </cell>
        </row>
        <row r="118">
          <cell r="B118">
            <v>197.75</v>
          </cell>
          <cell r="C118">
            <v>9.75</v>
          </cell>
        </row>
        <row r="119">
          <cell r="B119">
            <v>197.77500000000001</v>
          </cell>
          <cell r="C119">
            <v>9.875</v>
          </cell>
        </row>
        <row r="120">
          <cell r="B120">
            <v>197.8</v>
          </cell>
          <cell r="C120">
            <v>10</v>
          </cell>
        </row>
        <row r="121">
          <cell r="B121">
            <v>197.82499999999999</v>
          </cell>
          <cell r="C121">
            <v>10.125</v>
          </cell>
        </row>
        <row r="122">
          <cell r="B122">
            <v>197.85</v>
          </cell>
          <cell r="C122">
            <v>10.25</v>
          </cell>
        </row>
        <row r="123">
          <cell r="B123">
            <v>197.875</v>
          </cell>
          <cell r="C123">
            <v>10.375</v>
          </cell>
        </row>
        <row r="124">
          <cell r="B124">
            <v>197.9</v>
          </cell>
          <cell r="C124">
            <v>10.5</v>
          </cell>
        </row>
        <row r="125">
          <cell r="B125">
            <v>197.92500000000001</v>
          </cell>
          <cell r="C125">
            <v>10.625</v>
          </cell>
        </row>
        <row r="126">
          <cell r="B126">
            <v>197.95</v>
          </cell>
          <cell r="C126">
            <v>10.75</v>
          </cell>
        </row>
        <row r="127">
          <cell r="B127">
            <v>197.97499999999999</v>
          </cell>
          <cell r="C127">
            <v>10.875</v>
          </cell>
        </row>
        <row r="128">
          <cell r="B128">
            <v>198</v>
          </cell>
          <cell r="C128">
            <v>11</v>
          </cell>
        </row>
        <row r="129">
          <cell r="B129">
            <v>198.02500000000001</v>
          </cell>
          <cell r="C129">
            <v>11.15</v>
          </cell>
        </row>
        <row r="130">
          <cell r="B130">
            <v>198.05</v>
          </cell>
          <cell r="C130">
            <v>11.3</v>
          </cell>
        </row>
        <row r="131">
          <cell r="B131">
            <v>198.07499999999999</v>
          </cell>
          <cell r="C131">
            <v>11.45</v>
          </cell>
        </row>
        <row r="132">
          <cell r="B132">
            <v>198.1</v>
          </cell>
          <cell r="C132">
            <v>11.6</v>
          </cell>
        </row>
        <row r="133">
          <cell r="B133">
            <v>198.125</v>
          </cell>
          <cell r="C133">
            <v>11.75</v>
          </cell>
        </row>
        <row r="134">
          <cell r="B134">
            <v>198.15</v>
          </cell>
          <cell r="C134">
            <v>11.9</v>
          </cell>
        </row>
        <row r="135">
          <cell r="B135">
            <v>198.17500000000001</v>
          </cell>
          <cell r="C135">
            <v>12.05</v>
          </cell>
        </row>
        <row r="136">
          <cell r="B136">
            <v>198.2</v>
          </cell>
          <cell r="C136">
            <v>12.2</v>
          </cell>
        </row>
        <row r="137">
          <cell r="B137">
            <v>198.22499999999999</v>
          </cell>
          <cell r="C137">
            <v>12.35</v>
          </cell>
        </row>
        <row r="138">
          <cell r="B138">
            <v>198.25</v>
          </cell>
          <cell r="C138">
            <v>12.5</v>
          </cell>
        </row>
        <row r="139">
          <cell r="B139">
            <v>198.27500000000001</v>
          </cell>
          <cell r="C139">
            <v>12.65</v>
          </cell>
        </row>
        <row r="140">
          <cell r="B140">
            <v>198.3</v>
          </cell>
          <cell r="C140">
            <v>12.8</v>
          </cell>
        </row>
        <row r="141">
          <cell r="B141">
            <v>198.32499999999999</v>
          </cell>
          <cell r="C141">
            <v>12.95</v>
          </cell>
        </row>
        <row r="142">
          <cell r="B142">
            <v>198.35</v>
          </cell>
          <cell r="C142">
            <v>13.1</v>
          </cell>
        </row>
        <row r="143">
          <cell r="B143">
            <v>198.375</v>
          </cell>
          <cell r="C143">
            <v>13.25</v>
          </cell>
        </row>
        <row r="144">
          <cell r="B144">
            <v>198.4</v>
          </cell>
          <cell r="C144">
            <v>13.4</v>
          </cell>
        </row>
        <row r="145">
          <cell r="B145">
            <v>198.42500000000001</v>
          </cell>
          <cell r="C145">
            <v>13.55</v>
          </cell>
        </row>
        <row r="146">
          <cell r="B146">
            <v>198.45</v>
          </cell>
          <cell r="C146">
            <v>13.7</v>
          </cell>
        </row>
        <row r="147">
          <cell r="B147">
            <v>198.47499999999999</v>
          </cell>
          <cell r="C147">
            <v>13.85</v>
          </cell>
        </row>
        <row r="148">
          <cell r="B148">
            <v>198.5</v>
          </cell>
          <cell r="C148">
            <v>14</v>
          </cell>
        </row>
        <row r="149">
          <cell r="B149">
            <v>198.52500000000001</v>
          </cell>
          <cell r="C149">
            <v>14.2</v>
          </cell>
        </row>
        <row r="150">
          <cell r="B150">
            <v>198.55</v>
          </cell>
          <cell r="C150">
            <v>14.4</v>
          </cell>
        </row>
        <row r="151">
          <cell r="B151">
            <v>198.57499999999999</v>
          </cell>
          <cell r="C151">
            <v>14.6</v>
          </cell>
        </row>
        <row r="152">
          <cell r="B152">
            <v>198.6</v>
          </cell>
          <cell r="C152">
            <v>14.8</v>
          </cell>
        </row>
        <row r="153">
          <cell r="B153">
            <v>198.625</v>
          </cell>
          <cell r="C153">
            <v>15</v>
          </cell>
        </row>
        <row r="154">
          <cell r="B154">
            <v>198.65</v>
          </cell>
          <cell r="C154">
            <v>15.2</v>
          </cell>
        </row>
        <row r="155">
          <cell r="B155">
            <v>198.67500000000001</v>
          </cell>
          <cell r="C155">
            <v>15.4</v>
          </cell>
        </row>
        <row r="156">
          <cell r="B156">
            <v>198.7</v>
          </cell>
          <cell r="C156">
            <v>15.6</v>
          </cell>
        </row>
        <row r="157">
          <cell r="B157">
            <v>198.72499999999999</v>
          </cell>
          <cell r="C157">
            <v>15.8</v>
          </cell>
        </row>
        <row r="158">
          <cell r="B158">
            <v>198.75</v>
          </cell>
          <cell r="C158">
            <v>16</v>
          </cell>
        </row>
        <row r="159">
          <cell r="B159">
            <v>198.77500000000001</v>
          </cell>
          <cell r="C159">
            <v>16.2</v>
          </cell>
        </row>
        <row r="160">
          <cell r="B160">
            <v>198.8</v>
          </cell>
          <cell r="C160">
            <v>16.399999999999999</v>
          </cell>
        </row>
        <row r="161">
          <cell r="B161">
            <v>198.82499999999999</v>
          </cell>
          <cell r="C161">
            <v>16.600000000000001</v>
          </cell>
        </row>
        <row r="162">
          <cell r="B162">
            <v>198.85</v>
          </cell>
          <cell r="C162">
            <v>16.8</v>
          </cell>
        </row>
        <row r="163">
          <cell r="B163">
            <v>198.875</v>
          </cell>
          <cell r="C163">
            <v>17</v>
          </cell>
        </row>
        <row r="164">
          <cell r="B164">
            <v>198.9</v>
          </cell>
          <cell r="C164">
            <v>17.2</v>
          </cell>
        </row>
        <row r="165">
          <cell r="B165">
            <v>198.92500000000001</v>
          </cell>
          <cell r="C165">
            <v>17.399999999999999</v>
          </cell>
        </row>
        <row r="166">
          <cell r="B166">
            <v>198.95</v>
          </cell>
          <cell r="C166">
            <v>17.600000000000001</v>
          </cell>
        </row>
        <row r="167">
          <cell r="B167">
            <v>198.97499999999999</v>
          </cell>
          <cell r="C167">
            <v>17.8</v>
          </cell>
        </row>
        <row r="168">
          <cell r="B168">
            <v>199</v>
          </cell>
          <cell r="C168">
            <v>18</v>
          </cell>
        </row>
        <row r="169">
          <cell r="B169">
            <v>199.02500000000001</v>
          </cell>
          <cell r="C169">
            <v>18.2</v>
          </cell>
        </row>
        <row r="170">
          <cell r="B170">
            <v>199.05</v>
          </cell>
          <cell r="C170">
            <v>18.399999999999999</v>
          </cell>
        </row>
        <row r="171">
          <cell r="B171">
            <v>199.07499999999999</v>
          </cell>
          <cell r="C171">
            <v>18.600000000000001</v>
          </cell>
        </row>
        <row r="172">
          <cell r="B172">
            <v>199.1</v>
          </cell>
          <cell r="C172">
            <v>18.8</v>
          </cell>
        </row>
        <row r="173">
          <cell r="B173">
            <v>199.125</v>
          </cell>
          <cell r="C173">
            <v>19</v>
          </cell>
        </row>
        <row r="174">
          <cell r="B174">
            <v>199.15</v>
          </cell>
          <cell r="C174">
            <v>19.2</v>
          </cell>
        </row>
        <row r="175">
          <cell r="B175">
            <v>199.17500000000001</v>
          </cell>
          <cell r="C175">
            <v>19.399999999999999</v>
          </cell>
        </row>
        <row r="176">
          <cell r="B176">
            <v>199.2</v>
          </cell>
          <cell r="C176">
            <v>19.600000000000001</v>
          </cell>
        </row>
        <row r="177">
          <cell r="B177">
            <v>199.22499999999999</v>
          </cell>
          <cell r="C177">
            <v>19.8</v>
          </cell>
        </row>
        <row r="178">
          <cell r="B178">
            <v>199.25</v>
          </cell>
          <cell r="C178">
            <v>20</v>
          </cell>
        </row>
        <row r="179">
          <cell r="B179">
            <v>199.27500000000001</v>
          </cell>
          <cell r="C179">
            <v>20.2</v>
          </cell>
        </row>
        <row r="180">
          <cell r="B180">
            <v>199.3</v>
          </cell>
          <cell r="C180">
            <v>20.399999999999999</v>
          </cell>
        </row>
        <row r="181">
          <cell r="B181">
            <v>199.32499999999999</v>
          </cell>
          <cell r="C181">
            <v>20.6</v>
          </cell>
        </row>
        <row r="182">
          <cell r="B182">
            <v>199.35</v>
          </cell>
          <cell r="C182">
            <v>20.8</v>
          </cell>
        </row>
        <row r="183">
          <cell r="B183">
            <v>199.375</v>
          </cell>
          <cell r="C183">
            <v>21</v>
          </cell>
        </row>
        <row r="184">
          <cell r="B184">
            <v>199.4</v>
          </cell>
          <cell r="C184">
            <v>21.2</v>
          </cell>
        </row>
        <row r="185">
          <cell r="B185">
            <v>199.42500000000001</v>
          </cell>
          <cell r="C185">
            <v>21.4</v>
          </cell>
        </row>
        <row r="186">
          <cell r="B186">
            <v>199.45</v>
          </cell>
          <cell r="C186">
            <v>21.6</v>
          </cell>
        </row>
        <row r="187">
          <cell r="B187">
            <v>199.47499999999999</v>
          </cell>
          <cell r="C187">
            <v>21.8</v>
          </cell>
        </row>
        <row r="188">
          <cell r="B188">
            <v>199.5</v>
          </cell>
          <cell r="C188">
            <v>22</v>
          </cell>
        </row>
        <row r="189">
          <cell r="B189">
            <v>199.52500000000001</v>
          </cell>
          <cell r="C189">
            <v>22.274999999999999</v>
          </cell>
        </row>
        <row r="190">
          <cell r="B190">
            <v>199.55</v>
          </cell>
          <cell r="C190">
            <v>22.55</v>
          </cell>
        </row>
        <row r="191">
          <cell r="B191">
            <v>199.57499999999999</v>
          </cell>
          <cell r="C191">
            <v>22.824999999999999</v>
          </cell>
        </row>
        <row r="192">
          <cell r="B192">
            <v>199.6</v>
          </cell>
          <cell r="C192">
            <v>23.1</v>
          </cell>
        </row>
        <row r="193">
          <cell r="B193">
            <v>199.625</v>
          </cell>
          <cell r="C193">
            <v>23.375</v>
          </cell>
        </row>
        <row r="194">
          <cell r="B194">
            <v>199.65</v>
          </cell>
          <cell r="C194">
            <v>23.65</v>
          </cell>
        </row>
        <row r="195">
          <cell r="B195">
            <v>199.67500000000001</v>
          </cell>
          <cell r="C195">
            <v>23.925000000000001</v>
          </cell>
        </row>
        <row r="196">
          <cell r="B196">
            <v>199.7</v>
          </cell>
          <cell r="C196">
            <v>24.2</v>
          </cell>
        </row>
        <row r="197">
          <cell r="B197">
            <v>199.72499999999999</v>
          </cell>
          <cell r="C197">
            <v>24.475000000000001</v>
          </cell>
        </row>
        <row r="198">
          <cell r="B198">
            <v>199.75</v>
          </cell>
          <cell r="C198">
            <v>24.75</v>
          </cell>
        </row>
        <row r="199">
          <cell r="B199">
            <v>199.77500000000001</v>
          </cell>
          <cell r="C199">
            <v>25.024999999999999</v>
          </cell>
        </row>
        <row r="200">
          <cell r="B200">
            <v>199.8</v>
          </cell>
          <cell r="C200">
            <v>25.3</v>
          </cell>
        </row>
        <row r="201">
          <cell r="B201">
            <v>199.82499999999999</v>
          </cell>
          <cell r="C201">
            <v>25.574999999999999</v>
          </cell>
        </row>
        <row r="202">
          <cell r="B202">
            <v>199.85</v>
          </cell>
          <cell r="C202">
            <v>25.85</v>
          </cell>
        </row>
        <row r="203">
          <cell r="B203">
            <v>199.875</v>
          </cell>
          <cell r="C203">
            <v>26.125</v>
          </cell>
        </row>
        <row r="204">
          <cell r="B204">
            <v>199.9</v>
          </cell>
          <cell r="C204">
            <v>26.4</v>
          </cell>
        </row>
        <row r="205">
          <cell r="B205">
            <v>199.92500000000001</v>
          </cell>
          <cell r="C205">
            <v>26.675000000000001</v>
          </cell>
        </row>
        <row r="206">
          <cell r="B206">
            <v>199.95</v>
          </cell>
          <cell r="C206">
            <v>26.95</v>
          </cell>
        </row>
        <row r="207">
          <cell r="B207">
            <v>199.97499999999999</v>
          </cell>
          <cell r="C207">
            <v>27.225000000000001</v>
          </cell>
        </row>
        <row r="208">
          <cell r="B208">
            <v>200</v>
          </cell>
          <cell r="C208">
            <v>27.5</v>
          </cell>
        </row>
        <row r="209">
          <cell r="B209">
            <v>200.02500000000001</v>
          </cell>
          <cell r="C209">
            <v>27.8</v>
          </cell>
        </row>
        <row r="210">
          <cell r="B210">
            <v>200.05</v>
          </cell>
          <cell r="C210">
            <v>28.1</v>
          </cell>
        </row>
        <row r="211">
          <cell r="B211">
            <v>200.07499999999999</v>
          </cell>
          <cell r="C211">
            <v>28.4</v>
          </cell>
        </row>
        <row r="212">
          <cell r="B212">
            <v>200.1</v>
          </cell>
          <cell r="C212">
            <v>28.7</v>
          </cell>
        </row>
        <row r="213">
          <cell r="B213">
            <v>200.12500000000108</v>
          </cell>
          <cell r="C213">
            <v>29</v>
          </cell>
        </row>
        <row r="214">
          <cell r="B214">
            <v>200.15000000000109</v>
          </cell>
          <cell r="C214">
            <v>29.3</v>
          </cell>
        </row>
        <row r="215">
          <cell r="B215">
            <v>200.17500000000109</v>
          </cell>
          <cell r="C215">
            <v>29.6</v>
          </cell>
        </row>
        <row r="216">
          <cell r="B216">
            <v>200.2000000000011</v>
          </cell>
          <cell r="C216">
            <v>29.9</v>
          </cell>
        </row>
        <row r="217">
          <cell r="B217">
            <v>200.2250000000011</v>
          </cell>
          <cell r="C217">
            <v>30.2</v>
          </cell>
        </row>
        <row r="218">
          <cell r="B218">
            <v>200.25000000000111</v>
          </cell>
          <cell r="C218">
            <v>30.5</v>
          </cell>
        </row>
        <row r="219">
          <cell r="B219">
            <v>200.27500000000111</v>
          </cell>
          <cell r="C219">
            <v>30.8</v>
          </cell>
        </row>
        <row r="220">
          <cell r="B220">
            <v>200.30000000000112</v>
          </cell>
          <cell r="C220">
            <v>31.1</v>
          </cell>
        </row>
        <row r="221">
          <cell r="B221">
            <v>200.32500000000113</v>
          </cell>
          <cell r="C221">
            <v>31.4</v>
          </cell>
        </row>
        <row r="222">
          <cell r="B222">
            <v>200.35000000000113</v>
          </cell>
          <cell r="C222">
            <v>31.7</v>
          </cell>
        </row>
        <row r="223">
          <cell r="B223">
            <v>200.37500000000114</v>
          </cell>
          <cell r="C223">
            <v>32</v>
          </cell>
        </row>
        <row r="224">
          <cell r="B224">
            <v>200.40000000000114</v>
          </cell>
          <cell r="C224">
            <v>32.299999999999997</v>
          </cell>
        </row>
        <row r="225">
          <cell r="B225">
            <v>200.42500000000115</v>
          </cell>
          <cell r="C225">
            <v>32.6</v>
          </cell>
        </row>
        <row r="226">
          <cell r="B226">
            <v>200.45000000000115</v>
          </cell>
          <cell r="C226">
            <v>32.9</v>
          </cell>
        </row>
        <row r="227">
          <cell r="B227">
            <v>200.47500000000116</v>
          </cell>
          <cell r="C227">
            <v>33.200000000000003</v>
          </cell>
        </row>
        <row r="228">
          <cell r="B228">
            <v>200.5</v>
          </cell>
          <cell r="C228">
            <v>33.49999999999995</v>
          </cell>
        </row>
        <row r="229">
          <cell r="B229">
            <v>200.52500000000001</v>
          </cell>
          <cell r="C229">
            <v>33.87499999999995</v>
          </cell>
        </row>
        <row r="230">
          <cell r="B230">
            <v>200.55</v>
          </cell>
          <cell r="C230">
            <v>34.24999999999995</v>
          </cell>
        </row>
        <row r="231">
          <cell r="B231">
            <v>200.57499999999999</v>
          </cell>
          <cell r="C231">
            <v>34.62499999999995</v>
          </cell>
        </row>
        <row r="232">
          <cell r="B232">
            <v>200.6</v>
          </cell>
          <cell r="C232">
            <v>34.99999999999995</v>
          </cell>
        </row>
        <row r="233">
          <cell r="B233">
            <v>200.625</v>
          </cell>
          <cell r="C233">
            <v>35.37499999999995</v>
          </cell>
        </row>
        <row r="234">
          <cell r="B234">
            <v>200.65</v>
          </cell>
          <cell r="C234">
            <v>35.74999999999995</v>
          </cell>
        </row>
        <row r="235">
          <cell r="B235">
            <v>200.67500000000001</v>
          </cell>
          <cell r="C235">
            <v>36.12499999999995</v>
          </cell>
        </row>
        <row r="236">
          <cell r="B236">
            <v>200.7</v>
          </cell>
          <cell r="C236">
            <v>36.49999999999995</v>
          </cell>
        </row>
        <row r="237">
          <cell r="B237">
            <v>200.72499999999999</v>
          </cell>
          <cell r="C237">
            <v>36.87499999999995</v>
          </cell>
        </row>
        <row r="238">
          <cell r="B238">
            <v>200.75</v>
          </cell>
          <cell r="C238">
            <v>37.24999999999995</v>
          </cell>
        </row>
        <row r="239">
          <cell r="B239">
            <v>200.77500000000001</v>
          </cell>
          <cell r="C239">
            <v>37.62499999999995</v>
          </cell>
        </row>
        <row r="240">
          <cell r="B240">
            <v>200.8</v>
          </cell>
          <cell r="C240">
            <v>37.99999999999995</v>
          </cell>
        </row>
        <row r="241">
          <cell r="B241">
            <v>200.82499999999999</v>
          </cell>
          <cell r="C241">
            <v>38.37499999999995</v>
          </cell>
        </row>
        <row r="242">
          <cell r="B242">
            <v>200.85</v>
          </cell>
          <cell r="C242">
            <v>38.74999999999995</v>
          </cell>
        </row>
        <row r="243">
          <cell r="B243">
            <v>200.875</v>
          </cell>
          <cell r="C243">
            <v>39.12499999999995</v>
          </cell>
        </row>
        <row r="244">
          <cell r="B244">
            <v>200.9</v>
          </cell>
          <cell r="C244">
            <v>39.49999999999995</v>
          </cell>
        </row>
        <row r="245">
          <cell r="B245">
            <v>200.92500000000001</v>
          </cell>
          <cell r="C245">
            <v>39.87499999999995</v>
          </cell>
        </row>
        <row r="246">
          <cell r="B246">
            <v>200.95</v>
          </cell>
          <cell r="C246">
            <v>40.24999999999995</v>
          </cell>
        </row>
        <row r="247">
          <cell r="B247">
            <v>200.97499999999999</v>
          </cell>
          <cell r="C247">
            <v>40.62499999999995</v>
          </cell>
        </row>
        <row r="248">
          <cell r="B248">
            <v>201</v>
          </cell>
          <cell r="C248">
            <v>41</v>
          </cell>
        </row>
        <row r="249">
          <cell r="B249">
            <v>201.02500000000001</v>
          </cell>
          <cell r="C249">
            <v>41.375</v>
          </cell>
        </row>
        <row r="250">
          <cell r="B250">
            <v>201.05</v>
          </cell>
          <cell r="C250">
            <v>41.75</v>
          </cell>
        </row>
        <row r="251">
          <cell r="B251">
            <v>201.07499999999999</v>
          </cell>
          <cell r="C251">
            <v>42.125</v>
          </cell>
        </row>
        <row r="252">
          <cell r="B252">
            <v>201.1</v>
          </cell>
          <cell r="C252">
            <v>42.5</v>
          </cell>
        </row>
        <row r="253">
          <cell r="B253">
            <v>201.125</v>
          </cell>
          <cell r="C253">
            <v>42.875</v>
          </cell>
        </row>
        <row r="254">
          <cell r="B254">
            <v>201.15</v>
          </cell>
          <cell r="C254">
            <v>43.25</v>
          </cell>
        </row>
        <row r="255">
          <cell r="B255">
            <v>201.17500000000001</v>
          </cell>
          <cell r="C255">
            <v>43.625</v>
          </cell>
        </row>
        <row r="256">
          <cell r="B256">
            <v>201.2</v>
          </cell>
          <cell r="C256">
            <v>44</v>
          </cell>
        </row>
        <row r="257">
          <cell r="B257">
            <v>201.22499999999999</v>
          </cell>
          <cell r="C257">
            <v>44.375</v>
          </cell>
        </row>
        <row r="258">
          <cell r="B258">
            <v>201.25</v>
          </cell>
          <cell r="C258">
            <v>44.75</v>
          </cell>
        </row>
        <row r="259">
          <cell r="B259">
            <v>201.27500000000001</v>
          </cell>
          <cell r="C259">
            <v>45.125</v>
          </cell>
        </row>
        <row r="260">
          <cell r="B260">
            <v>201.3</v>
          </cell>
          <cell r="C260">
            <v>45.5</v>
          </cell>
        </row>
        <row r="261">
          <cell r="B261">
            <v>201.32499999999999</v>
          </cell>
          <cell r="C261">
            <v>45.875</v>
          </cell>
        </row>
        <row r="262">
          <cell r="B262">
            <v>201.35</v>
          </cell>
          <cell r="C262">
            <v>46.25</v>
          </cell>
        </row>
        <row r="263">
          <cell r="B263">
            <v>201.375</v>
          </cell>
          <cell r="C263">
            <v>46.625</v>
          </cell>
        </row>
        <row r="264">
          <cell r="B264">
            <v>201.4</v>
          </cell>
          <cell r="C264">
            <v>47</v>
          </cell>
        </row>
        <row r="265">
          <cell r="B265">
            <v>201.42500000000001</v>
          </cell>
          <cell r="C265">
            <v>47.375</v>
          </cell>
        </row>
        <row r="266">
          <cell r="B266">
            <v>201.45</v>
          </cell>
          <cell r="C266">
            <v>47.75</v>
          </cell>
        </row>
        <row r="267">
          <cell r="B267">
            <v>201.47499999999999</v>
          </cell>
          <cell r="C267">
            <v>48.125</v>
          </cell>
        </row>
        <row r="268">
          <cell r="B268">
            <v>201.5</v>
          </cell>
          <cell r="C268">
            <v>48.5</v>
          </cell>
        </row>
        <row r="269">
          <cell r="B269">
            <v>201.52500000000001</v>
          </cell>
          <cell r="C269">
            <v>48.924999999999997</v>
          </cell>
        </row>
        <row r="270">
          <cell r="B270">
            <v>201.55</v>
          </cell>
          <cell r="C270">
            <v>49.35</v>
          </cell>
        </row>
        <row r="271">
          <cell r="B271">
            <v>201.57499999999999</v>
          </cell>
          <cell r="C271">
            <v>49.774999999999999</v>
          </cell>
        </row>
        <row r="272">
          <cell r="B272">
            <v>201.6</v>
          </cell>
          <cell r="C272">
            <v>50.2</v>
          </cell>
        </row>
        <row r="273">
          <cell r="B273">
            <v>201.625</v>
          </cell>
          <cell r="C273">
            <v>50.625</v>
          </cell>
        </row>
        <row r="274">
          <cell r="B274">
            <v>201.65</v>
          </cell>
          <cell r="C274">
            <v>51.05</v>
          </cell>
        </row>
        <row r="275">
          <cell r="B275">
            <v>201.67500000000001</v>
          </cell>
          <cell r="C275">
            <v>51.475000000000001</v>
          </cell>
        </row>
        <row r="276">
          <cell r="B276">
            <v>201.7</v>
          </cell>
          <cell r="C276">
            <v>51.9</v>
          </cell>
        </row>
        <row r="277">
          <cell r="B277">
            <v>201.72499999999999</v>
          </cell>
          <cell r="C277">
            <v>52.325000000000003</v>
          </cell>
        </row>
        <row r="278">
          <cell r="B278">
            <v>201.75</v>
          </cell>
          <cell r="C278">
            <v>52.75</v>
          </cell>
        </row>
        <row r="279">
          <cell r="B279">
            <v>201.77500000000001</v>
          </cell>
          <cell r="C279">
            <v>53.174999999999997</v>
          </cell>
        </row>
        <row r="280">
          <cell r="B280">
            <v>201.8</v>
          </cell>
          <cell r="C280">
            <v>53.6</v>
          </cell>
        </row>
        <row r="281">
          <cell r="B281">
            <v>201.82499999999999</v>
          </cell>
          <cell r="C281">
            <v>54.024999999999999</v>
          </cell>
        </row>
        <row r="282">
          <cell r="B282">
            <v>201.85</v>
          </cell>
          <cell r="C282">
            <v>54.45</v>
          </cell>
        </row>
        <row r="283">
          <cell r="B283">
            <v>201.875</v>
          </cell>
          <cell r="C283">
            <v>54.875</v>
          </cell>
        </row>
        <row r="284">
          <cell r="B284">
            <v>201.9</v>
          </cell>
          <cell r="C284">
            <v>55.3</v>
          </cell>
        </row>
        <row r="285">
          <cell r="B285">
            <v>201.92500000000001</v>
          </cell>
          <cell r="C285">
            <v>55.725000000000001</v>
          </cell>
        </row>
        <row r="286">
          <cell r="B286">
            <v>201.95</v>
          </cell>
          <cell r="C286">
            <v>56.15</v>
          </cell>
        </row>
        <row r="287">
          <cell r="B287">
            <v>201.97499999999999</v>
          </cell>
          <cell r="C287">
            <v>56.575000000000003</v>
          </cell>
        </row>
        <row r="288">
          <cell r="B288">
            <v>202</v>
          </cell>
          <cell r="C288">
            <v>57</v>
          </cell>
        </row>
        <row r="289">
          <cell r="B289">
            <v>202.02500000000001</v>
          </cell>
          <cell r="C289">
            <v>57.475000000000001</v>
          </cell>
        </row>
        <row r="290">
          <cell r="B290">
            <v>202.05</v>
          </cell>
          <cell r="C290">
            <v>57.95</v>
          </cell>
        </row>
        <row r="291">
          <cell r="B291">
            <v>202.07499999999999</v>
          </cell>
          <cell r="C291">
            <v>58.424999999999997</v>
          </cell>
        </row>
        <row r="292">
          <cell r="B292">
            <v>202.1</v>
          </cell>
          <cell r="C292">
            <v>58.9</v>
          </cell>
        </row>
        <row r="293">
          <cell r="B293">
            <v>202.125</v>
          </cell>
          <cell r="C293">
            <v>59.375</v>
          </cell>
        </row>
        <row r="294">
          <cell r="B294">
            <v>202.15</v>
          </cell>
          <cell r="C294">
            <v>59.85</v>
          </cell>
        </row>
        <row r="295">
          <cell r="B295">
            <v>202.17500000000001</v>
          </cell>
          <cell r="C295">
            <v>60.325000000000003</v>
          </cell>
        </row>
        <row r="296">
          <cell r="B296">
            <v>202.2</v>
          </cell>
          <cell r="C296">
            <v>60.8</v>
          </cell>
        </row>
        <row r="297">
          <cell r="B297">
            <v>202.22499999999999</v>
          </cell>
          <cell r="C297">
            <v>61.274999999999999</v>
          </cell>
        </row>
        <row r="298">
          <cell r="B298">
            <v>202.25</v>
          </cell>
          <cell r="C298">
            <v>61.75</v>
          </cell>
        </row>
        <row r="299">
          <cell r="B299">
            <v>202.27500000000001</v>
          </cell>
          <cell r="C299">
            <v>62.225000000000001</v>
          </cell>
        </row>
        <row r="300">
          <cell r="B300">
            <v>202.3</v>
          </cell>
          <cell r="C300">
            <v>62.7</v>
          </cell>
        </row>
        <row r="301">
          <cell r="B301">
            <v>202.32499999999999</v>
          </cell>
          <cell r="C301">
            <v>63.174999999999997</v>
          </cell>
        </row>
        <row r="302">
          <cell r="B302">
            <v>202.35</v>
          </cell>
          <cell r="C302">
            <v>63.65</v>
          </cell>
        </row>
        <row r="303">
          <cell r="B303">
            <v>202.375</v>
          </cell>
          <cell r="C303">
            <v>64.125</v>
          </cell>
        </row>
        <row r="304">
          <cell r="B304">
            <v>202.4</v>
          </cell>
          <cell r="C304">
            <v>64.599999999999994</v>
          </cell>
        </row>
        <row r="305">
          <cell r="B305">
            <v>202.42500000000001</v>
          </cell>
          <cell r="C305">
            <v>65.075000000000003</v>
          </cell>
        </row>
        <row r="306">
          <cell r="B306">
            <v>202.45</v>
          </cell>
          <cell r="C306">
            <v>65.55</v>
          </cell>
        </row>
        <row r="307">
          <cell r="B307">
            <v>202.47499999999999</v>
          </cell>
          <cell r="C307">
            <v>66.025000000000006</v>
          </cell>
        </row>
        <row r="308">
          <cell r="B308">
            <v>202.5</v>
          </cell>
          <cell r="C308">
            <v>66.5</v>
          </cell>
        </row>
        <row r="309">
          <cell r="B309">
            <v>202.52500000000001</v>
          </cell>
          <cell r="C309">
            <v>67.099999999999994</v>
          </cell>
        </row>
        <row r="310">
          <cell r="B310">
            <v>202.55</v>
          </cell>
          <cell r="C310">
            <v>67.7</v>
          </cell>
        </row>
        <row r="311">
          <cell r="B311">
            <v>202.57499999999999</v>
          </cell>
          <cell r="C311">
            <v>68.3</v>
          </cell>
        </row>
        <row r="312">
          <cell r="B312">
            <v>202.6</v>
          </cell>
          <cell r="C312">
            <v>68.900000000000006</v>
          </cell>
        </row>
        <row r="313">
          <cell r="B313">
            <v>202.625</v>
          </cell>
          <cell r="C313">
            <v>69.5</v>
          </cell>
        </row>
        <row r="314">
          <cell r="B314">
            <v>202.65</v>
          </cell>
          <cell r="C314">
            <v>70.099999999999994</v>
          </cell>
        </row>
        <row r="315">
          <cell r="B315">
            <v>202.67500000000001</v>
          </cell>
          <cell r="C315">
            <v>70.7</v>
          </cell>
        </row>
        <row r="316">
          <cell r="B316">
            <v>202.7</v>
          </cell>
          <cell r="C316">
            <v>71.3</v>
          </cell>
        </row>
        <row r="317">
          <cell r="B317">
            <v>202.72499999999999</v>
          </cell>
          <cell r="C317">
            <v>71.900000000000006</v>
          </cell>
        </row>
        <row r="318">
          <cell r="B318">
            <v>202.75</v>
          </cell>
          <cell r="C318">
            <v>72.5</v>
          </cell>
        </row>
        <row r="319">
          <cell r="B319">
            <v>202.77500000000001</v>
          </cell>
          <cell r="C319">
            <v>73.099999999999994</v>
          </cell>
        </row>
        <row r="320">
          <cell r="B320">
            <v>202.8</v>
          </cell>
          <cell r="C320">
            <v>73.7</v>
          </cell>
        </row>
        <row r="321">
          <cell r="B321">
            <v>202.82499999999999</v>
          </cell>
          <cell r="C321">
            <v>74.3</v>
          </cell>
        </row>
        <row r="322">
          <cell r="B322">
            <v>202.85</v>
          </cell>
          <cell r="C322">
            <v>74.900000000000006</v>
          </cell>
        </row>
        <row r="323">
          <cell r="B323">
            <v>202.875</v>
          </cell>
          <cell r="C323">
            <v>75.5</v>
          </cell>
        </row>
        <row r="324">
          <cell r="B324">
            <v>202.9</v>
          </cell>
          <cell r="C324">
            <v>76.099999999999994</v>
          </cell>
        </row>
        <row r="325">
          <cell r="B325">
            <v>202.92500000000001</v>
          </cell>
          <cell r="C325">
            <v>76.7</v>
          </cell>
        </row>
        <row r="326">
          <cell r="B326">
            <v>202.95</v>
          </cell>
          <cell r="C326">
            <v>77.3</v>
          </cell>
        </row>
        <row r="327">
          <cell r="B327">
            <v>202.97499999999999</v>
          </cell>
          <cell r="C327">
            <v>77.900000000000006</v>
          </cell>
        </row>
        <row r="328">
          <cell r="B328">
            <v>203</v>
          </cell>
          <cell r="C328">
            <v>78.5</v>
          </cell>
        </row>
        <row r="329">
          <cell r="B329">
            <v>203.02500000000001</v>
          </cell>
          <cell r="C329">
            <v>79.075000000000003</v>
          </cell>
        </row>
        <row r="330">
          <cell r="B330">
            <v>203.05</v>
          </cell>
          <cell r="C330">
            <v>79.650000000000006</v>
          </cell>
        </row>
        <row r="331">
          <cell r="B331">
            <v>203.07499999999999</v>
          </cell>
          <cell r="C331">
            <v>80.224999999999994</v>
          </cell>
        </row>
        <row r="332">
          <cell r="B332">
            <v>203.1</v>
          </cell>
          <cell r="C332">
            <v>80.8</v>
          </cell>
        </row>
        <row r="333">
          <cell r="B333">
            <v>203.125</v>
          </cell>
          <cell r="C333">
            <v>81.375</v>
          </cell>
        </row>
        <row r="334">
          <cell r="B334">
            <v>203.15</v>
          </cell>
          <cell r="C334">
            <v>81.95</v>
          </cell>
        </row>
        <row r="335">
          <cell r="B335">
            <v>203.17500000000001</v>
          </cell>
          <cell r="C335">
            <v>82.525000000000006</v>
          </cell>
        </row>
        <row r="336">
          <cell r="B336">
            <v>203.2</v>
          </cell>
          <cell r="C336">
            <v>83.1</v>
          </cell>
        </row>
        <row r="337">
          <cell r="B337">
            <v>203.22499999999999</v>
          </cell>
          <cell r="C337">
            <v>83.674999999999997</v>
          </cell>
        </row>
        <row r="338">
          <cell r="B338">
            <v>203.25</v>
          </cell>
          <cell r="C338">
            <v>84.25</v>
          </cell>
        </row>
        <row r="339">
          <cell r="B339">
            <v>203.27500000000001</v>
          </cell>
          <cell r="C339">
            <v>84.825000000000003</v>
          </cell>
        </row>
        <row r="340">
          <cell r="B340">
            <v>203.3</v>
          </cell>
          <cell r="C340">
            <v>85.4</v>
          </cell>
        </row>
        <row r="341">
          <cell r="B341">
            <v>203.32499999999999</v>
          </cell>
          <cell r="C341">
            <v>85.974999999999994</v>
          </cell>
        </row>
        <row r="342">
          <cell r="B342">
            <v>203.35</v>
          </cell>
          <cell r="C342">
            <v>86.55</v>
          </cell>
        </row>
        <row r="343">
          <cell r="B343">
            <v>203.375</v>
          </cell>
          <cell r="C343">
            <v>87.125</v>
          </cell>
        </row>
        <row r="344">
          <cell r="B344">
            <v>203.4</v>
          </cell>
          <cell r="C344">
            <v>87.7</v>
          </cell>
        </row>
        <row r="345">
          <cell r="B345">
            <v>203.42500000000001</v>
          </cell>
          <cell r="C345">
            <v>88.275000000000006</v>
          </cell>
        </row>
        <row r="346">
          <cell r="B346">
            <v>203.45</v>
          </cell>
          <cell r="C346">
            <v>88.85</v>
          </cell>
        </row>
        <row r="347">
          <cell r="B347">
            <v>203.47499999999999</v>
          </cell>
          <cell r="C347">
            <v>89.424999999999997</v>
          </cell>
        </row>
        <row r="348">
          <cell r="B348">
            <v>203.5</v>
          </cell>
          <cell r="C348">
            <v>90</v>
          </cell>
        </row>
        <row r="349">
          <cell r="B349">
            <v>203.52500000000001</v>
          </cell>
          <cell r="C349">
            <v>90.8</v>
          </cell>
        </row>
        <row r="350">
          <cell r="B350">
            <v>203.55</v>
          </cell>
          <cell r="C350">
            <v>91.6</v>
          </cell>
        </row>
        <row r="351">
          <cell r="B351">
            <v>203.57499999999999</v>
          </cell>
          <cell r="C351">
            <v>92.4</v>
          </cell>
        </row>
        <row r="352">
          <cell r="B352">
            <v>203.6</v>
          </cell>
          <cell r="C352">
            <v>93.2</v>
          </cell>
        </row>
        <row r="353">
          <cell r="B353">
            <v>203.625</v>
          </cell>
          <cell r="C353">
            <v>94</v>
          </cell>
        </row>
        <row r="354">
          <cell r="B354">
            <v>203.65</v>
          </cell>
          <cell r="C354">
            <v>94.8</v>
          </cell>
        </row>
        <row r="355">
          <cell r="B355">
            <v>203.67500000000001</v>
          </cell>
          <cell r="C355">
            <v>95.6</v>
          </cell>
        </row>
        <row r="356">
          <cell r="B356">
            <v>203.7</v>
          </cell>
          <cell r="C356">
            <v>96.4</v>
          </cell>
        </row>
        <row r="357">
          <cell r="B357">
            <v>203.72499999999999</v>
          </cell>
          <cell r="C357">
            <v>97.2</v>
          </cell>
        </row>
        <row r="358">
          <cell r="B358">
            <v>203.75</v>
          </cell>
          <cell r="C358">
            <v>98</v>
          </cell>
        </row>
        <row r="359">
          <cell r="B359">
            <v>203.77500000000001</v>
          </cell>
          <cell r="C359">
            <v>98.8</v>
          </cell>
        </row>
        <row r="360">
          <cell r="B360">
            <v>203.8</v>
          </cell>
          <cell r="C360">
            <v>99.6</v>
          </cell>
        </row>
        <row r="361">
          <cell r="B361">
            <v>203.82499999999999</v>
          </cell>
          <cell r="C361">
            <v>100.4</v>
          </cell>
        </row>
        <row r="362">
          <cell r="B362">
            <v>203.85</v>
          </cell>
          <cell r="C362">
            <v>101.2</v>
          </cell>
        </row>
        <row r="363">
          <cell r="B363">
            <v>203.875</v>
          </cell>
          <cell r="C363">
            <v>102</v>
          </cell>
        </row>
        <row r="364">
          <cell r="B364">
            <v>203.9</v>
          </cell>
          <cell r="C364">
            <v>102.8</v>
          </cell>
        </row>
        <row r="365">
          <cell r="B365">
            <v>203.92500000000001</v>
          </cell>
          <cell r="C365">
            <v>103.6</v>
          </cell>
        </row>
        <row r="366">
          <cell r="B366">
            <v>203.95</v>
          </cell>
          <cell r="C366">
            <v>104.4</v>
          </cell>
        </row>
        <row r="367">
          <cell r="B367">
            <v>203.97499999999999</v>
          </cell>
          <cell r="C367">
            <v>105.2</v>
          </cell>
        </row>
        <row r="368">
          <cell r="B368">
            <v>204</v>
          </cell>
          <cell r="C368">
            <v>106</v>
          </cell>
        </row>
        <row r="369">
          <cell r="B369">
            <v>204.02500000000001</v>
          </cell>
          <cell r="C369">
            <v>106.825</v>
          </cell>
        </row>
        <row r="370">
          <cell r="B370">
            <v>204.05</v>
          </cell>
          <cell r="C370">
            <v>107.65</v>
          </cell>
        </row>
        <row r="371">
          <cell r="B371">
            <v>204.07499999999999</v>
          </cell>
          <cell r="C371">
            <v>108.47499999999999</v>
          </cell>
        </row>
        <row r="372">
          <cell r="B372">
            <v>204.1</v>
          </cell>
          <cell r="C372">
            <v>109.3</v>
          </cell>
        </row>
        <row r="373">
          <cell r="B373">
            <v>204.125</v>
          </cell>
          <cell r="C373">
            <v>110.125</v>
          </cell>
        </row>
        <row r="374">
          <cell r="B374">
            <v>204.15</v>
          </cell>
          <cell r="C374">
            <v>110.95</v>
          </cell>
        </row>
        <row r="375">
          <cell r="B375">
            <v>204.17500000000001</v>
          </cell>
          <cell r="C375">
            <v>111.77500000000001</v>
          </cell>
        </row>
        <row r="376">
          <cell r="B376">
            <v>204.2</v>
          </cell>
          <cell r="C376">
            <v>112.6</v>
          </cell>
        </row>
        <row r="377">
          <cell r="B377">
            <v>204.22499999999999</v>
          </cell>
          <cell r="C377">
            <v>113.425</v>
          </cell>
        </row>
        <row r="378">
          <cell r="B378">
            <v>204.25</v>
          </cell>
          <cell r="C378">
            <v>114.25</v>
          </cell>
        </row>
        <row r="379">
          <cell r="B379">
            <v>204.27500000000001</v>
          </cell>
          <cell r="C379">
            <v>115.075</v>
          </cell>
        </row>
        <row r="380">
          <cell r="B380">
            <v>204.3</v>
          </cell>
          <cell r="C380">
            <v>115.9</v>
          </cell>
        </row>
        <row r="381">
          <cell r="B381">
            <v>204.32499999999999</v>
          </cell>
          <cell r="C381">
            <v>116.72499999999999</v>
          </cell>
        </row>
        <row r="382">
          <cell r="B382">
            <v>204.35</v>
          </cell>
          <cell r="C382">
            <v>117.55</v>
          </cell>
        </row>
        <row r="383">
          <cell r="B383">
            <v>204.375</v>
          </cell>
          <cell r="C383">
            <v>118.375</v>
          </cell>
        </row>
        <row r="384">
          <cell r="B384">
            <v>204.4</v>
          </cell>
          <cell r="C384">
            <v>119.2</v>
          </cell>
        </row>
        <row r="385">
          <cell r="B385">
            <v>204.42500000000001</v>
          </cell>
          <cell r="C385">
            <v>120.02500000000001</v>
          </cell>
        </row>
        <row r="386">
          <cell r="B386">
            <v>204.45</v>
          </cell>
          <cell r="C386">
            <v>120.85</v>
          </cell>
        </row>
        <row r="387">
          <cell r="B387">
            <v>204.47499999999999</v>
          </cell>
          <cell r="C387">
            <v>121.675</v>
          </cell>
        </row>
        <row r="388">
          <cell r="B388">
            <v>204.5</v>
          </cell>
          <cell r="C388">
            <v>122.5</v>
          </cell>
        </row>
        <row r="389">
          <cell r="B389">
            <v>204.52500000000001</v>
          </cell>
          <cell r="C389">
            <v>123.375</v>
          </cell>
        </row>
        <row r="390">
          <cell r="B390">
            <v>204.55</v>
          </cell>
          <cell r="C390">
            <v>124.25</v>
          </cell>
        </row>
        <row r="391">
          <cell r="B391">
            <v>204.57499999999999</v>
          </cell>
          <cell r="C391">
            <v>125.125</v>
          </cell>
        </row>
        <row r="392">
          <cell r="B392">
            <v>204.6</v>
          </cell>
          <cell r="C392">
            <v>126</v>
          </cell>
        </row>
        <row r="393">
          <cell r="B393">
            <v>204.625</v>
          </cell>
          <cell r="C393">
            <v>126.875</v>
          </cell>
        </row>
        <row r="394">
          <cell r="B394">
            <v>204.65</v>
          </cell>
          <cell r="C394">
            <v>127.75</v>
          </cell>
        </row>
        <row r="395">
          <cell r="B395">
            <v>204.67500000000001</v>
          </cell>
          <cell r="C395">
            <v>128.625</v>
          </cell>
        </row>
        <row r="396">
          <cell r="B396">
            <v>204.7</v>
          </cell>
          <cell r="C396">
            <v>129.5</v>
          </cell>
        </row>
        <row r="397">
          <cell r="B397">
            <v>204.72499999999999</v>
          </cell>
          <cell r="C397">
            <v>130.375</v>
          </cell>
        </row>
        <row r="398">
          <cell r="B398">
            <v>204.75</v>
          </cell>
          <cell r="C398">
            <v>131.25</v>
          </cell>
        </row>
        <row r="399">
          <cell r="B399">
            <v>204.77500000000001</v>
          </cell>
          <cell r="C399">
            <v>132.125</v>
          </cell>
        </row>
        <row r="400">
          <cell r="B400">
            <v>204.8</v>
          </cell>
          <cell r="C400">
            <v>133</v>
          </cell>
        </row>
        <row r="401">
          <cell r="B401">
            <v>204.82499999999999</v>
          </cell>
          <cell r="C401">
            <v>133.875</v>
          </cell>
        </row>
        <row r="402">
          <cell r="B402">
            <v>204.85</v>
          </cell>
          <cell r="C402">
            <v>134.75</v>
          </cell>
        </row>
        <row r="403">
          <cell r="B403">
            <v>204.875</v>
          </cell>
          <cell r="C403">
            <v>135.625</v>
          </cell>
        </row>
        <row r="404">
          <cell r="B404">
            <v>204.9</v>
          </cell>
          <cell r="C404">
            <v>136.5</v>
          </cell>
        </row>
        <row r="405">
          <cell r="B405">
            <v>204.92500000000001</v>
          </cell>
          <cell r="C405">
            <v>137.375</v>
          </cell>
        </row>
        <row r="406">
          <cell r="B406">
            <v>204.95</v>
          </cell>
          <cell r="C406">
            <v>138.25</v>
          </cell>
        </row>
        <row r="407">
          <cell r="B407">
            <v>204.97499999999999</v>
          </cell>
          <cell r="C407">
            <v>139.125</v>
          </cell>
        </row>
        <row r="408">
          <cell r="B408">
            <v>205</v>
          </cell>
          <cell r="C408">
            <v>140</v>
          </cell>
        </row>
        <row r="409">
          <cell r="B409">
            <v>205.02500000000001</v>
          </cell>
          <cell r="C409">
            <v>141</v>
          </cell>
        </row>
        <row r="410">
          <cell r="B410">
            <v>205.05</v>
          </cell>
          <cell r="C410">
            <v>142</v>
          </cell>
        </row>
        <row r="411">
          <cell r="B411">
            <v>205.07499999999999</v>
          </cell>
          <cell r="C411">
            <v>143</v>
          </cell>
        </row>
        <row r="412">
          <cell r="B412">
            <v>205.1</v>
          </cell>
          <cell r="C412">
            <v>144</v>
          </cell>
        </row>
        <row r="413">
          <cell r="B413">
            <v>205.125</v>
          </cell>
          <cell r="C413">
            <v>145</v>
          </cell>
        </row>
        <row r="414">
          <cell r="B414">
            <v>205.15</v>
          </cell>
          <cell r="C414">
            <v>146</v>
          </cell>
        </row>
        <row r="415">
          <cell r="B415">
            <v>205.17500000000001</v>
          </cell>
          <cell r="C415">
            <v>147</v>
          </cell>
        </row>
        <row r="416">
          <cell r="B416">
            <v>205.2</v>
          </cell>
          <cell r="C416">
            <v>148</v>
          </cell>
        </row>
        <row r="417">
          <cell r="B417">
            <v>205.22499999999999</v>
          </cell>
          <cell r="C417">
            <v>149</v>
          </cell>
        </row>
        <row r="418">
          <cell r="B418">
            <v>205.25</v>
          </cell>
          <cell r="C418">
            <v>150</v>
          </cell>
        </row>
        <row r="419">
          <cell r="B419">
            <v>205.27500000000001</v>
          </cell>
          <cell r="C419">
            <v>151</v>
          </cell>
        </row>
        <row r="420">
          <cell r="B420">
            <v>205.3</v>
          </cell>
          <cell r="C420">
            <v>152</v>
          </cell>
        </row>
        <row r="421">
          <cell r="B421">
            <v>205.32499999999999</v>
          </cell>
          <cell r="C421">
            <v>153</v>
          </cell>
        </row>
        <row r="422">
          <cell r="B422">
            <v>205.35</v>
          </cell>
          <cell r="C422">
            <v>154</v>
          </cell>
        </row>
        <row r="423">
          <cell r="B423">
            <v>205.375</v>
          </cell>
          <cell r="C423">
            <v>155</v>
          </cell>
        </row>
        <row r="424">
          <cell r="B424">
            <v>205.4</v>
          </cell>
          <cell r="C424">
            <v>156</v>
          </cell>
        </row>
        <row r="425">
          <cell r="B425">
            <v>205.42500000000001</v>
          </cell>
          <cell r="C425">
            <v>157</v>
          </cell>
        </row>
        <row r="426">
          <cell r="B426">
            <v>205.45</v>
          </cell>
          <cell r="C426">
            <v>158</v>
          </cell>
        </row>
        <row r="427">
          <cell r="B427">
            <v>205.47499999999999</v>
          </cell>
          <cell r="C427">
            <v>159</v>
          </cell>
        </row>
        <row r="428">
          <cell r="B428">
            <v>205.5</v>
          </cell>
          <cell r="C428">
            <v>160</v>
          </cell>
        </row>
        <row r="429">
          <cell r="B429">
            <v>205.52500000000001</v>
          </cell>
          <cell r="C429">
            <v>161</v>
          </cell>
        </row>
        <row r="430">
          <cell r="B430">
            <v>205.55</v>
          </cell>
          <cell r="C430">
            <v>162</v>
          </cell>
        </row>
        <row r="431">
          <cell r="B431">
            <v>205.57499999999999</v>
          </cell>
          <cell r="C431">
            <v>163</v>
          </cell>
        </row>
        <row r="432">
          <cell r="B432">
            <v>205.6</v>
          </cell>
          <cell r="C432">
            <v>164</v>
          </cell>
        </row>
        <row r="433">
          <cell r="B433">
            <v>205.625</v>
          </cell>
          <cell r="C433">
            <v>165</v>
          </cell>
        </row>
        <row r="434">
          <cell r="B434">
            <v>205.65</v>
          </cell>
          <cell r="C434">
            <v>166</v>
          </cell>
        </row>
        <row r="435">
          <cell r="B435">
            <v>205.67500000000001</v>
          </cell>
          <cell r="C435">
            <v>167</v>
          </cell>
        </row>
        <row r="436">
          <cell r="B436">
            <v>205.7</v>
          </cell>
          <cell r="C436">
            <v>168</v>
          </cell>
        </row>
        <row r="437">
          <cell r="B437">
            <v>205.72499999999999</v>
          </cell>
          <cell r="C437">
            <v>169</v>
          </cell>
        </row>
        <row r="438">
          <cell r="B438">
            <v>205.75</v>
          </cell>
          <cell r="C438">
            <v>170</v>
          </cell>
        </row>
        <row r="439">
          <cell r="B439">
            <v>205.77500000000001</v>
          </cell>
          <cell r="C439">
            <v>171</v>
          </cell>
        </row>
        <row r="440">
          <cell r="B440">
            <v>205.8</v>
          </cell>
          <cell r="C440">
            <v>172</v>
          </cell>
        </row>
        <row r="441">
          <cell r="B441">
            <v>205.82499999999999</v>
          </cell>
          <cell r="C441">
            <v>173</v>
          </cell>
        </row>
        <row r="442">
          <cell r="B442">
            <v>205.85</v>
          </cell>
          <cell r="C442">
            <v>174</v>
          </cell>
        </row>
        <row r="443">
          <cell r="B443">
            <v>205.875</v>
          </cell>
          <cell r="C443">
            <v>175</v>
          </cell>
        </row>
        <row r="444">
          <cell r="B444">
            <v>205.9</v>
          </cell>
          <cell r="C444">
            <v>176</v>
          </cell>
        </row>
        <row r="445">
          <cell r="B445">
            <v>205.92500000000001</v>
          </cell>
          <cell r="C445">
            <v>177</v>
          </cell>
        </row>
        <row r="446">
          <cell r="B446">
            <v>205.95</v>
          </cell>
          <cell r="C446">
            <v>178</v>
          </cell>
        </row>
        <row r="447">
          <cell r="B447">
            <v>205.97499999999999</v>
          </cell>
          <cell r="C447">
            <v>179</v>
          </cell>
        </row>
        <row r="448">
          <cell r="B448">
            <v>206</v>
          </cell>
          <cell r="C448">
            <v>180</v>
          </cell>
        </row>
        <row r="449">
          <cell r="B449">
            <v>206.02500000000001</v>
          </cell>
          <cell r="C449">
            <v>181.15</v>
          </cell>
        </row>
        <row r="450">
          <cell r="B450">
            <v>206.05</v>
          </cell>
          <cell r="C450">
            <v>182.3</v>
          </cell>
        </row>
        <row r="451">
          <cell r="B451">
            <v>206.07499999999999</v>
          </cell>
          <cell r="C451">
            <v>183.45</v>
          </cell>
        </row>
        <row r="452">
          <cell r="B452">
            <v>206.1</v>
          </cell>
          <cell r="C452">
            <v>184.6</v>
          </cell>
        </row>
        <row r="453">
          <cell r="B453">
            <v>206.125</v>
          </cell>
          <cell r="C453">
            <v>185.75</v>
          </cell>
        </row>
        <row r="454">
          <cell r="B454">
            <v>206.15</v>
          </cell>
          <cell r="C454">
            <v>186.9</v>
          </cell>
        </row>
        <row r="455">
          <cell r="B455">
            <v>206.17500000000001</v>
          </cell>
          <cell r="C455">
            <v>188.05</v>
          </cell>
        </row>
        <row r="456">
          <cell r="B456">
            <v>206.2</v>
          </cell>
          <cell r="C456">
            <v>189.2</v>
          </cell>
        </row>
        <row r="457">
          <cell r="B457">
            <v>206.22499999999999</v>
          </cell>
          <cell r="C457">
            <v>190.35</v>
          </cell>
        </row>
        <row r="458">
          <cell r="B458">
            <v>206.25</v>
          </cell>
          <cell r="C458">
            <v>191.5</v>
          </cell>
        </row>
        <row r="459">
          <cell r="B459">
            <v>206.27500000000001</v>
          </cell>
          <cell r="C459">
            <v>192.65</v>
          </cell>
        </row>
        <row r="460">
          <cell r="B460">
            <v>206.3</v>
          </cell>
          <cell r="C460">
            <v>193.8</v>
          </cell>
        </row>
        <row r="461">
          <cell r="B461">
            <v>206.32499999999999</v>
          </cell>
          <cell r="C461">
            <v>194.95</v>
          </cell>
        </row>
        <row r="462">
          <cell r="B462">
            <v>206.35</v>
          </cell>
          <cell r="C462">
            <v>196.1</v>
          </cell>
        </row>
        <row r="463">
          <cell r="B463">
            <v>206.375</v>
          </cell>
          <cell r="C463">
            <v>197.25</v>
          </cell>
        </row>
        <row r="464">
          <cell r="B464">
            <v>206.4</v>
          </cell>
          <cell r="C464">
            <v>198.4</v>
          </cell>
        </row>
        <row r="465">
          <cell r="B465">
            <v>206.42500000000001</v>
          </cell>
          <cell r="C465">
            <v>199.55</v>
          </cell>
        </row>
        <row r="466">
          <cell r="B466">
            <v>206.45</v>
          </cell>
          <cell r="C466">
            <v>200.7</v>
          </cell>
        </row>
        <row r="467">
          <cell r="B467">
            <v>206.47499999999999</v>
          </cell>
          <cell r="C467">
            <v>201.85</v>
          </cell>
        </row>
        <row r="468">
          <cell r="B468">
            <v>206.5</v>
          </cell>
          <cell r="C468">
            <v>203</v>
          </cell>
        </row>
        <row r="469">
          <cell r="B469">
            <v>206.52500000000001</v>
          </cell>
          <cell r="C469">
            <v>204.17500000000001</v>
          </cell>
        </row>
        <row r="470">
          <cell r="B470">
            <v>206.55</v>
          </cell>
          <cell r="C470">
            <v>205.35</v>
          </cell>
        </row>
        <row r="471">
          <cell r="B471">
            <v>206.57499999999999</v>
          </cell>
          <cell r="C471">
            <v>206.52500000000001</v>
          </cell>
        </row>
        <row r="472">
          <cell r="B472">
            <v>206.6</v>
          </cell>
          <cell r="C472">
            <v>207.7</v>
          </cell>
        </row>
        <row r="473">
          <cell r="B473">
            <v>206.625</v>
          </cell>
          <cell r="C473">
            <v>208.875</v>
          </cell>
        </row>
        <row r="474">
          <cell r="B474">
            <v>206.65</v>
          </cell>
          <cell r="C474">
            <v>210.05</v>
          </cell>
        </row>
        <row r="475">
          <cell r="B475">
            <v>206.67500000000001</v>
          </cell>
          <cell r="C475">
            <v>211.22499999999999</v>
          </cell>
        </row>
        <row r="476">
          <cell r="B476">
            <v>206.7</v>
          </cell>
          <cell r="C476">
            <v>212.4</v>
          </cell>
        </row>
        <row r="477">
          <cell r="B477">
            <v>206.72499999999999</v>
          </cell>
          <cell r="C477">
            <v>213.57499999999999</v>
          </cell>
        </row>
        <row r="478">
          <cell r="B478">
            <v>206.75</v>
          </cell>
          <cell r="C478">
            <v>214.75</v>
          </cell>
        </row>
        <row r="479">
          <cell r="B479">
            <v>206.77500000000001</v>
          </cell>
          <cell r="C479">
            <v>215.92500000000001</v>
          </cell>
        </row>
        <row r="480">
          <cell r="B480">
            <v>206.8</v>
          </cell>
          <cell r="C480">
            <v>217.1</v>
          </cell>
        </row>
        <row r="481">
          <cell r="B481">
            <v>206.82499999999999</v>
          </cell>
          <cell r="C481">
            <v>218.27500000000001</v>
          </cell>
        </row>
        <row r="482">
          <cell r="B482">
            <v>206.85</v>
          </cell>
          <cell r="C482">
            <v>219.45</v>
          </cell>
        </row>
        <row r="483">
          <cell r="B483">
            <v>206.875</v>
          </cell>
          <cell r="C483">
            <v>220.625</v>
          </cell>
        </row>
        <row r="484">
          <cell r="B484">
            <v>206.9</v>
          </cell>
          <cell r="C484">
            <v>221.8</v>
          </cell>
        </row>
        <row r="485">
          <cell r="B485">
            <v>206.92500000000001</v>
          </cell>
          <cell r="C485">
            <v>222.97499999999999</v>
          </cell>
        </row>
        <row r="486">
          <cell r="B486">
            <v>206.95</v>
          </cell>
          <cell r="C486">
            <v>224.15</v>
          </cell>
        </row>
        <row r="487">
          <cell r="B487">
            <v>206.97499999999999</v>
          </cell>
          <cell r="C487">
            <v>225.32499999999999</v>
          </cell>
        </row>
        <row r="488">
          <cell r="B488">
            <v>207</v>
          </cell>
          <cell r="C488">
            <v>226.5</v>
          </cell>
        </row>
        <row r="489">
          <cell r="B489">
            <v>207.02500000000001</v>
          </cell>
          <cell r="C489">
            <v>227.8</v>
          </cell>
        </row>
        <row r="490">
          <cell r="B490">
            <v>207.05</v>
          </cell>
          <cell r="C490">
            <v>229.1</v>
          </cell>
        </row>
        <row r="491">
          <cell r="B491">
            <v>207.07499999999999</v>
          </cell>
          <cell r="C491">
            <v>230.4</v>
          </cell>
        </row>
        <row r="492">
          <cell r="B492">
            <v>207.1</v>
          </cell>
          <cell r="C492">
            <v>231.7</v>
          </cell>
        </row>
        <row r="493">
          <cell r="B493">
            <v>207.125</v>
          </cell>
          <cell r="C493">
            <v>233</v>
          </cell>
        </row>
        <row r="494">
          <cell r="B494">
            <v>207.15</v>
          </cell>
          <cell r="C494">
            <v>234.3</v>
          </cell>
        </row>
        <row r="495">
          <cell r="B495">
            <v>207.17500000000001</v>
          </cell>
          <cell r="C495">
            <v>235.6</v>
          </cell>
        </row>
        <row r="496">
          <cell r="B496">
            <v>207.2</v>
          </cell>
          <cell r="C496">
            <v>236.9</v>
          </cell>
        </row>
        <row r="497">
          <cell r="B497">
            <v>207.22499999999999</v>
          </cell>
          <cell r="C497">
            <v>238.2</v>
          </cell>
        </row>
        <row r="498">
          <cell r="B498">
            <v>207.25</v>
          </cell>
          <cell r="C498">
            <v>239.5</v>
          </cell>
        </row>
        <row r="499">
          <cell r="B499">
            <v>207.27500000000001</v>
          </cell>
          <cell r="C499">
            <v>240.8</v>
          </cell>
        </row>
        <row r="500">
          <cell r="B500">
            <v>207.3</v>
          </cell>
          <cell r="C500">
            <v>242.1</v>
          </cell>
        </row>
        <row r="501">
          <cell r="B501">
            <v>207.32499999999999</v>
          </cell>
          <cell r="C501">
            <v>243.4</v>
          </cell>
        </row>
        <row r="502">
          <cell r="B502">
            <v>207.35</v>
          </cell>
          <cell r="C502">
            <v>244.7</v>
          </cell>
        </row>
        <row r="503">
          <cell r="B503">
            <v>207.375</v>
          </cell>
          <cell r="C503">
            <v>246</v>
          </cell>
        </row>
        <row r="504">
          <cell r="B504">
            <v>207.4</v>
          </cell>
          <cell r="C504">
            <v>247.3</v>
          </cell>
        </row>
        <row r="505">
          <cell r="B505">
            <v>207.42500000000001</v>
          </cell>
          <cell r="C505">
            <v>248.6</v>
          </cell>
        </row>
        <row r="506">
          <cell r="B506">
            <v>207.45</v>
          </cell>
          <cell r="C506">
            <v>249.9</v>
          </cell>
        </row>
        <row r="507">
          <cell r="B507">
            <v>207.47499999999999</v>
          </cell>
          <cell r="C507">
            <v>251.2</v>
          </cell>
        </row>
        <row r="508">
          <cell r="B508">
            <v>207.5</v>
          </cell>
          <cell r="C508">
            <v>252.5</v>
          </cell>
        </row>
        <row r="509">
          <cell r="B509">
            <v>207.52500000000001</v>
          </cell>
          <cell r="C509">
            <v>253.92500000000001</v>
          </cell>
        </row>
        <row r="510">
          <cell r="B510">
            <v>207.55</v>
          </cell>
          <cell r="C510">
            <v>255.35</v>
          </cell>
        </row>
        <row r="511">
          <cell r="B511">
            <v>207.57499999999999</v>
          </cell>
          <cell r="C511">
            <v>256.77499999999998</v>
          </cell>
        </row>
        <row r="512">
          <cell r="B512">
            <v>207.6</v>
          </cell>
          <cell r="C512">
            <v>258.2</v>
          </cell>
        </row>
        <row r="513">
          <cell r="B513">
            <v>207.625</v>
          </cell>
          <cell r="C513">
            <v>259.625</v>
          </cell>
        </row>
        <row r="514">
          <cell r="B514">
            <v>207.65</v>
          </cell>
          <cell r="C514">
            <v>261.05</v>
          </cell>
        </row>
        <row r="515">
          <cell r="B515">
            <v>207.67500000000001</v>
          </cell>
          <cell r="C515">
            <v>262.47500000000002</v>
          </cell>
        </row>
        <row r="516">
          <cell r="B516">
            <v>207.7</v>
          </cell>
          <cell r="C516">
            <v>263.89999999999998</v>
          </cell>
        </row>
        <row r="517">
          <cell r="B517">
            <v>207.72499999999999</v>
          </cell>
          <cell r="C517">
            <v>265.32499999999999</v>
          </cell>
        </row>
        <row r="518">
          <cell r="B518">
            <v>207.75</v>
          </cell>
          <cell r="C518">
            <v>266.75</v>
          </cell>
        </row>
        <row r="519">
          <cell r="B519">
            <v>207.77500000000001</v>
          </cell>
          <cell r="C519">
            <v>268.17500000000001</v>
          </cell>
        </row>
        <row r="520">
          <cell r="B520">
            <v>207.8</v>
          </cell>
          <cell r="C520">
            <v>269.60000000000002</v>
          </cell>
        </row>
        <row r="521">
          <cell r="B521">
            <v>207.82499999999999</v>
          </cell>
          <cell r="C521">
            <v>271.02499999999998</v>
          </cell>
        </row>
        <row r="522">
          <cell r="B522">
            <v>207.85</v>
          </cell>
          <cell r="C522">
            <v>272.45</v>
          </cell>
        </row>
        <row r="523">
          <cell r="B523">
            <v>207.875</v>
          </cell>
          <cell r="C523">
            <v>273.875</v>
          </cell>
        </row>
        <row r="524">
          <cell r="B524">
            <v>207.9</v>
          </cell>
          <cell r="C524">
            <v>275.3</v>
          </cell>
        </row>
        <row r="525">
          <cell r="B525">
            <v>207.92500000000001</v>
          </cell>
          <cell r="C525">
            <v>276.72500000000002</v>
          </cell>
        </row>
        <row r="526">
          <cell r="B526">
            <v>207.95</v>
          </cell>
          <cell r="C526">
            <v>278.14999999999998</v>
          </cell>
        </row>
        <row r="527">
          <cell r="B527">
            <v>207.97499999999999</v>
          </cell>
          <cell r="C527">
            <v>279.57499999999999</v>
          </cell>
        </row>
        <row r="528">
          <cell r="B528">
            <v>208</v>
          </cell>
          <cell r="C528">
            <v>281</v>
          </cell>
        </row>
      </sheetData>
      <sheetData sheetId="1" refreshError="1"/>
      <sheetData sheetId="2" refreshError="1"/>
      <sheetData sheetId="3" refreshError="1"/>
      <sheetData sheetId="4" refreshError="1"/>
      <sheetData sheetId="5"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Level_qty"/>
    </sheetNames>
    <sheetDataSet>
      <sheetData sheetId="0">
        <row r="4">
          <cell r="B4">
            <v>7.8600000000000003E-2</v>
          </cell>
        </row>
        <row r="5">
          <cell r="B5">
            <v>7.8600000000000003E-2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I"/>
      <sheetName val="DRS"/>
      <sheetName val="6 mths price data"/>
      <sheetName val="EPS"/>
      <sheetName val="ACT"/>
      <sheetName val="SEGMENT"/>
      <sheetName val="Sheet3"/>
      <sheetName val="SW"/>
      <sheetName val="BASE"/>
      <sheetName val="RRT"/>
      <sheetName val="INDEX"/>
      <sheetName val="QR"/>
      <sheetName val="Sheet1"/>
      <sheetName val="Income-Expn. summary"/>
      <sheetName val="PAT Correspondeing"/>
      <sheetName val="PAT-Trailing"/>
      <sheetName val="hilights"/>
      <sheetName val="Sheet2"/>
      <sheetName val="DIVNWISE"/>
      <sheetName val="segwise"/>
      <sheetName val="EPC Profit"/>
      <sheetName val="PROFIT RECO"/>
      <sheetName val="agtotal"/>
      <sheetName val="A&amp;G"/>
      <sheetName val="BS"/>
      <sheetName val="RATIO"/>
      <sheetName val="WORK-RATIO"/>
      <sheetName val="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Y"/>
      <sheetName val="PRESFMS"/>
      <sheetName val="Ohds"/>
      <sheetName val="Assumptions"/>
      <sheetName val="mancount"/>
      <sheetName val="HI-TARGE"/>
      <sheetName val="Company"/>
      <sheetName val="Share capital"/>
      <sheetName val="Reserve and surplus"/>
      <sheetName val="Other current liabilities"/>
      <sheetName val="FA"/>
      <sheetName val="Intangible assets"/>
      <sheetName val="Deferred tax assets"/>
      <sheetName val="Loans and advances Non cur"/>
      <sheetName val="Cur. Trade rece. &amp; othr asst"/>
      <sheetName val="Balance Sheet"/>
      <sheetName val="Deatiled FA"/>
      <sheetName val="UK"/>
      <sheetName val="Pre ROTW Revenues"/>
      <sheetName val="Share_capital"/>
      <sheetName val="Reserve_and_surplus"/>
      <sheetName val="Other_current_liabilities"/>
      <sheetName val="Intangible_assets"/>
      <sheetName val="Deferred_tax_assets"/>
      <sheetName val="Loans_and_advances_Non_cur"/>
      <sheetName val="Cur__Trade_rece__&amp;_othr_asst"/>
      <sheetName val="Balance_Sheet"/>
      <sheetName val="Deatiled_FA"/>
      <sheetName val="Pre_ROTW_Revenues"/>
      <sheetName val="programming"/>
      <sheetName val="Data Validation"/>
      <sheetName val="TB BS 12"/>
      <sheetName val="TB-BS-11"/>
      <sheetName val="Profit &amp; Loss"/>
      <sheetName val="Notes Balance Sheet"/>
      <sheetName val="Notes profit &amp; Loss Account"/>
      <sheetName val="TB PL"/>
      <sheetName val="Final DEP CO ACT"/>
      <sheetName val="TB-BS-12"/>
      <sheetName val="TB BS 13"/>
      <sheetName val="tbc"/>
      <sheetName val="Invoicewise rev for PoC"/>
      <sheetName val="DA"/>
      <sheetName val="GL Analyser"/>
      <sheetName val="SKU GUIDE"/>
      <sheetName val="Share_capital1"/>
      <sheetName val="Reserve_and_surplus1"/>
      <sheetName val="Other_current_liabilities1"/>
      <sheetName val="Intangible_assets1"/>
      <sheetName val="Deferred_tax_assets1"/>
      <sheetName val="Loans_and_advances_Non_cur1"/>
      <sheetName val="Cur__Trade_rece__&amp;_othr_asst1"/>
      <sheetName val="Balance_Sheet1"/>
      <sheetName val="Deatiled_FA1"/>
      <sheetName val="Pre_ROTW_Revenues1"/>
      <sheetName val="TB_BS_12"/>
      <sheetName val="Profit_&amp;_Loss"/>
      <sheetName val="Notes_Balance_Sheet"/>
      <sheetName val="Notes_profit_&amp;_Loss_Account"/>
      <sheetName val="TB_PL"/>
      <sheetName val="Final_DEP_CO_ACT"/>
      <sheetName val="TB_BS_13"/>
      <sheetName val="Data_Validation"/>
      <sheetName val="GL_Analyser"/>
      <sheetName val="SKU_GUIDE"/>
      <sheetName val="Comb PL"/>
      <sheetName val="HBO PL"/>
      <sheetName val="Sheet2"/>
      <sheetName val="BLST_MAR.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dg_Identn_Report_Ph_I"/>
      <sheetName val="SE Data"/>
      <sheetName val="10-city points"/>
      <sheetName val="rollout"/>
      <sheetName val="City Data"/>
      <sheetName val="IDC Services"/>
      <sheetName val="Wireline Data Services"/>
      <sheetName val="Customer Points"/>
      <sheetName val="Dedicated Internet Service"/>
      <sheetName val="Leased Line Services"/>
      <sheetName val="VPN Services"/>
      <sheetName val="A"/>
      <sheetName val="10_city poi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32417"/>
      <sheetName val="132421"/>
      <sheetName val="132465"/>
      <sheetName val="132444"/>
      <sheetName val="132553"/>
      <sheetName val="132506"/>
      <sheetName val="stas"/>
      <sheetName val="dm for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IDCOR TB (2)"/>
      <sheetName val="ITNL TB 31-12-07"/>
      <sheetName val="RIDCOR TB (3)"/>
      <sheetName val="tBal"/>
      <sheetName val="Sheet2"/>
      <sheetName val="Seg Dhaval"/>
      <sheetName val="Seg ankit"/>
      <sheetName val="Consolidated"/>
      <sheetName val="RIDCOR TB"/>
      <sheetName val="Cash Flow"/>
      <sheetName val="BS"/>
      <sheetName val="P L "/>
      <sheetName val="Equity"/>
      <sheetName val="Resrves"/>
      <sheetName val="Loans"/>
      <sheetName val="FA(!)"/>
      <sheetName val="FA"/>
      <sheetName val="Fixed Assets Top Sheet- Consol"/>
      <sheetName val="Fixed Asset Register Sep 07"/>
      <sheetName val="FA(!) (2)"/>
      <sheetName val="Investment"/>
      <sheetName val="Advances"/>
      <sheetName val="Laibilities"/>
      <sheetName val="Income"/>
      <sheetName val="Other Income"/>
      <sheetName val="income from units"/>
      <sheetName val="Employee"/>
      <sheetName val="Exps"/>
      <sheetName val="Interest"/>
      <sheetName val="cash"/>
      <sheetName val="Segment top sheet"/>
      <sheetName val="Segemnt working"/>
      <sheetName val="Income Tax"/>
      <sheetName val="MAIN-COMP"/>
      <sheetName val="MAIN-COMP (2)"/>
      <sheetName val="Annex-B (3)"/>
      <sheetName val="deferred Tax"/>
      <sheetName val="eps"/>
      <sheetName val="Notes (AS15)"/>
      <sheetName val="Notes"/>
      <sheetName val="FBT"/>
      <sheetName val="Sheet3"/>
      <sheetName val="Revenue Summary08-09"/>
      <sheetName val="TNRDC-Bre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Part A"/>
      <sheetName val="Beneficial Owners"/>
      <sheetName val="Directors"/>
      <sheetName val="Subsidiary Companies"/>
      <sheetName val="Balance Sheet"/>
      <sheetName val="Profit and Loss"/>
      <sheetName val="Other Information"/>
      <sheetName val="Part B"/>
      <sheetName val="Part C"/>
      <sheetName val="Schedule 1 - Computation"/>
      <sheetName val="Schedule 2 - Capital Gains"/>
      <sheetName val="Schedule 2 - STCG"/>
      <sheetName val="Schedule  - LTCG"/>
      <sheetName val="Schedule 3 - Depreciation"/>
      <sheetName val="Schedule 4 - House Property"/>
      <sheetName val="Schedule 5 - Other Sources"/>
      <sheetName val="Schedule 6"/>
      <sheetName val="Schedule 7"/>
      <sheetName val="Schedule 8"/>
      <sheetName val="Schedule 9 - Deductions Sec. 10"/>
      <sheetName val="Schedule 10 - Deductions Ch VIA"/>
      <sheetName val="Schedule 11 - Rate Purpose"/>
      <sheetName val="Schedule 12 -Tax @ special rate"/>
      <sheetName val="Schedule 13 - Exempt Income"/>
      <sheetName val="Schedule 14 - Rebate"/>
      <sheetName val="Schedule 15 - tax Sec 115JB"/>
      <sheetName val="Schedule 16- Distributed Profit"/>
      <sheetName val="Schedule 17 - Value of FBT"/>
      <sheetName val="Schedule 18 - Bank Accounts"/>
      <sheetName val="Schedule 19 - Advance Tax"/>
      <sheetName val="Schedule 20 - Self Assmnt Tax"/>
      <sheetName val="Schedule 21 - Dividend Tax"/>
      <sheetName val="Schedule 22 - Advance FBT"/>
      <sheetName val="Schedule 23 - FBT Self Assmnt"/>
      <sheetName val="Schedule 24 - TDS"/>
      <sheetName val="Schedule 25 - TCS"/>
      <sheetName val="Principal Item -Trading"/>
      <sheetName val="Principal Item - Raw material"/>
      <sheetName val="Principal Item - Products"/>
      <sheetName val="Calculation (2)"/>
      <sheetName val="10-city points"/>
      <sheetName val="CRITERIA4"/>
    </sheetNames>
    <sheetDataSet>
      <sheetData sheetId="0" refreshError="1">
        <row r="61">
          <cell r="A61" t="str">
            <v>21 - Sec 115WD(1)</v>
          </cell>
        </row>
        <row r="62">
          <cell r="A62" t="str">
            <v>22 - Sec 115WD(2)</v>
          </cell>
        </row>
        <row r="63">
          <cell r="A63" t="str">
            <v>23 - Sec 115WH</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EPC-Issues"/>
      <sheetName val="MILESTONE-RAIL"/>
      <sheetName val="MILESTONES-LSHS"/>
      <sheetName val="fco"/>
      <sheetName val="BAL_JOB_LIST"/>
      <sheetName val="BAL-INST"/>
      <sheetName val="Rev-Overall"/>
      <sheetName val="PENDING-SYS"/>
      <sheetName val="SYS-OWNERS"/>
      <sheetName val="Rev-Summary"/>
      <sheetName val="LOOP-SPREAD"/>
      <sheetName val="OVERALL-RFSU"/>
      <sheetName val="Phase-1"/>
      <sheetName val="LOOP-PROFILE"/>
      <sheetName val="Overall"/>
      <sheetName val="Sys-Handover"/>
      <sheetName val="MANP-FORMAT"/>
      <sheetName val="MANPOWER-Overall"/>
      <sheetName val="Sheet5"/>
      <sheetName val="concrete-L3"/>
      <sheetName val="pipe-fab-L3"/>
      <sheetName val="pipe-Install-L3"/>
      <sheetName val="Sheet6"/>
      <sheetName val="Rev-1-Lvl-2-Overall"/>
      <sheetName val="Lvl-2-Overall- Latest "/>
      <sheetName val="CONCRETE "/>
      <sheetName val="STRL-STEEL"/>
      <sheetName val="U-G-Piping (1)"/>
      <sheetName val="A-G-PIPING(1)"/>
      <sheetName val="Tankage-Report"/>
      <sheetName val="Tankages-New"/>
      <sheetName val="ARCHBLDG"/>
      <sheetName val="RCB %"/>
      <sheetName val="CIVIL-SITE-IMPR."/>
      <sheetName val="RAIL-ROAD"/>
      <sheetName val="FLARE"/>
      <sheetName val="OVERALL-PKG"/>
      <sheetName val="SSTP-PKG"/>
      <sheetName val="ETP-PKG"/>
      <sheetName val="COKE-PKG"/>
      <sheetName val="CAUSTIC-PKG"/>
      <sheetName val="INSTRUMENT"/>
      <sheetName val="OVERALL-MECH"/>
      <sheetName val="MECH_VESSEL"/>
      <sheetName val="MECH_PUMPS"/>
      <sheetName val="MECH_L-UL"/>
      <sheetName val="MECH_OTHERS"/>
      <sheetName val="TANKAGE-DETAIL"/>
      <sheetName val="Manpower"/>
      <sheetName val="P&amp;M"/>
      <sheetName val="biweek_qty-1"/>
      <sheetName val="biweek_qty-2"/>
      <sheetName val="Front-Analy"/>
      <sheetName val="Hydro-Loop"/>
      <sheetName val="Overall_crit_issues"/>
    </sheetNames>
    <sheetDataSet>
      <sheetData sheetId="0"/>
      <sheetData sheetId="1"/>
      <sheetData sheetId="2"/>
      <sheetData sheetId="3"/>
      <sheetData sheetId="4" refreshError="1">
        <row r="1">
          <cell r="B1" t="str">
            <v>FCO NO.</v>
          </cell>
          <cell r="C1" t="str">
            <v>UNIT</v>
          </cell>
          <cell r="D1" t="str">
            <v>DATE OF RECEIPT</v>
          </cell>
          <cell r="F1" t="str">
            <v>Unit</v>
          </cell>
          <cell r="G1" t="str">
            <v>DESCRIPTION OF " FCO "</v>
          </cell>
          <cell r="H1" t="str">
            <v>Tot mhr</v>
          </cell>
          <cell r="I1" t="str">
            <v>closeout</v>
          </cell>
          <cell r="J1" t="str">
            <v>DRG  STATUS</v>
          </cell>
          <cell r="K1" t="str">
            <v>CONSTN. STATUS</v>
          </cell>
          <cell r="L1" t="str">
            <v xml:space="preserve">REMARKS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rv PROV"/>
      <sheetName val="Sarv CG"/>
      <sheetName val="sim"/>
      <sheetName val="SIM PROV"/>
      <sheetName val="Sim CG"/>
      <sheetName val="VIR STATUS"/>
      <sheetName val="vIRprov"/>
      <sheetName val="VIR DEP"/>
      <sheetName val="VIR CG"/>
      <sheetName val="Tax Status"/>
      <sheetName val="prov"/>
      <sheetName val="depn 32"/>
      <sheetName val="capitalgain"/>
      <sheetName val="sARV"/>
      <sheetName val="43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Sheet3 _2_"/>
      <sheetName val="LISTS"/>
      <sheetName val="Inputs"/>
      <sheetName val="DEPRE"/>
      <sheetName val="Income &amp; Occupancy Customer"/>
      <sheetName val="M-2 Adjusted"/>
      <sheetName val="Main workings"/>
      <sheetName val="assumptions"/>
      <sheetName val="Input"/>
      <sheetName val="Calculation (2)"/>
      <sheetName val="QoQ Forecast"/>
      <sheetName val="Set"/>
      <sheetName val="Income Statements"/>
      <sheetName val="Main Sheet (MTD)"/>
      <sheetName val="Consl Daily Report"/>
      <sheetName val="Acc_10_5"/>
      <sheetName val="Preside"/>
      <sheetName val="balance sheet"/>
      <sheetName val="fco"/>
      <sheetName val="Factor_Sheet"/>
      <sheetName val="download"/>
      <sheetName val="170810-lease tax"/>
      <sheetName val="유통망계획"/>
      <sheetName val="CV"/>
      <sheetName val="ES(Kor)"/>
      <sheetName val="JCF"/>
      <sheetName val="Multiple output"/>
      <sheetName val="sheet6"/>
      <sheetName val="Sheet3_(2)"/>
      <sheetName val="Sheet3__2_"/>
      <sheetName val="TIll_Q_sal"/>
      <sheetName val="tiller"/>
      <sheetName val="analysis"/>
      <sheetName val="BBEuros"/>
      <sheetName val="InvoiceList"/>
      <sheetName val="ABP inputs"/>
      <sheetName val="Synergy Sales Budget"/>
      <sheetName val="Project Budget Worksheet"/>
      <sheetName val="F1a-Pile"/>
      <sheetName val="Builtup Area"/>
      <sheetName val="INDIGINEOUS ITEMS "/>
      <sheetName val="Headings"/>
      <sheetName val="RCC,Ret. Wall"/>
      <sheetName val="BOQ T4B"/>
      <sheetName val="Summary"/>
      <sheetName val="노무비"/>
      <sheetName val="Formulas"/>
      <sheetName val="Global Assm."/>
      <sheetName val="Sheet2"/>
      <sheetName val="van khuon"/>
      <sheetName val="Names"/>
      <sheetName val="Introduction"/>
      <sheetName val="IDC macro"/>
      <sheetName val="SALE"/>
      <sheetName val="Aladdin Macro1"/>
      <sheetName val="BalSht"/>
      <sheetName val="Acc_10.5"/>
      <sheetName val="q-details"/>
      <sheetName val="International"/>
      <sheetName val="Internet"/>
      <sheetName val="Occ"/>
      <sheetName val="Demand"/>
      <sheetName val="Ref"/>
      <sheetName val="EBITDA"/>
      <sheetName val="Income_Statements"/>
      <sheetName val="QoQ_Forecast"/>
      <sheetName val="Portfolio Summary"/>
      <sheetName val="Depreciation"/>
      <sheetName val="MIS - kINR"/>
      <sheetName val="GBW"/>
      <sheetName val="Material "/>
      <sheetName val="Labour &amp; Plant"/>
      <sheetName val="Design"/>
      <sheetName val="BOQ"/>
      <sheetName val=" B3"/>
      <sheetName val=" B1"/>
      <sheetName val="Lead"/>
      <sheetName val="Main-Material"/>
      <sheetName val="Sheet1"/>
      <sheetName val="beam-reinft-IIInd floor"/>
      <sheetName val="CFForecast detail"/>
      <sheetName val="Site Dev BOQ"/>
      <sheetName val="Break up Sheet"/>
      <sheetName val="Vind-BtB"/>
      <sheetName val="Approved MTD Proj #'s"/>
      <sheetName val="MN T.B."/>
      <sheetName val="Load Details-220kV"/>
      <sheetName val="Block A - BOQ"/>
      <sheetName val="ABP_inputs"/>
      <sheetName val="Synergy_Sales_Budget"/>
      <sheetName val="Project_Budget_Worksheet"/>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trand"/>
      <sheetName val="CABLE DATA"/>
      <sheetName val="1st flr"/>
      <sheetName val="final abstract"/>
      <sheetName val="Rate analysis"/>
      <sheetName val="Rollup Summary"/>
      <sheetName val="CapitalOutlay"/>
      <sheetName val="Assum"/>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02"/>
      <sheetName val="03"/>
      <sheetName val="04"/>
      <sheetName val="01"/>
      <sheetName val="Civil Boq"/>
      <sheetName val="02022005"/>
      <sheetName val="16022005"/>
      <sheetName val="05012005"/>
      <sheetName val="19012005"/>
      <sheetName val="02032005"/>
      <sheetName val="16032005"/>
      <sheetName val="30032005"/>
      <sheetName val="Summary Excise"/>
      <sheetName val="BS"/>
      <sheetName val="Other BS Sch 5-9"/>
      <sheetName val="Excess Calc"/>
      <sheetName val="Grouping Master"/>
      <sheetName val="Current Bill MB ref"/>
      <sheetName val="Meas.-Hotel Part"/>
      <sheetName val="March Analysts"/>
      <sheetName val="Company"/>
      <sheetName val="compu"/>
      <sheetName val="P &amp; L"/>
      <sheetName val="PLAN_FEB97"/>
      <sheetName val="Fin Sum"/>
      <sheetName val="Sheet3_(2)5"/>
      <sheetName val="Sheet3__2_5"/>
      <sheetName val="Calculation_(2)5"/>
      <sheetName val="Multiple_output5"/>
      <sheetName val="170810-lease_tax"/>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Main_Sheet_(MTD)"/>
      <sheetName val="Consl_Daily_Report"/>
      <sheetName val="balance_sheet"/>
      <sheetName val="van_khuon"/>
      <sheetName val="IDC_macro"/>
      <sheetName val="Aladdin_Macro15"/>
      <sheetName val="Acc_10_55"/>
      <sheetName val="Portfolio_Summary"/>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F"/>
      <sheetName val="EXHIBIT&quot; T&quot;"/>
      <sheetName val="Turnover"/>
      <sheetName val="SCH-E-1"/>
      <sheetName val="BIPR"/>
      <sheetName val="BPCA"/>
      <sheetName val="BBRS"/>
      <sheetName val="KPM DT"/>
      <sheetName val="QoQ In Lakhs"/>
      <sheetName val="GENERAL2"/>
      <sheetName val="Master Price List"/>
      <sheetName val="reference"/>
      <sheetName val="new_data"/>
      <sheetName val="earnmodl"/>
      <sheetName val="Dom Cell (IS)"/>
      <sheetName val="TB_FOR_MIS"/>
      <sheetName val="Area"/>
      <sheetName val="TB FOR MIS"/>
      <sheetName val="INPUT SHEET"/>
      <sheetName val="IMPORT T12"/>
      <sheetName val="CAP"/>
      <sheetName val="ANN.K"/>
      <sheetName val=" Acc. Sched."/>
      <sheetName val="RNT"/>
      <sheetName val="Combi"/>
      <sheetName val="sept-plan"/>
      <sheetName val="classes"/>
      <sheetName val="IT Block"/>
      <sheetName val="Location CODE"/>
      <sheetName val="Location TYPE"/>
      <sheetName val="sub class"/>
      <sheetName val=" sub Loc "/>
      <sheetName val="LBO"/>
      <sheetName val="EDS  Bestshore Migration"/>
      <sheetName val="NewCo"/>
      <sheetName val="Summ"/>
      <sheetName val="Fossil_DCF"/>
      <sheetName val="SOPMA DD"/>
      <sheetName val="03 (2)"/>
      <sheetName val="WIng F(Typical)"/>
      <sheetName val="FlashMgtMo"/>
      <sheetName val="FlashMgtYTD"/>
      <sheetName val="?????"/>
      <sheetName val="Budget Summary"/>
      <sheetName val="Index"/>
      <sheetName val="Rates"/>
      <sheetName val="Params"/>
      <sheetName val="ras"/>
      <sheetName val="CashFlow"/>
      <sheetName val="TB"/>
      <sheetName val="Training Deposits coding"/>
      <sheetName val="PLGroupings"/>
      <sheetName val="Results"/>
      <sheetName val="OpRes"/>
      <sheetName val="master"/>
      <sheetName val="Balance Sheet "/>
      <sheetName val="Macro1"/>
      <sheetName val="Licences"/>
      <sheetName val="OpTrack"/>
      <sheetName val="AOR"/>
      <sheetName val="Sheet3"/>
      <sheetName val="Current_Bill_MB_ref"/>
      <sheetName val="Meas_-Hotel_Part"/>
      <sheetName val="Portfolio_Summary1"/>
      <sheetName val="Current_Bill_MB_ref1"/>
      <sheetName val="Meas_-Hotel_Part1"/>
      <sheetName val="Open Items-311208"/>
      <sheetName val="Fin_Sum"/>
      <sheetName val="Cash Flow Working"/>
      <sheetName val="IMPORT_T12"/>
      <sheetName val="KPM_DT"/>
      <sheetName val="Task"/>
      <sheetName val="CARO"/>
      <sheetName val="Pay_Sep06"/>
      <sheetName val="DET0900"/>
      <sheetName val="Theatre mgmt cont"/>
      <sheetName val="Legal Risk Analysis"/>
      <sheetName val="#REF"/>
      <sheetName val="Data"/>
      <sheetName val="Architectural Summary"/>
      <sheetName val="Hot"/>
      <sheetName val="Mico"/>
      <sheetName val="Variables_x"/>
      <sheetName val="Variables"/>
      <sheetName val="Publicbuilding"/>
      <sheetName val="Non-Factory"/>
      <sheetName val="IO LIST"/>
      <sheetName val="Fill this out first..."/>
      <sheetName val="extra work elec bill "/>
      <sheetName val="Sensitivity"/>
      <sheetName val="Beam at Ground flr lvl(Steel)"/>
      <sheetName val="AREAS"/>
      <sheetName val="sumary"/>
      <sheetName val="TH"/>
      <sheetName val="AOP13"/>
      <sheetName val="EVA1"/>
      <sheetName val="TDS Certificate-Format"/>
      <sheetName val="FA"/>
      <sheetName val="ITEM  STUDY (2)"/>
      <sheetName val="Felix Street Summary"/>
      <sheetName val="Newspapers"/>
      <sheetName val="AccDil"/>
      <sheetName val="PERHW"/>
      <sheetName val="Loss 3004"/>
      <sheetName val="Reconciliation of GL &amp; FAR"/>
      <sheetName val="97-98"/>
      <sheetName val="LBO Financials"/>
      <sheetName val="SODA02"/>
      <sheetName val="FY2001-02"/>
      <sheetName val="EXPENSES"/>
      <sheetName val="Sale Charts"/>
      <sheetName val="Assumption"/>
      <sheetName val="IO"/>
      <sheetName val="Customize Your Invoice"/>
      <sheetName val="RES-PLANNING"/>
      <sheetName val="Cost_any"/>
      <sheetName val="10. &amp; 11. Rate Code &amp; BQ"/>
      <sheetName val="FITZ MORT 94"/>
      <sheetName val="YTD"/>
      <sheetName val="HELP"/>
      <sheetName val="BS-2005"/>
      <sheetName val="MAIN_MENU"/>
      <sheetName val="exec summ"/>
      <sheetName val="Code"/>
      <sheetName val="vb 9&amp;10"/>
      <sheetName val="MASTER_RATE ANALYSIS"/>
      <sheetName val="Valuation - block 2"/>
      <sheetName val="Base Assumptions"/>
      <sheetName val="CASHFLOWS"/>
      <sheetName val="Boiler&amp;TG"/>
      <sheetName val="Ins Erection"/>
      <sheetName val="Currency"/>
      <sheetName val="ES"/>
      <sheetName val=""/>
      <sheetName val="CSCCincSKR"/>
      <sheetName val="concrete"/>
      <sheetName val="Settings"/>
      <sheetName val="Recon"/>
      <sheetName val="Commercial Research"/>
      <sheetName val="Trial Balance"/>
      <sheetName val="269T(final)"/>
      <sheetName val="GenAssump"/>
      <sheetName val="Goldberg Portfolio Combined"/>
      <sheetName val="Contribution"/>
      <sheetName val="Rx"/>
      <sheetName val="9. Package split - Cost "/>
      <sheetName val="Intaccrual"/>
      <sheetName val="SBU"/>
      <sheetName val="Menu"/>
      <sheetName val="Operating Statistics"/>
      <sheetName val="A-Mum"/>
      <sheetName val="Notes-pivot1 "/>
      <sheetName val="Leasing Commision"/>
      <sheetName val="Master list"/>
      <sheetName val="Labour List"/>
      <sheetName val="Material List"/>
      <sheetName val="Labor abs-NMR"/>
      <sheetName val="1st -vpd"/>
      <sheetName val="conc-foot-gradeslab"/>
      <sheetName val="Material List "/>
      <sheetName val="SCHEDULE"/>
      <sheetName val="Database"/>
      <sheetName val="schedule nos"/>
      <sheetName val="WT-LIST"/>
      <sheetName val="Material"/>
      <sheetName val="horizontal"/>
      <sheetName val="BKCSTOCKVAL"/>
      <sheetName val="MAHSTOCKVAL"/>
      <sheetName val="Checks"/>
      <sheetName val="FA Schedule Dec 07"/>
      <sheetName val="P.R. TAXES"/>
      <sheetName val="BILLING SUM"/>
      <sheetName val="Scope"/>
      <sheetName val="Estimate"/>
      <sheetName val="12-ACTPL"/>
      <sheetName val="Control"/>
      <sheetName val="Debtors analysis"/>
      <sheetName val="A1-Continuous"/>
      <sheetName val="pile Fabrication"/>
      <sheetName val="Improvements"/>
      <sheetName val="Capital Structure"/>
      <sheetName val="GROUPING"/>
      <sheetName val="Hardware"/>
      <sheetName val="Power &amp; Fuel (S)"/>
      <sheetName val="drop-dwn list"/>
      <sheetName val="tngst1"/>
      <sheetName val="Sheet3_(2)6"/>
      <sheetName val="Sheet3__2_6"/>
      <sheetName val="170810-lease_tax1"/>
      <sheetName val="Multiple_output6"/>
      <sheetName val="Calculation_(2)6"/>
      <sheetName val="QoQ_Forecast6"/>
      <sheetName val="Income_Statements6"/>
      <sheetName val="Income_&amp;_Occupancy_Customer6"/>
      <sheetName val="ABP_inputs6"/>
      <sheetName val="Synergy_Sales_Budget6"/>
      <sheetName val="Project_Budget_Worksheet6"/>
      <sheetName val="Builtup_Area6"/>
      <sheetName val="INDIGINEOUS_ITEMS_6"/>
      <sheetName val="RCC,Ret__Wall6"/>
      <sheetName val="BOQ_T4B6"/>
      <sheetName val="Main_Sheet_(MTD)1"/>
      <sheetName val="Consl_Daily_Report1"/>
      <sheetName val="balance_sheet1"/>
      <sheetName val="Global_Assm_6"/>
      <sheetName val="van_khuon1"/>
      <sheetName val="IDC_macro1"/>
      <sheetName val="Aladdin_Macro16"/>
      <sheetName val="Acc_10_56"/>
      <sheetName val="Summary_Excise"/>
      <sheetName val="Other_BS_Sch_5-9"/>
      <sheetName val="Excess_Calc"/>
      <sheetName val="Grouping_Master"/>
      <sheetName val="Material_6"/>
      <sheetName val="Labour_&amp;_Plant6"/>
      <sheetName val="_B36"/>
      <sheetName val="_B16"/>
      <sheetName val="beam-reinft-IIInd_floor6"/>
      <sheetName val="Approved_MTD_Proj_#'s6"/>
      <sheetName val="MN_T_B_6"/>
      <sheetName val="CFForecast_detail6"/>
      <sheetName val="Site_Dev_BOQ6"/>
      <sheetName val="Break_up_Sheet6"/>
      <sheetName val="Load_Details-220kV6"/>
      <sheetName val="Block_A_-_BOQ6"/>
      <sheetName val="March_Analysts"/>
      <sheetName val="P_&amp;_L"/>
      <sheetName val="QoQ_In_Lakhs"/>
      <sheetName val="Main_workings"/>
      <sheetName val="CABLE_DATA1"/>
      <sheetName val="1st_flr1"/>
      <sheetName val="final_abstract1"/>
      <sheetName val="Rate_analysis1"/>
      <sheetName val="Rollup_Summary1"/>
      <sheetName val="Civil_Boq1"/>
      <sheetName val="MIS_-_kINR1"/>
      <sheetName val="ANN_K"/>
      <sheetName val="IT_Block"/>
      <sheetName val="Location_CODE"/>
      <sheetName val="Location_TYPE"/>
      <sheetName val="sub_class"/>
      <sheetName val="_sub_Loc_"/>
      <sheetName val="_Acc__Sched_"/>
      <sheetName val="EDS__Bestshore_Migration"/>
      <sheetName val="TB_FOR_MIS1"/>
      <sheetName val="INPUT_SHEET"/>
      <sheetName val="SOPMA_DD"/>
      <sheetName val="03_(2)"/>
      <sheetName val="WIng_F(Typical)"/>
      <sheetName val="M-2_Adjusted"/>
      <sheetName val="EXHIBIT&quot;_T&quot;"/>
      <sheetName val="Master_Price_List"/>
      <sheetName val="Dom_Cell_(IS)"/>
      <sheetName val="Power_&amp;_Fuel_(S)"/>
      <sheetName val="Balance_Sheet_"/>
      <sheetName val="Budget_Summary"/>
      <sheetName val="Redelvery provision changed"/>
      <sheetName val="Tyre1"/>
      <sheetName val="Auto"/>
      <sheetName val="EXIS-COMBINED"/>
      <sheetName val="form26"/>
      <sheetName val="F29B"/>
      <sheetName val="Dep"/>
      <sheetName val="Expansion"/>
      <sheetName val="Phasing"/>
      <sheetName val="cash_flow"/>
      <sheetName val="sales_value"/>
      <sheetName val="colaw_dep"/>
      <sheetName val="freight"/>
      <sheetName val="gm"/>
      <sheetName val="interest"/>
      <sheetName val="jb_cost"/>
      <sheetName val="c_flow_%"/>
      <sheetName val="consum_cost"/>
      <sheetName val="Tender Summary"/>
      <sheetName val="RA"/>
      <sheetName val="Bill 1-BOQ-Civil Works"/>
      <sheetName val="Related party - P&amp;L"/>
      <sheetName val="Base data Security Procedures"/>
      <sheetName val="PRECAST lightconc-II"/>
      <sheetName val="Standalone"/>
      <sheetName val="RATE LIST (2)"/>
      <sheetName val="Rev Opt - Rollup"/>
      <sheetName val="UNP-NCW "/>
      <sheetName val="SEW4"/>
      <sheetName val="Sheet4"/>
      <sheetName val="CrRajWMM"/>
      <sheetName val="소상 &quot;1&quot;"/>
      <sheetName val="Graph (LGEN)"/>
      <sheetName val="out_prog"/>
      <sheetName val="선적schedule (2)"/>
      <sheetName val="steam outlet"/>
      <sheetName val="BOQ Distribution"/>
      <sheetName val="wordsdata"/>
      <sheetName val="GM &amp; TA"/>
      <sheetName val="Retail Mall"/>
      <sheetName val="Control Sheet"/>
      <sheetName val="crs"/>
      <sheetName val="PIMS"/>
      <sheetName val="SCH 10"/>
      <sheetName val="SAP EMP"/>
      <sheetName val="schedules"/>
      <sheetName val="Summary_Local"/>
      <sheetName val="NEW-IDs Fun &amp; Group"/>
      <sheetName val="XZLC003_PART1"/>
      <sheetName val="exp"/>
      <sheetName val="details"/>
      <sheetName val="Night Shift"/>
      <sheetName val="Cost summary"/>
      <sheetName val="RCC Rates"/>
      <sheetName val="FORM7"/>
      <sheetName val="目录"/>
      <sheetName val="4.4 External Plaster"/>
      <sheetName val="MFG"/>
      <sheetName val="USB 1"/>
      <sheetName val="apr-aug"/>
      <sheetName val="Service Invoice"/>
      <sheetName val="15-21"/>
      <sheetName val="Cover"/>
      <sheetName val="RA-markate"/>
      <sheetName val="BQ"/>
      <sheetName val="Sch5TO10"/>
      <sheetName val="macroDat"/>
      <sheetName val="HOUSE RENT DEPO."/>
      <sheetName val="Trial Balance_Format"/>
      <sheetName val="NOA Data"/>
      <sheetName val="MIS AC wise"/>
      <sheetName val="Timeline"/>
      <sheetName val="Assump"/>
      <sheetName val="A.O.R."/>
      <sheetName val="HBI NCD"/>
      <sheetName val="CUSTOM Jun99"/>
      <sheetName val="Overall Summary"/>
      <sheetName val="EAST"/>
      <sheetName val="YOEMAGUM"/>
      <sheetName val="Lease Expiry"/>
      <sheetName val="Base"/>
      <sheetName val="Kontensalden"/>
      <sheetName val="A-1"/>
      <sheetName val="P&amp;L"/>
      <sheetName val="Fin_Sum1"/>
      <sheetName val="KPM_DT1"/>
      <sheetName val="Loss_3004"/>
      <sheetName val="Reconciliation_of_GL_&amp;_FAR"/>
      <sheetName val="IMPORT_T121"/>
      <sheetName val="LBO_Financials"/>
      <sheetName val="Training_Deposits_coding"/>
      <sheetName val="exec_summ"/>
      <sheetName val="MASTER_RATE_ANALYSIS"/>
      <sheetName val="Valuation_-_block_2"/>
      <sheetName val="Rev_Opt_-_Rollup"/>
      <sheetName val="Molasses-FG"/>
      <sheetName val="grp "/>
      <sheetName val="차수"/>
      <sheetName val="전체현황"/>
      <sheetName val="Misc. Master"/>
      <sheetName val="FCIIHyperion"/>
      <sheetName val="final 061106"/>
      <sheetName val="SAB P&amp;L"/>
      <sheetName val="cash flow"/>
      <sheetName val="Gen_Ass"/>
      <sheetName val="Op_Ass"/>
      <sheetName val="Staff Costs"/>
      <sheetName val="General_Assumptions"/>
      <sheetName val="0. Data Validation List"/>
      <sheetName val="Crest"/>
      <sheetName val="Pinnacle"/>
      <sheetName val="Zenith"/>
      <sheetName val="stacking sheet"/>
      <sheetName val="Schedule v1"/>
      <sheetName val="labour rates"/>
      <sheetName val="Timesheet"/>
      <sheetName val="Loads"/>
      <sheetName val="old_serial no."/>
      <sheetName val="tot_ass_9697"/>
      <sheetName val="Budget_CF - Overall"/>
      <sheetName val="공사비 내역 (가)"/>
      <sheetName val="4K - (6a) Non Manual Breakdown"/>
      <sheetName val="3. Elemental Summary"/>
      <sheetName val="Financials"/>
      <sheetName val="L"/>
      <sheetName val="p1-costg"/>
      <sheetName val="costing"/>
      <sheetName val="August TB"/>
      <sheetName val="Feb_Prfl_28"/>
      <sheetName val="DIVBUD99"/>
      <sheetName val="Overheads"/>
      <sheetName val="SCH4"/>
      <sheetName val="FixedAssets"/>
      <sheetName val="Debt"/>
      <sheetName val="SALES"/>
      <sheetName val="Basework"/>
      <sheetName val="Monthly Inputs"/>
      <sheetName val="2000-1 Monthly Cashflows"/>
      <sheetName val="2002-2 Monthly Cashflows"/>
      <sheetName val="Notes"/>
      <sheetName val="TMasterCurrency"/>
      <sheetName val="TMasterSeg"/>
      <sheetName val="ASSETS P&amp;M"/>
      <sheetName val="Assets Land &amp; Mise FA"/>
      <sheetName val="cl 14 Annex 7 "/>
      <sheetName val="Encl 7A"/>
      <sheetName val="wdr bldg"/>
      <sheetName val="Formated Trial Balance"/>
      <sheetName val="Approval"/>
      <sheetName val=" "/>
      <sheetName val="S &amp; A"/>
      <sheetName val="Legal_Risk_Analysis"/>
      <sheetName val="Architectural_Summary"/>
      <sheetName val="IO_LIST"/>
      <sheetName val="Master_list"/>
      <sheetName val="Labour_List"/>
      <sheetName val="Material_List"/>
      <sheetName val="Labor_abs-NMR"/>
      <sheetName val="Beam_at_Ground_flr_lvl(Steel)"/>
      <sheetName val="1st_-vpd"/>
      <sheetName val="Material_List_"/>
      <sheetName val="schedule_nos"/>
      <sheetName val="Debtors_analysis"/>
      <sheetName val="p&amp;m"/>
      <sheetName val="Rollup"/>
      <sheetName val="FA(Apr 07)"/>
      <sheetName val="Reco O.S"/>
      <sheetName val="Accounts"/>
      <sheetName val="BOM"/>
      <sheetName val="Fin. Assumpt. - Sensitivities"/>
      <sheetName val="Fin"/>
      <sheetName val="Intro"/>
      <sheetName val=" COP"/>
      <sheetName val="dlvoid"/>
      <sheetName val="OHT_Abs"/>
      <sheetName val="1"/>
      <sheetName val="Linked Lead"/>
      <sheetName val="hist&amp;proj"/>
      <sheetName val="TASKRSRC (2)"/>
      <sheetName val="TARGET"/>
      <sheetName val="BASELINE"/>
      <sheetName val="labour"/>
      <sheetName val="Basement Budget"/>
      <sheetName val="Portfolio_Summary2"/>
      <sheetName val="Current_Bill_MB_ref2"/>
      <sheetName val="Meas_-Hotel_Part2"/>
      <sheetName val="Fill_this_out_first___"/>
      <sheetName val="extra_work_elec_bill_"/>
      <sheetName val="10__&amp;_11__Rate_Code_&amp;_BQ"/>
      <sheetName val="NEW-IDs_Fun_&amp;_Group"/>
      <sheetName val="Elec Summ"/>
      <sheetName val="ELEC BOQ"/>
      <sheetName val="TRACK BUSWAY"/>
      <sheetName val="BBT"/>
      <sheetName val="LIGHTING"/>
      <sheetName val="LMS"/>
      <sheetName val="Costs"/>
      <sheetName val="FIFO"/>
      <sheetName val="Links"/>
      <sheetName val="ITEM__STUDY_(2)"/>
      <sheetName val="TDS_Certificate-Format"/>
      <sheetName val="Felix_Street_Summary"/>
      <sheetName val="vb_9&amp;10"/>
      <sheetName val="9__Package_split_-_Cost_"/>
      <sheetName val="FITZ_MORT_94"/>
      <sheetName val="Base_Assumptions"/>
      <sheetName val="PRECAST_lightconc-II"/>
      <sheetName val="Ins_Erection"/>
      <sheetName val="HOUSE_RENT_DEPO_"/>
      <sheetName val="Tender_Summary"/>
      <sheetName val="Bill_1-BOQ-Civil_Works"/>
      <sheetName val="drop-dwn_list"/>
      <sheetName val="Customize_Your_Invoice"/>
      <sheetName val="Sale_Charts"/>
      <sheetName val="Lease-rents"/>
      <sheetName val="Key Assumption"/>
      <sheetName val="Master Information"/>
      <sheetName val="GF Columns"/>
      <sheetName val="Collection"/>
      <sheetName val="SAP downloaded schedule"/>
      <sheetName val="Transaction"/>
      <sheetName val="Inv_Data"/>
      <sheetName val="DB"/>
      <sheetName val="Base Data"/>
      <sheetName val="080 (2)"/>
      <sheetName val="F.01 - June 2005"/>
      <sheetName val="HW SW"/>
      <sheetName val="CRITERIA1"/>
      <sheetName val="I"/>
      <sheetName val="PL"/>
      <sheetName val="Annexure-I"/>
      <sheetName val="EMPMAST"/>
      <sheetName val="agrolist"/>
      <sheetName val="Multipliers &amp; KRA"/>
      <sheetName val="HRD1"/>
      <sheetName val="Taluka wise dealer (2)"/>
      <sheetName val="XLR_NoRangeSheet"/>
      <sheetName val="MultipleSecurities"/>
      <sheetName val="Parameter"/>
      <sheetName val="WC analytics (+data pages)"/>
      <sheetName val="TBAL9697 -group wise  sdpl"/>
      <sheetName val="Determination of Threshold"/>
      <sheetName val="Quotation"/>
      <sheetName val="RCC_Ret_ Wall"/>
      <sheetName val="DYN PP"/>
      <sheetName val="TXN97"/>
      <sheetName val="June Reserve - Far East"/>
      <sheetName val="Coalmine"/>
      <sheetName val="Theatre_mgmt_cont"/>
      <sheetName val="Open_Items-311208"/>
      <sheetName val="register"/>
      <sheetName val="Cash_Flow_Working"/>
      <sheetName val="CPR"/>
      <sheetName val="MARCH"/>
      <sheetName val="SEP "/>
      <sheetName val="Trial_Balance"/>
      <sheetName val="MIS_AC_wise"/>
      <sheetName val="Goldberg_Portfolio_Combined"/>
      <sheetName val="Commercial_Research"/>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소상_&quot;1&quot;"/>
      <sheetName val="Overall_Summary"/>
      <sheetName val="RCC_Rates"/>
      <sheetName val="Cost_summary"/>
      <sheetName val="UNP-NCW_"/>
      <sheetName val="4_4_External_Plaster"/>
      <sheetName val="HBI_NCD"/>
      <sheetName val="CUSTOM_Jun99"/>
      <sheetName val="A_O_R_"/>
      <sheetName val="Staff_Costs"/>
      <sheetName val="0__Data_Validation_List"/>
      <sheetName val="stacking_sheet"/>
      <sheetName val="Basement_Budget"/>
      <sheetName val="Night_Shift"/>
      <sheetName val="Audit"/>
      <sheetName val="Sources"/>
      <sheetName val="Earnings"/>
      <sheetName val="Account title"/>
      <sheetName val="Titel"/>
      <sheetName val="PROV_CONSOLIDATED"/>
      <sheetName val="NGS Data Sheet"/>
      <sheetName val="SGS Data Sheet"/>
      <sheetName val="Micro"/>
      <sheetName val="Macro"/>
      <sheetName val="Scaff-Rose"/>
      <sheetName val="Tickmarks"/>
      <sheetName val="Check Register"/>
      <sheetName val="EBITDA Bridge"/>
      <sheetName val="Detailed"/>
      <sheetName val="2003 Budget-PL-case1"/>
      <sheetName val="STATSUM"/>
      <sheetName val="TB9899"/>
      <sheetName val="Cases"/>
      <sheetName val="现金流量分析表"/>
      <sheetName val="边际贡献分析表"/>
      <sheetName val="Main"/>
      <sheetName val="HIDDEN"/>
      <sheetName val="DEP99"/>
      <sheetName val="IGAAP"/>
      <sheetName val="INI"/>
      <sheetName val="Output"/>
      <sheetName val="meeting rectification control"/>
      <sheetName val="Loan Data"/>
      <sheetName val="Challan"/>
      <sheetName val="Standalone seg"/>
      <sheetName val="4 Annex 1 Basic rate"/>
      <sheetName val="oresreqsum"/>
      <sheetName val="Other notes"/>
      <sheetName val="STAFFSCHED "/>
      <sheetName val="Basic Rate"/>
      <sheetName val="MIS"/>
      <sheetName val="800CC_FR_HOSE"/>
      <sheetName val="Esteem Rear"/>
      <sheetName val="Rs in lacs"/>
      <sheetName val="ADV-TK-HORT"/>
      <sheetName val="Classification"/>
      <sheetName val="XREF"/>
      <sheetName val="Income"/>
      <sheetName val="EPS"/>
      <sheetName val="currency (2)"/>
      <sheetName val="Companies"/>
      <sheetName val="People"/>
      <sheetName val="NW RTU"/>
      <sheetName val="Clause 9"/>
      <sheetName val="Sch_BS"/>
      <sheetName val="Grp_PL"/>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65">
          <cell r="A65" t="str">
            <v>(II)</v>
          </cell>
        </row>
      </sheetData>
      <sheetData sheetId="90">
        <row r="65">
          <cell r="A65" t="str">
            <v>(II)</v>
          </cell>
        </row>
      </sheetData>
      <sheetData sheetId="91">
        <row r="65">
          <cell r="A65" t="str">
            <v>(II)</v>
          </cell>
        </row>
      </sheetData>
      <sheetData sheetId="92">
        <row r="65">
          <cell r="A65" t="str">
            <v>(II)</v>
          </cell>
        </row>
      </sheetData>
      <sheetData sheetId="93">
        <row r="65">
          <cell r="A65" t="str">
            <v>(II)</v>
          </cell>
        </row>
      </sheetData>
      <sheetData sheetId="94">
        <row r="65">
          <cell r="A65" t="str">
            <v>(II)</v>
          </cell>
        </row>
      </sheetData>
      <sheetData sheetId="95">
        <row r="65">
          <cell r="A65" t="str">
            <v>(II)</v>
          </cell>
        </row>
      </sheetData>
      <sheetData sheetId="96">
        <row r="65">
          <cell r="A65" t="str">
            <v>(II)</v>
          </cell>
        </row>
      </sheetData>
      <sheetData sheetId="97">
        <row r="65">
          <cell r="A65" t="str">
            <v>(II)</v>
          </cell>
        </row>
      </sheetData>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ow r="65">
          <cell r="A65" t="str">
            <v>(II)</v>
          </cell>
        </row>
      </sheetData>
      <sheetData sheetId="161">
        <row r="65">
          <cell r="A65" t="str">
            <v>(II)</v>
          </cell>
        </row>
      </sheetData>
      <sheetData sheetId="162">
        <row r="65">
          <cell r="A65" t="str">
            <v>(II)</v>
          </cell>
        </row>
      </sheetData>
      <sheetData sheetId="163">
        <row r="65">
          <cell r="A65" t="str">
            <v>(II)</v>
          </cell>
        </row>
      </sheetData>
      <sheetData sheetId="164">
        <row r="65">
          <cell r="A65" t="str">
            <v>(II)</v>
          </cell>
        </row>
      </sheetData>
      <sheetData sheetId="165">
        <row r="65">
          <cell r="A65" t="str">
            <v>(II)</v>
          </cell>
        </row>
      </sheetData>
      <sheetData sheetId="166">
        <row r="65">
          <cell r="A65" t="str">
            <v>(II)</v>
          </cell>
        </row>
      </sheetData>
      <sheetData sheetId="167">
        <row r="65">
          <cell r="A65" t="str">
            <v>(II)</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ow r="65">
          <cell r="A65" t="str">
            <v>(II)</v>
          </cell>
        </row>
      </sheetData>
      <sheetData sheetId="263">
        <row r="65">
          <cell r="A65" t="str">
            <v>(II)</v>
          </cell>
        </row>
      </sheetData>
      <sheetData sheetId="264">
        <row r="65">
          <cell r="A65" t="str">
            <v>(II)</v>
          </cell>
        </row>
      </sheetData>
      <sheetData sheetId="265">
        <row r="65">
          <cell r="A65" t="str">
            <v>(II)</v>
          </cell>
        </row>
      </sheetData>
      <sheetData sheetId="266">
        <row r="65">
          <cell r="A65" t="str">
            <v>(II)</v>
          </cell>
        </row>
      </sheetData>
      <sheetData sheetId="267">
        <row r="65">
          <cell r="A65" t="str">
            <v>(II)</v>
          </cell>
        </row>
      </sheetData>
      <sheetData sheetId="268">
        <row r="65">
          <cell r="A65" t="str">
            <v>(II)</v>
          </cell>
        </row>
      </sheetData>
      <sheetData sheetId="269">
        <row r="65">
          <cell r="A65" t="str">
            <v>(II)</v>
          </cell>
        </row>
      </sheetData>
      <sheetData sheetId="270">
        <row r="65">
          <cell r="A65" t="str">
            <v>(II)</v>
          </cell>
        </row>
      </sheetData>
      <sheetData sheetId="271">
        <row r="65">
          <cell r="A65" t="str">
            <v>(II)</v>
          </cell>
        </row>
      </sheetData>
      <sheetData sheetId="272">
        <row r="65">
          <cell r="A65" t="str">
            <v>(II)</v>
          </cell>
        </row>
      </sheetData>
      <sheetData sheetId="273">
        <row r="65">
          <cell r="A65" t="str">
            <v>(II)</v>
          </cell>
        </row>
      </sheetData>
      <sheetData sheetId="274">
        <row r="65">
          <cell r="A65" t="str">
            <v>(II)</v>
          </cell>
        </row>
      </sheetData>
      <sheetData sheetId="275">
        <row r="65">
          <cell r="A65" t="str">
            <v>(II)</v>
          </cell>
        </row>
      </sheetData>
      <sheetData sheetId="276">
        <row r="65">
          <cell r="A65" t="str">
            <v>(II)</v>
          </cell>
        </row>
      </sheetData>
      <sheetData sheetId="277">
        <row r="65">
          <cell r="A65" t="str">
            <v>(II)</v>
          </cell>
        </row>
      </sheetData>
      <sheetData sheetId="278">
        <row r="65">
          <cell r="A65" t="str">
            <v>(II)</v>
          </cell>
        </row>
      </sheetData>
      <sheetData sheetId="279">
        <row r="65">
          <cell r="A65" t="str">
            <v>(II)</v>
          </cell>
        </row>
      </sheetData>
      <sheetData sheetId="280">
        <row r="65">
          <cell r="A65" t="str">
            <v>(II)</v>
          </cell>
        </row>
      </sheetData>
      <sheetData sheetId="281">
        <row r="65">
          <cell r="A65" t="str">
            <v>(II)</v>
          </cell>
        </row>
      </sheetData>
      <sheetData sheetId="282">
        <row r="65">
          <cell r="A65" t="str">
            <v>(II)</v>
          </cell>
        </row>
      </sheetData>
      <sheetData sheetId="283">
        <row r="65">
          <cell r="A65" t="str">
            <v>(II)</v>
          </cell>
        </row>
      </sheetData>
      <sheetData sheetId="284">
        <row r="65">
          <cell r="A65" t="str">
            <v>(II)</v>
          </cell>
        </row>
      </sheetData>
      <sheetData sheetId="285">
        <row r="65">
          <cell r="A65" t="str">
            <v>(II)</v>
          </cell>
        </row>
      </sheetData>
      <sheetData sheetId="286">
        <row r="65">
          <cell r="A65" t="str">
            <v>(II)</v>
          </cell>
        </row>
      </sheetData>
      <sheetData sheetId="287">
        <row r="65">
          <cell r="A65" t="str">
            <v>(II)</v>
          </cell>
        </row>
      </sheetData>
      <sheetData sheetId="288">
        <row r="65">
          <cell r="A65" t="str">
            <v>(II)</v>
          </cell>
        </row>
      </sheetData>
      <sheetData sheetId="289">
        <row r="65">
          <cell r="A65" t="str">
            <v>(II)</v>
          </cell>
        </row>
      </sheetData>
      <sheetData sheetId="290">
        <row r="65">
          <cell r="A65" t="str">
            <v>(II)</v>
          </cell>
        </row>
      </sheetData>
      <sheetData sheetId="291">
        <row r="65">
          <cell r="A65" t="str">
            <v>(II)</v>
          </cell>
        </row>
      </sheetData>
      <sheetData sheetId="292">
        <row r="65">
          <cell r="A65" t="str">
            <v>(II)</v>
          </cell>
        </row>
      </sheetData>
      <sheetData sheetId="293">
        <row r="65">
          <cell r="A65" t="str">
            <v>(II)</v>
          </cell>
        </row>
      </sheetData>
      <sheetData sheetId="294">
        <row r="65">
          <cell r="A65" t="str">
            <v>(II)</v>
          </cell>
        </row>
      </sheetData>
      <sheetData sheetId="295">
        <row r="65">
          <cell r="A65" t="str">
            <v>(II)</v>
          </cell>
        </row>
      </sheetData>
      <sheetData sheetId="296">
        <row r="65">
          <cell r="A65" t="str">
            <v>(II)</v>
          </cell>
        </row>
      </sheetData>
      <sheetData sheetId="297">
        <row r="65">
          <cell r="A65" t="str">
            <v>(II)</v>
          </cell>
        </row>
      </sheetData>
      <sheetData sheetId="298">
        <row r="65">
          <cell r="A65" t="str">
            <v>(II)</v>
          </cell>
        </row>
      </sheetData>
      <sheetData sheetId="299">
        <row r="65">
          <cell r="A65" t="str">
            <v>(II)</v>
          </cell>
        </row>
      </sheetData>
      <sheetData sheetId="300">
        <row r="65">
          <cell r="A65" t="str">
            <v>(II)</v>
          </cell>
        </row>
      </sheetData>
      <sheetData sheetId="301">
        <row r="65">
          <cell r="A65" t="str">
            <v>(II)</v>
          </cell>
        </row>
      </sheetData>
      <sheetData sheetId="302">
        <row r="65">
          <cell r="A65" t="str">
            <v>(II)</v>
          </cell>
        </row>
      </sheetData>
      <sheetData sheetId="303">
        <row r="65">
          <cell r="A65" t="str">
            <v>(II)</v>
          </cell>
        </row>
      </sheetData>
      <sheetData sheetId="304">
        <row r="65">
          <cell r="A65" t="str">
            <v>(II)</v>
          </cell>
        </row>
      </sheetData>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ow r="65">
          <cell r="A65" t="str">
            <v>(II)</v>
          </cell>
        </row>
      </sheetData>
      <sheetData sheetId="492"/>
      <sheetData sheetId="493">
        <row r="65">
          <cell r="A65" t="str">
            <v>(II)</v>
          </cell>
        </row>
      </sheetData>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row r="65">
          <cell r="A65" t="str">
            <v>(II)</v>
          </cell>
        </row>
      </sheetData>
      <sheetData sheetId="511">
        <row r="65">
          <cell r="A65" t="str">
            <v>(II)</v>
          </cell>
        </row>
      </sheetData>
      <sheetData sheetId="512">
        <row r="65">
          <cell r="A65" t="str">
            <v>(II)</v>
          </cell>
        </row>
      </sheetData>
      <sheetData sheetId="513"/>
      <sheetData sheetId="514">
        <row r="65">
          <cell r="A65" t="str">
            <v>(II)</v>
          </cell>
        </row>
      </sheetData>
      <sheetData sheetId="515">
        <row r="65">
          <cell r="A65" t="str">
            <v>(II)</v>
          </cell>
        </row>
      </sheetData>
      <sheetData sheetId="516"/>
      <sheetData sheetId="517">
        <row r="65">
          <cell r="A65" t="str">
            <v>(II)</v>
          </cell>
        </row>
      </sheetData>
      <sheetData sheetId="518"/>
      <sheetData sheetId="519"/>
      <sheetData sheetId="520"/>
      <sheetData sheetId="521"/>
      <sheetData sheetId="522"/>
      <sheetData sheetId="523"/>
      <sheetData sheetId="524"/>
      <sheetData sheetId="525"/>
      <sheetData sheetId="526"/>
      <sheetData sheetId="527"/>
      <sheetData sheetId="528"/>
      <sheetData sheetId="529">
        <row r="65">
          <cell r="A65" t="str">
            <v>(II)</v>
          </cell>
        </row>
      </sheetData>
      <sheetData sheetId="530">
        <row r="65">
          <cell r="A65" t="str">
            <v>(II)</v>
          </cell>
        </row>
      </sheetData>
      <sheetData sheetId="531"/>
      <sheetData sheetId="532"/>
      <sheetData sheetId="533">
        <row r="65">
          <cell r="A65" t="str">
            <v>(II)</v>
          </cell>
        </row>
      </sheetData>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ow r="65">
          <cell r="A65" t="str">
            <v>(II)</v>
          </cell>
        </row>
      </sheetData>
      <sheetData sheetId="550">
        <row r="65">
          <cell r="A65" t="str">
            <v>(II)</v>
          </cell>
        </row>
      </sheetData>
      <sheetData sheetId="551">
        <row r="65">
          <cell r="A65" t="str">
            <v>(II)</v>
          </cell>
        </row>
      </sheetData>
      <sheetData sheetId="552">
        <row r="65">
          <cell r="A65" t="str">
            <v>(II)</v>
          </cell>
        </row>
      </sheetData>
      <sheetData sheetId="553">
        <row r="65">
          <cell r="A65" t="str">
            <v>(II)</v>
          </cell>
        </row>
      </sheetData>
      <sheetData sheetId="554">
        <row r="65">
          <cell r="A65" t="str">
            <v>(II)</v>
          </cell>
        </row>
      </sheetData>
      <sheetData sheetId="555"/>
      <sheetData sheetId="556"/>
      <sheetData sheetId="557"/>
      <sheetData sheetId="558"/>
      <sheetData sheetId="559"/>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sheetData sheetId="646"/>
      <sheetData sheetId="647"/>
      <sheetData sheetId="648"/>
      <sheetData sheetId="649"/>
      <sheetData sheetId="650"/>
      <sheetData sheetId="651"/>
      <sheetData sheetId="652"/>
      <sheetData sheetId="653"/>
      <sheetData sheetId="654"/>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sheetData sheetId="670"/>
      <sheetData sheetId="671"/>
      <sheetData sheetId="672"/>
      <sheetData sheetId="673"/>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ow r="65">
          <cell r="A65" t="str">
            <v>(II)</v>
          </cell>
        </row>
      </sheetData>
      <sheetData sheetId="693">
        <row r="65">
          <cell r="A65" t="str">
            <v>(II)</v>
          </cell>
        </row>
      </sheetData>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ow r="65">
          <cell r="A65" t="str">
            <v>(II)</v>
          </cell>
        </row>
      </sheetData>
      <sheetData sheetId="713">
        <row r="65">
          <cell r="A65" t="str">
            <v>(II)</v>
          </cell>
        </row>
      </sheetData>
      <sheetData sheetId="714">
        <row r="65">
          <cell r="A65" t="str">
            <v>(II)</v>
          </cell>
        </row>
      </sheetData>
      <sheetData sheetId="715">
        <row r="65">
          <cell r="A65" t="str">
            <v>(II)</v>
          </cell>
        </row>
      </sheetData>
      <sheetData sheetId="716"/>
      <sheetData sheetId="717"/>
      <sheetData sheetId="718">
        <row r="65">
          <cell r="A65" t="str">
            <v>(II)</v>
          </cell>
        </row>
      </sheetData>
      <sheetData sheetId="719">
        <row r="65">
          <cell r="A65" t="str">
            <v>(II)</v>
          </cell>
        </row>
      </sheetData>
      <sheetData sheetId="720">
        <row r="65">
          <cell r="A65" t="str">
            <v>(II)</v>
          </cell>
        </row>
      </sheetData>
      <sheetData sheetId="721"/>
      <sheetData sheetId="722"/>
      <sheetData sheetId="723"/>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sheetData sheetId="745">
        <row r="65">
          <cell r="A65" t="str">
            <v>(II)</v>
          </cell>
        </row>
      </sheetData>
      <sheetData sheetId="746"/>
      <sheetData sheetId="747"/>
      <sheetData sheetId="748">
        <row r="65">
          <cell r="A65" t="str">
            <v>(II)</v>
          </cell>
        </row>
      </sheetData>
      <sheetData sheetId="749"/>
      <sheetData sheetId="750"/>
      <sheetData sheetId="751"/>
      <sheetData sheetId="752"/>
      <sheetData sheetId="753"/>
      <sheetData sheetId="754"/>
      <sheetData sheetId="755"/>
      <sheetData sheetId="756"/>
      <sheetData sheetId="757" refreshError="1"/>
      <sheetData sheetId="758" refreshError="1"/>
      <sheetData sheetId="759" refreshError="1"/>
      <sheetData sheetId="760"/>
      <sheetData sheetId="761"/>
      <sheetData sheetId="762"/>
      <sheetData sheetId="763"/>
      <sheetData sheetId="764"/>
      <sheetData sheetId="765">
        <row r="65">
          <cell r="A65" t="str">
            <v>(II)</v>
          </cell>
        </row>
      </sheetData>
      <sheetData sheetId="766"/>
      <sheetData sheetId="767"/>
      <sheetData sheetId="768"/>
      <sheetData sheetId="769"/>
      <sheetData sheetId="770"/>
      <sheetData sheetId="771"/>
      <sheetData sheetId="772"/>
      <sheetData sheetId="773"/>
      <sheetData sheetId="774"/>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sheetData sheetId="810"/>
      <sheetData sheetId="811" refreshError="1"/>
      <sheetData sheetId="812"/>
      <sheetData sheetId="813" refreshError="1"/>
      <sheetData sheetId="814" refreshError="1"/>
      <sheetData sheetId="815" refreshError="1"/>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Financials"/>
      <sheetName val="Operating Statistics"/>
      <sheetName val="Set"/>
      <sheetName val="RCC Rates"/>
      <sheetName val="Jul-02_tb"/>
    </sheetNames>
    <sheetDataSet>
      <sheetData sheetId="0" refreshError="1">
        <row r="1">
          <cell r="B1" t="str">
            <v>First_Loss_Macro</v>
          </cell>
        </row>
        <row r="2">
          <cell r="B2" t="b">
            <v>1</v>
          </cell>
        </row>
        <row r="4">
          <cell r="B4" t="str">
            <v>4.xls</v>
          </cell>
        </row>
        <row r="180">
          <cell r="B180" t="b">
            <v>1</v>
          </cell>
        </row>
        <row r="181">
          <cell r="B181" t="b">
            <v>1</v>
          </cell>
        </row>
        <row r="182">
          <cell r="B182" t="b">
            <v>1</v>
          </cell>
        </row>
        <row r="183">
          <cell r="B183" t="b">
            <v>1</v>
          </cell>
        </row>
        <row r="184">
          <cell r="B184" t="b">
            <v>1</v>
          </cell>
        </row>
        <row r="185">
          <cell r="B185" t="b">
            <v>1</v>
          </cell>
        </row>
        <row r="186">
          <cell r="B186" t="b">
            <v>1</v>
          </cell>
        </row>
        <row r="187">
          <cell r="B187" t="b">
            <v>1</v>
          </cell>
        </row>
        <row r="188">
          <cell r="B188" t="b">
            <v>1</v>
          </cell>
        </row>
        <row r="189">
          <cell r="B189" t="b">
            <v>1</v>
          </cell>
        </row>
        <row r="190">
          <cell r="B190" t="b">
            <v>1</v>
          </cell>
        </row>
        <row r="191">
          <cell r="B191" t="b">
            <v>1</v>
          </cell>
        </row>
        <row r="192">
          <cell r="B192" t="b">
            <v>1</v>
          </cell>
        </row>
        <row r="193">
          <cell r="B193" t="b">
            <v>1</v>
          </cell>
        </row>
        <row r="194">
          <cell r="B194" t="b">
            <v>1</v>
          </cell>
        </row>
        <row r="195">
          <cell r="B195" t="b">
            <v>1</v>
          </cell>
        </row>
        <row r="196">
          <cell r="B196" t="b">
            <v>1</v>
          </cell>
        </row>
        <row r="197">
          <cell r="B197" t="b">
            <v>1</v>
          </cell>
        </row>
        <row r="198">
          <cell r="B198" t="b">
            <v>1</v>
          </cell>
        </row>
        <row r="199">
          <cell r="B199" t="b">
            <v>1</v>
          </cell>
        </row>
        <row r="200">
          <cell r="B200" t="b">
            <v>1</v>
          </cell>
        </row>
        <row r="201">
          <cell r="B201" t="b">
            <v>1</v>
          </cell>
        </row>
        <row r="202">
          <cell r="B202" t="b">
            <v>1</v>
          </cell>
        </row>
        <row r="203">
          <cell r="B203" t="b">
            <v>1</v>
          </cell>
        </row>
        <row r="204">
          <cell r="B204" t="b">
            <v>1</v>
          </cell>
        </row>
        <row r="205">
          <cell r="B205" t="b">
            <v>1</v>
          </cell>
        </row>
        <row r="206">
          <cell r="B206" t="b">
            <v>1</v>
          </cell>
        </row>
        <row r="207">
          <cell r="B207" t="b">
            <v>1</v>
          </cell>
        </row>
        <row r="208">
          <cell r="B208" t="b">
            <v>1</v>
          </cell>
        </row>
        <row r="209">
          <cell r="B209" t="b">
            <v>1</v>
          </cell>
        </row>
        <row r="210">
          <cell r="B210" t="b">
            <v>1</v>
          </cell>
        </row>
        <row r="211">
          <cell r="B211" t="b">
            <v>1</v>
          </cell>
        </row>
        <row r="212">
          <cell r="B212" t="b">
            <v>1</v>
          </cell>
        </row>
        <row r="213">
          <cell r="B213" t="b">
            <v>1</v>
          </cell>
        </row>
        <row r="214">
          <cell r="B214" t="b">
            <v>1</v>
          </cell>
        </row>
        <row r="215">
          <cell r="B215" t="b">
            <v>1</v>
          </cell>
        </row>
        <row r="216">
          <cell r="B216" t="b">
            <v>1</v>
          </cell>
        </row>
        <row r="217">
          <cell r="B217" t="b">
            <v>1</v>
          </cell>
        </row>
        <row r="218">
          <cell r="B218" t="b">
            <v>1</v>
          </cell>
        </row>
        <row r="219">
          <cell r="B219" t="b">
            <v>1</v>
          </cell>
        </row>
        <row r="220">
          <cell r="B220" t="b">
            <v>1</v>
          </cell>
        </row>
        <row r="221">
          <cell r="B221" t="b">
            <v>1</v>
          </cell>
        </row>
        <row r="222">
          <cell r="B222" t="b">
            <v>1</v>
          </cell>
        </row>
        <row r="223">
          <cell r="B223" t="b">
            <v>1</v>
          </cell>
        </row>
      </sheetData>
      <sheetData sheetId="1" refreshError="1"/>
      <sheetData sheetId="2" refreshError="1"/>
      <sheetData sheetId="3" refreshError="1"/>
      <sheetData sheetId="4" refreshError="1"/>
      <sheetData sheetId="5"/>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flow"/>
      <sheetName val="dhs-admaya"/>
      <sheetName val="dhs-admaya discounted"/>
      <sheetName val="ADAMYA FINAL SHEET"/>
      <sheetName val="BS(USD)"/>
      <sheetName val="PL"/>
      <sheetName val="BUD 03-05"/>
      <sheetName val="REV"/>
      <sheetName val="S&amp;W_IMPLE"/>
      <sheetName val="INNOV"/>
      <sheetName val="SG&amp;A"/>
      <sheetName val="802.11_new"/>
      <sheetName val="CAPEX"/>
      <sheetName val="0405"/>
      <sheetName val="DATA"/>
      <sheetName val=" W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PRESS"/>
      <sheetName val="315-PRESS"/>
      <sheetName val="Pallets"/>
      <sheetName val="BLDG-PH"/>
      <sheetName val="GRIND-MACH"/>
      <sheetName val="MIG-WEL-DMACH"/>
      <sheetName val="SPOT-WELD-MACH"/>
      <sheetName val="DRILL-MACH"/>
      <sheetName val="SUMMARY"/>
      <sheetName val="CAPITAL (2)"/>
      <sheetName val="CAPITAL"/>
      <sheetName val="mancount"/>
      <sheetName val="PRESF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Phasing+ Int"/>
      <sheetName val="UPERC Tariff Calc"/>
      <sheetName val="Depreciation"/>
      <sheetName val="Working Capital"/>
      <sheetName val="Financials"/>
      <sheetName val="S-format"/>
      <sheetName val="CMA"/>
      <sheetName val="Table"/>
      <sheetName val="Ratios"/>
      <sheetName val="Sensitivity"/>
      <sheetName val="Project Cost_New"/>
      <sheetName val="PFSBU"/>
      <sheetName val="Sheet1"/>
      <sheetName val="Sheet2"/>
      <sheetName val="Avg. maturity"/>
      <sheetName val="NFB assess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9899"/>
      <sheetName val="P&amp;L"/>
      <sheetName val="Assets"/>
      <sheetName val="Liab"/>
      <sheetName val="Nopat Op"/>
      <sheetName val="Nopat Fin"/>
      <sheetName val="NopSBS"/>
      <sheetName val="CapOp"/>
      <sheetName val="Cap Fin"/>
      <sheetName val="CapSBS"/>
      <sheetName val="Tax"/>
      <sheetName val="Adjustments"/>
      <sheetName val="EVA"/>
      <sheetName val="EVAGraphs"/>
      <sheetName val="Drivers-Sales"/>
      <sheetName val="Drivers Bubble"/>
      <sheetName val="Drivers-Sales old"/>
      <sheetName val="MVA"/>
      <sheetName val="SixP"/>
      <sheetName val="SumPerf"/>
      <sheetName val="MVA (2)"/>
      <sheetName val="Gearing Impact on WACC"/>
      <sheetName val="Capital_by_Years_Valuation"/>
      <sheetName val="ReportsParameters"/>
      <sheetName val="Data"/>
      <sheetName val="Rau Interstate - PM"/>
      <sheetName val="Rau Local - PM 13%"/>
      <sheetName val="Rau Local - PM 5%"/>
      <sheetName val="Rau Interstate - QC Material"/>
      <sheetName val="Rau Purchase Local -QC @ 13%"/>
      <sheetName val="Rau Purchase Local -QC @ 5%"/>
      <sheetName val="Rau QC -  Cons Stores Local 5%"/>
      <sheetName val="Rau Purchase RM Import"/>
      <sheetName val="Rau Consumable Import Purchase"/>
      <sheetName val="Rau Interstate RM (NA)"/>
      <sheetName val="Rau Local - RM (NA) 5%"/>
      <sheetName val="R &amp; D Purchase Import R D M"/>
      <sheetName val="R &amp; D Interstate Material"/>
      <sheetName val="R &amp; D Local Chemical 13%"/>
      <sheetName val="R &amp; D Local Chemical 5 %"/>
      <sheetName val="SEZ PM Local"/>
      <sheetName val="SEZ PM Interstate"/>
      <sheetName val="SEZ RM Interstate (NA)"/>
      <sheetName val="SEZ RM Interstate (NA) FER-U3"/>
      <sheetName val="SEZ RM Interstate (NA) Steroid"/>
      <sheetName val="SEZ RM Local (NA)"/>
      <sheetName val="SEZ RM Local (NA) Steroid"/>
      <sheetName val="SEZ RM Import"/>
      <sheetName val="SEZ QC Material Local"/>
      <sheetName val="SEZ QC Material Interstate"/>
      <sheetName val="Nopat_by_Years_Valuation"/>
      <sheetName val="Sheet1"/>
      <sheetName val="Sheet2"/>
      <sheetName val="Sheet3"/>
      <sheetName val="TB IBN7"/>
      <sheetName val="Compliance report Final"/>
      <sheetName val="ANN I sales"/>
      <sheetName val="ANN II Salary"/>
      <sheetName val="ANN III admin"/>
      <sheetName val="ANN IV S&amp;D"/>
      <sheetName val="ANN V VII VIII other charges"/>
      <sheetName val="ANN VI Depric"/>
      <sheetName val="Consl-Proforma-A"/>
      <sheetName val="Consl-Proforma-B"/>
      <sheetName val="Consl-Proforma-C"/>
      <sheetName val="Proforma-D1"/>
      <sheetName val="Proforma-D2"/>
      <sheetName val="Proforma-E"/>
      <sheetName val="Proforma-F"/>
      <sheetName val="Proforma-G"/>
      <sheetName val="Proforma-H"/>
      <sheetName val="Appendix II"/>
      <sheetName val="Appendix VI"/>
      <sheetName val="Appendix VII"/>
      <sheetName val="For Board"/>
      <sheetName val="RIL Cons-far 31.3"/>
      <sheetName val="Intergroup 14-15 (2)"/>
      <sheetName val="Intergroup 14-15"/>
      <sheetName val="Capital and investment"/>
      <sheetName val="RIL Cons-far 30.09"/>
      <sheetName val="RIL Cons-BS "/>
      <sheetName val="RIL Con PL"/>
      <sheetName val="RIL Cons-Schedule"/>
      <sheetName val="Elimination RIL"/>
      <sheetName val="Entries RAFA"/>
      <sheetName val="Opening Minority interest "/>
      <sheetName val="Reconcilation"/>
      <sheetName val="master"/>
      <sheetName val="summary CF"/>
      <sheetName val="BSPL"/>
      <sheetName val="Act Vs BP - General News"/>
      <sheetName val="Act Vs BP - TV18"/>
      <sheetName val="Act Vs BP - CNNNews18"/>
      <sheetName val="Act Vs BP - IBN7"/>
      <sheetName val="Act Vs BP - Lokmat"/>
      <sheetName val="Act Vs BP - News18"/>
      <sheetName val="Act Vs BP - Corp"/>
      <sheetName val="Corp"/>
      <sheetName val="Reported_Biz News"/>
      <sheetName val="CNNNews18"/>
      <sheetName val="IBN7"/>
      <sheetName val="Lokmat"/>
      <sheetName val="News18"/>
      <sheetName val="Cell18"/>
      <sheetName val="B_S"/>
      <sheetName val="P_L"/>
      <sheetName val="Cash flow"/>
      <sheetName val="Share Capital Sch"/>
      <sheetName val="Sch to BS"/>
      <sheetName val="Shareholding pattern"/>
      <sheetName val="FA"/>
      <sheetName val="Sch to PL"/>
      <sheetName val="EPS working"/>
      <sheetName val="Groupings"/>
      <sheetName val="AXNNI TB March 13"/>
      <sheetName val="PartIV"/>
      <sheetName val="JV 2012-13"/>
      <sheetName val="JV 2011-12"/>
      <sheetName val="JV 2010-11"/>
      <sheetName val="Receivable"/>
      <sheetName val="3CD"/>
      <sheetName val="SCRUTINY"/>
      <sheetName val="PENDING"/>
      <sheetName val="Comp"/>
      <sheetName val="BS"/>
      <sheetName val="XXX"/>
      <sheetName val="Notes"/>
      <sheetName val="Trial Balance"/>
      <sheetName val="Note 6"/>
      <sheetName val="DEP"/>
      <sheetName val="Depn IT"/>
      <sheetName val="26AS"/>
      <sheetName val="Nopat_Op"/>
      <sheetName val="Nopat_Fin"/>
      <sheetName val="Cap_Fin"/>
      <sheetName val="Drivers_Bubble"/>
      <sheetName val="Drivers-Sales_old"/>
      <sheetName val="MVA_(2)"/>
      <sheetName val="Gearing_Impact_on_WACC"/>
      <sheetName val="TB_IBN7"/>
      <sheetName val="Compliance_report_Final"/>
      <sheetName val="ANN_I_sales"/>
      <sheetName val="ANN_II_Salary"/>
      <sheetName val="ANN_III_admin"/>
      <sheetName val="ANN_IV_S&amp;D"/>
      <sheetName val="ANN_V_VII_VIII_other_charges"/>
      <sheetName val="ANN_VI_Depric"/>
      <sheetName val="Appendix_II"/>
      <sheetName val="Appendix_VI"/>
      <sheetName val="Appendix_VII"/>
      <sheetName val="For_Board"/>
      <sheetName val="RIL_Cons-far_31_3"/>
      <sheetName val="Intergroup_14-15_(2)"/>
      <sheetName val="Intergroup_14-15"/>
      <sheetName val="Capital_and_investment"/>
      <sheetName val="RIL_Cons-far_30_09"/>
      <sheetName val="RIL_Cons-BS_"/>
      <sheetName val="RIL_Con_PL"/>
      <sheetName val="RIL_Cons-Schedule"/>
      <sheetName val="Elimination_RIL"/>
      <sheetName val="Entries_RAFA"/>
      <sheetName val="Opening_Minority_interest_"/>
      <sheetName val="summary_CF"/>
      <sheetName val="#REF"/>
      <sheetName val="Ctrl"/>
      <sheetName val="P&amp;L SEBI (June 17)"/>
      <sheetName val="SEBI Notes"/>
      <sheetName val="P&amp;L SEBI Sept 2017"/>
      <sheetName val="B S SEBI Sept 17"/>
      <sheetName val="SEBI Notes Sept 17"/>
      <sheetName val="P&amp;L SEBI (final)"/>
      <sheetName val="PL"/>
      <sheetName val="SOCE"/>
      <sheetName val="Final Cashflow"/>
      <sheetName val="Final working of CFS"/>
      <sheetName val="Acct Policies"/>
      <sheetName val="Note 1"/>
      <sheetName val="Note 2"/>
      <sheetName val="Note 3"/>
      <sheetName val="Note 4"/>
      <sheetName val="Note 5"/>
      <sheetName val="Note 7 "/>
      <sheetName val="Note 8"/>
      <sheetName val="Note 9"/>
      <sheetName val="Note 10"/>
      <sheetName val="Note 11"/>
      <sheetName val="Note 12"/>
      <sheetName val="Note 13"/>
      <sheetName val="Note 12 Old"/>
      <sheetName val="Note 14"/>
      <sheetName val="R&amp;S and Note 15"/>
      <sheetName val="Note 16"/>
      <sheetName val="Note 17"/>
      <sheetName val="Note 18"/>
      <sheetName val="Note 19"/>
      <sheetName val="Note 20"/>
      <sheetName val="Note 21"/>
      <sheetName val="Note 22"/>
      <sheetName val="Note 23"/>
      <sheetName val="Note 24"/>
      <sheetName val="Note 25"/>
      <sheetName val="Note 24.1"/>
      <sheetName val="Note 26"/>
      <sheetName val="Note 27"/>
      <sheetName val="Note 28 "/>
      <sheetName val="Note 28"/>
      <sheetName val="Note 29"/>
      <sheetName val="Note 30"/>
      <sheetName val="Note 31"/>
      <sheetName val="Note 32"/>
      <sheetName val="Note 33"/>
      <sheetName val="Note 34"/>
      <sheetName val="Note 35"/>
      <sheetName val="Note 36"/>
      <sheetName val="Note 37"/>
      <sheetName val="Note 38"/>
      <sheetName val="Note - IND AS reco (final)"/>
      <sheetName val="Note 41"/>
      <sheetName val="Security "/>
      <sheetName val="Repayment of Borrowing"/>
      <sheetName val="SAP Trial F.08"/>
      <sheetName val="Mannual Entries"/>
      <sheetName val="SCE input"/>
      <sheetName val="IND AS adjustment"/>
      <sheetName val="Opening Reserve adjustment"/>
      <sheetName val="JV"/>
      <sheetName val="JV pending for 16-17"/>
      <sheetName val="Defined Benefits"/>
      <sheetName val="Reval of non current investment"/>
      <sheetName val="Reval Loan to trust "/>
      <sheetName val="Interest regroup"/>
      <sheetName val="India cast entry"/>
      <sheetName val="Entries"/>
      <sheetName val="EPS"/>
      <sheetName val="Annexure A-Dom RCM"/>
      <sheetName val="Working Sheet"/>
      <sheetName val="Nopat_Op1"/>
      <sheetName val="Nopat_Fin1"/>
      <sheetName val="Cap_Fin1"/>
      <sheetName val="Drivers_Bubble1"/>
      <sheetName val="Drivers-Sales_old1"/>
      <sheetName val="MVA_(2)1"/>
      <sheetName val="Gearing_Impact_on_WACC1"/>
      <sheetName val="Nopat_Op3"/>
      <sheetName val="Nopat_Fin3"/>
      <sheetName val="Cap_Fin3"/>
      <sheetName val="Drivers_Bubble3"/>
      <sheetName val="Drivers-Sales_old3"/>
      <sheetName val="MVA_(2)3"/>
      <sheetName val="Gearing_Impact_on_WACC3"/>
      <sheetName val="Nopat_Op2"/>
      <sheetName val="Nopat_Fin2"/>
      <sheetName val="Cap_Fin2"/>
      <sheetName val="Drivers_Bubble2"/>
      <sheetName val="Drivers-Sales_old2"/>
      <sheetName val="MVA_(2)2"/>
      <sheetName val="Gearing_Impact_on_WACC2"/>
      <sheetName val="Print_Menu"/>
      <sheetName val="Forecast-Input"/>
      <sheetName val="Valuation"/>
      <sheetName val="wwww"/>
      <sheetName val="Assume"/>
      <sheetName val="Capital"/>
      <sheetName val="Company"/>
      <sheetName val="Input"/>
      <sheetName val="b"/>
      <sheetName val="Nopat_Op4"/>
      <sheetName val="Nopat_Fin4"/>
      <sheetName val="Cap_Fin4"/>
      <sheetName val="Drivers_Bubble4"/>
      <sheetName val="Drivers-Sales_old4"/>
      <sheetName val="MVA_(2)4"/>
      <sheetName val="Gearing_Impact_on_WACC4"/>
      <sheetName val="Cash_flow"/>
      <sheetName val="Share_Capital_Sch"/>
      <sheetName val="Sch_to_BS"/>
      <sheetName val="Shareholding_pattern"/>
      <sheetName val="Sch_to_PL"/>
      <sheetName val="EPS_working"/>
      <sheetName val="AXNNI_TB_March_13"/>
      <sheetName val="JV_2012-13"/>
      <sheetName val="JV_2011-12"/>
      <sheetName val="JV_2010-11"/>
      <sheetName val="Budget"/>
      <sheetName val="FQ"/>
      <sheetName val="LY"/>
      <sheetName val="fixing0721"/>
      <sheetName val="Final"/>
      <sheetName val="Summary-Price_New"/>
      <sheetName val="AN-2K"/>
      <sheetName val="Switch V16"/>
      <sheetName val="tbc"/>
      <sheetName val="Balance Sheet"/>
      <sheetName val="F.A.Schedule"/>
      <sheetName val="annexu 6.1"/>
      <sheetName val="IT Dep"/>
      <sheetName val="Note-1"/>
      <sheetName val="Ind As 115 acn policy"/>
      <sheetName val="Deferred Tax"/>
      <sheetName val="Note-5-15 &amp; 18-24"/>
      <sheetName val="NOTES 16,17 &amp; 25"/>
      <sheetName val="Note-26-31"/>
      <sheetName val="NOTES 32-38"/>
      <sheetName val="NOTES 39 FI-FV,40,41"/>
      <sheetName val="IND AS 115 disc"/>
      <sheetName val="TB Mar19"/>
      <sheetName val="TBGrouping"/>
      <sheetName val="TB SAP"/>
      <sheetName val="gl mASTER"/>
      <sheetName val="EAW Final Accounts - 99"/>
      <sheetName val="NC"/>
      <sheetName val="BS Backup"/>
      <sheetName val="PL Backup"/>
      <sheetName val="Segment PL"/>
      <sheetName val="Segment BS"/>
      <sheetName val="BSPL TB"/>
      <sheetName val="Sheet1."/>
      <sheetName val="Capitalization"/>
      <sheetName val="Forecast Detail"/>
      <sheetName val="Nopat_Op5"/>
      <sheetName val="Nopat_Fin5"/>
      <sheetName val="Cap_Fin5"/>
      <sheetName val="Drivers_Bubble5"/>
      <sheetName val="Drivers-Sales_old5"/>
      <sheetName val="MVA_(2)5"/>
      <sheetName val="Gearing_Impact_on_WACC5"/>
      <sheetName val="Rau_Interstate_-_PM"/>
      <sheetName val="Rau_Local_-_PM_13%"/>
      <sheetName val="Rau_Local_-_PM_5%"/>
      <sheetName val="Rau_Interstate_-_QC_Material"/>
      <sheetName val="Rau_Purchase_Local_-QC_@_13%"/>
      <sheetName val="Rau_Purchase_Local_-QC_@_5%"/>
      <sheetName val="Rau_QC_-__Cons_Stores_Local_5%"/>
      <sheetName val="Rau_Purchase_RM_Import"/>
      <sheetName val="Rau_Consumable_Import_Purchase"/>
      <sheetName val="Rau_Interstate_RM_(NA)"/>
      <sheetName val="Rau_Local_-_RM_(NA)_5%"/>
      <sheetName val="R_&amp;_D_Purchase_Import_R_D_M"/>
      <sheetName val="R_&amp;_D_Interstate_Material"/>
      <sheetName val="R_&amp;_D_Local_Chemical_13%"/>
      <sheetName val="R_&amp;_D_Local_Chemical_5_%"/>
      <sheetName val="SEZ_PM_Local"/>
      <sheetName val="SEZ_PM_Interstate"/>
      <sheetName val="SEZ_RM_Interstate_(NA)"/>
      <sheetName val="SEZ_RM_Interstate_(NA)_FER-U3"/>
      <sheetName val="SEZ_RM_Interstate_(NA)_Steroid"/>
      <sheetName val="SEZ_RM_Local_(NA)"/>
      <sheetName val="SEZ_RM_Local_(NA)_Steroid"/>
      <sheetName val="SEZ_RM_Import"/>
      <sheetName val="SEZ_QC_Material_Local"/>
      <sheetName val="SEZ_QC_Material_Interstate"/>
      <sheetName val="TB_IBN71"/>
      <sheetName val="Compliance_report_Final1"/>
      <sheetName val="ANN_I_sales1"/>
      <sheetName val="ANN_II_Salary1"/>
      <sheetName val="ANN_III_admin1"/>
      <sheetName val="ANN_IV_S&amp;D1"/>
      <sheetName val="ANN_V_VII_VIII_other_charges1"/>
      <sheetName val="ANN_VI_Depric1"/>
      <sheetName val="Appendix_II1"/>
      <sheetName val="Appendix_VI1"/>
      <sheetName val="Appendix_VII1"/>
      <sheetName val="For_Board1"/>
      <sheetName val="RIL_Cons-far_31_31"/>
      <sheetName val="Intergroup_14-15_(2)1"/>
      <sheetName val="Intergroup_14-151"/>
      <sheetName val="Capital_and_investment1"/>
      <sheetName val="RIL_Cons-far_30_091"/>
      <sheetName val="RIL_Cons-BS_1"/>
      <sheetName val="RIL_Con_PL1"/>
      <sheetName val="RIL_Cons-Schedule1"/>
      <sheetName val="Elimination_RIL1"/>
      <sheetName val="Entries_RAFA1"/>
      <sheetName val="Opening_Minority_interest_1"/>
      <sheetName val="summary_CF1"/>
      <sheetName val="Act_Vs_BP_-_General_News"/>
      <sheetName val="Act_Vs_BP_-_TV18"/>
      <sheetName val="Act_Vs_BP_-_CNNNews18"/>
      <sheetName val="Act_Vs_BP_-_IBN7"/>
      <sheetName val="Act_Vs_BP_-_Lokmat"/>
      <sheetName val="Act_Vs_BP_-_News18"/>
      <sheetName val="Act_Vs_BP_-_Corp"/>
      <sheetName val="Reported_Biz_News"/>
      <sheetName val="Cash_flow1"/>
      <sheetName val="Share_Capital_Sch1"/>
      <sheetName val="Sch_to_BS1"/>
      <sheetName val="Shareholding_pattern1"/>
      <sheetName val="Sch_to_PL1"/>
      <sheetName val="EPS_working1"/>
      <sheetName val="AXNNI_TB_March_131"/>
      <sheetName val="JV_2012-131"/>
      <sheetName val="JV_2011-121"/>
      <sheetName val="JV_2010-111"/>
      <sheetName val="Trial_Balance"/>
      <sheetName val="Note_6"/>
      <sheetName val="Depn_IT"/>
      <sheetName val="P&amp;L_SEBI_(June_17)"/>
      <sheetName val="SEBI_Notes"/>
      <sheetName val="P&amp;L_SEBI_Sept_2017"/>
      <sheetName val="B_S_SEBI_Sept_17"/>
      <sheetName val="SEBI_Notes_Sept_17"/>
      <sheetName val="P&amp;L_SEBI_(final)"/>
      <sheetName val="Final_Cashflow"/>
      <sheetName val="Final_working_of_CFS"/>
      <sheetName val="Acct_Policies"/>
      <sheetName val="Note_1"/>
      <sheetName val="Note_2"/>
      <sheetName val="Note_3"/>
      <sheetName val="Note_4"/>
      <sheetName val="Note_5"/>
      <sheetName val="Note_7_"/>
      <sheetName val="Note_8"/>
      <sheetName val="Note_9"/>
      <sheetName val="Note_10"/>
      <sheetName val="Note_11"/>
      <sheetName val="Note_12"/>
      <sheetName val="Note_13"/>
      <sheetName val="Note_12_Old"/>
      <sheetName val="Note_14"/>
      <sheetName val="R&amp;S_and_Note_15"/>
      <sheetName val="Note_16"/>
      <sheetName val="Note_17"/>
      <sheetName val="Note_18"/>
      <sheetName val="Note_19"/>
      <sheetName val="Note_20"/>
      <sheetName val="Note_21"/>
      <sheetName val="Note_22"/>
      <sheetName val="Note_23"/>
      <sheetName val="Note_24"/>
      <sheetName val="Note_25"/>
      <sheetName val="Note_24_1"/>
      <sheetName val="Note_26"/>
      <sheetName val="Note_27"/>
      <sheetName val="Note_28_"/>
      <sheetName val="Note_28"/>
      <sheetName val="Note_29"/>
      <sheetName val="Note_30"/>
      <sheetName val="Note_31"/>
      <sheetName val="Note_32"/>
      <sheetName val="Note_33"/>
      <sheetName val="Note_34"/>
      <sheetName val="Note_35"/>
      <sheetName val="Note_36"/>
      <sheetName val="Note_37"/>
      <sheetName val="Note_38"/>
      <sheetName val="Note_-_IND_AS_reco_(final)"/>
      <sheetName val="Note_41"/>
      <sheetName val="Security_"/>
      <sheetName val="Repayment_of_Borrowing"/>
      <sheetName val="SAP_Trial_F_08"/>
      <sheetName val="Mannual_Entries"/>
      <sheetName val="SCE_input"/>
      <sheetName val="IND_AS_adjustment"/>
      <sheetName val="Opening_Reserve_adjustment"/>
      <sheetName val="JV_pending_for_16-17"/>
      <sheetName val="Defined_Benefits"/>
      <sheetName val="Reval_of_non_current_investment"/>
      <sheetName val="Reval_Loan_to_trust_"/>
      <sheetName val="Interest_regroup"/>
      <sheetName val="India_cast_entry"/>
      <sheetName val="Annexure_A-Dom_RCM"/>
      <sheetName val="Working_Sheet"/>
      <sheetName val="Switch_V16"/>
      <sheetName val="BS_Backup"/>
      <sheetName val="PL_Backup"/>
      <sheetName val="Segment_PL"/>
      <sheetName val="Segment_BS"/>
      <sheetName val="BSPL_TB"/>
      <sheetName val="Sheet1_"/>
      <sheetName val="Forecast_Detail"/>
      <sheetName val="PIMS"/>
      <sheetName val="P &amp; L 13-14"/>
      <sheetName val="BS 13-14"/>
      <sheetName val="AY 14-15"/>
      <sheetName val="Bud Vs Act Sales"/>
      <sheetName val="Slide-3"/>
      <sheetName val="Sales Progression"/>
      <sheetName val="Sales Progression only Stores"/>
      <sheetName val="Insti Progression"/>
      <sheetName val="Bud Vs Act Area"/>
      <sheetName val="Budget Area and Nos"/>
      <sheetName val="Insti Sales"/>
      <sheetName val="SPSF Graph"/>
      <sheetName val="SPSF Range"/>
      <sheetName val="YTD SPSF"/>
      <sheetName val="YOY -Growth"/>
      <sheetName val="Continuing Stores (495)"/>
      <sheetName val="Dbase"/>
      <sheetName val="Monthly Sales &amp; SPSF"/>
      <sheetName val="Sales Budget"/>
      <sheetName val="Perf Vs Capex &lt; 9 Months"/>
      <sheetName val="Perf Vs Capex 9 to 15 Months"/>
      <sheetName val="Private Label"/>
      <sheetName val="Cat Wise Sales"/>
      <sheetName val="Emplyee Sales"/>
      <sheetName val="staff Analysis"/>
      <sheetName val="Actual  area &amp; Nos. "/>
      <sheetName val="Bud Vs Actual Sales Graph"/>
      <sheetName val="Clubmore"/>
      <sheetName val="Citywise"/>
      <sheetName val="Agewise SPSF"/>
      <sheetName val="Same Period Sales"/>
      <sheetName val="Store Nos"/>
      <sheetName val="Same store"/>
      <sheetName val="Total Sales 2009-10 ROI"/>
      <sheetName val="Branch-wise-City-wise"/>
      <sheetName val="ENTRY"/>
      <sheetName val="KOTAK"/>
      <sheetName val="KOTAKCONTRACT"/>
      <sheetName val="HDFC"/>
      <sheetName val="trading"/>
      <sheetName val="UTILIZED AND CLOSED DEALS"/>
      <sheetName val="Rpt_APPReport"/>
      <sheetName val="ecc_res"/>
      <sheetName val="Control Sheet"/>
      <sheetName val="Inv, S.Drs., Cash, Loans"/>
      <sheetName val="Op exps, Int. chr"/>
      <sheetName val="Oth inc, Mat. con"/>
      <sheetName val="Secured &amp; Unsecured"/>
      <sheetName val="tariff"/>
      <sheetName val="Macro1"/>
      <sheetName val="Project"/>
      <sheetName val="Cognos_Office_Connection_Cache"/>
      <sheetName val="PO DETAILS-DEC-2016"/>
      <sheetName val="UTV Titles"/>
      <sheetName val="Basis of Provision-Hindi titles"/>
      <sheetName val="SUM"/>
      <sheetName val="MASTER-DATA"/>
      <sheetName val="Provision Available"/>
      <sheetName val="WORK"/>
      <sheetName val="PPA-PROV-SUMM-DEC-16"/>
      <sheetName val="Main files--&gt;"/>
      <sheetName val="SOP&amp;L"/>
      <sheetName val="SOCIE"/>
      <sheetName val="Note-PPE, CWIP &amp; OITA"/>
      <sheetName val="Notes-Assets"/>
      <sheetName val="Notes-Liabilities"/>
      <sheetName val="Notes-SOP&amp;L"/>
      <sheetName val="Employee benefits"/>
      <sheetName val="Tax reconciliation"/>
      <sheetName val="FI - FV"/>
      <sheetName val="FI Credit risk"/>
      <sheetName val="FI Liquidity risk"/>
      <sheetName val="FI Currency risk"/>
      <sheetName val="Capital disclosure"/>
      <sheetName val="RPT"/>
      <sheetName val="Contingent liabilities"/>
      <sheetName val="Forward exchange contracs"/>
      <sheetName val="Segment Reporting"/>
      <sheetName val="Additional Information"/>
      <sheetName val="R &amp; D Exp"/>
      <sheetName val="Other Notes"/>
      <sheetName val="Ind AS 101"/>
      <sheetName val="Working files--&gt;"/>
      <sheetName val="Journal Entries"/>
      <sheetName val="DT working BS approach"/>
      <sheetName val="Working of Tax Base (Invst)"/>
      <sheetName val="ECL Working"/>
      <sheetName val="Loan from Directors"/>
      <sheetName val="MTM working"/>
      <sheetName val="Working of spares"/>
      <sheetName val="Rent deposit Working"/>
      <sheetName val="TB (01.04.2015)"/>
      <sheetName val="TB (31.03.2016)"/>
      <sheetName val="SUB SCHEDULE"/>
      <sheetName val="raw data"/>
      <sheetName val="HI-TARGE"/>
      <sheetName val="additions to fixed assets"/>
      <sheetName val="List_ratios"/>
      <sheetName val="due to from"/>
      <sheetName val="CABLE"/>
      <sheetName val="CopyofCOA20040614"/>
      <sheetName val="ANNX -II"/>
      <sheetName val="Additional GLS"/>
      <sheetName val="GL Master File"/>
      <sheetName val="GL Code Listing"/>
      <sheetName val="Index Sheet"/>
      <sheetName val="Sch Nos Master"/>
      <sheetName val="TB with Entries"/>
      <sheetName val="L.R."/>
      <sheetName val="Qtr to Qtr"/>
      <sheetName val="Adj Entries"/>
      <sheetName val="HNG FA Schedule"/>
      <sheetName val="Regrouping"/>
      <sheetName val="Sheet5"/>
      <sheetName val="TB Grouped"/>
      <sheetName val="Sheet6"/>
      <sheetName val="Grouping Control"/>
      <sheetName val="P &amp; L"/>
      <sheetName val="Acc P"/>
      <sheetName val="Sheet4"/>
      <sheetName val="IND BS"/>
      <sheetName val="IND PL"/>
      <sheetName val="FA Schedule"/>
      <sheetName val="Ind AS_Notes (SA)"/>
      <sheetName val="Per Ton Cost"/>
      <sheetName val="Variance Sheet"/>
      <sheetName val="Stock"/>
      <sheetName val="Debtors"/>
      <sheetName val="Creditors"/>
      <sheetName val="Bal with Govt"/>
      <sheetName val="Misc Expenses"/>
      <sheetName val="CWIP"/>
      <sheetName val="Repairs Cost"/>
      <sheetName val="Input Sheet"/>
      <sheetName val="LR New Face"/>
      <sheetName val="1. IND BS"/>
      <sheetName val="3. Cash Flow"/>
      <sheetName val="2. IND PL"/>
      <sheetName val="4. SOCIE"/>
      <sheetName val="5A. PPE Final"/>
      <sheetName val="5B Intangibles"/>
      <sheetName val="Ind AS_Notes"/>
      <sheetName val="FG 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sheetData sheetId="72"/>
      <sheetData sheetId="73"/>
      <sheetData sheetId="74">
        <row r="832">
          <cell r="C832" t="str">
            <v>CASH CREDIT</v>
          </cell>
        </row>
      </sheetData>
      <sheetData sheetId="75"/>
      <sheetData sheetId="76"/>
      <sheetData sheetId="77"/>
      <sheetData sheetId="78"/>
      <sheetData sheetId="79">
        <row r="832">
          <cell r="C832" t="str">
            <v>CASH CREDIT</v>
          </cell>
        </row>
      </sheetData>
      <sheetData sheetId="80"/>
      <sheetData sheetId="81"/>
      <sheetData sheetId="82" refreshError="1"/>
      <sheetData sheetId="83" refreshError="1"/>
      <sheetData sheetId="84" refreshError="1"/>
      <sheetData sheetId="85"/>
      <sheetData sheetId="86"/>
      <sheetData sheetId="87"/>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ow r="832">
          <cell r="C832" t="str">
            <v>CASH CREDIT</v>
          </cell>
        </row>
      </sheetData>
      <sheetData sheetId="165"/>
      <sheetData sheetId="166">
        <row r="832">
          <cell r="C832" t="str">
            <v>CASH CREDIT</v>
          </cell>
        </row>
      </sheetData>
      <sheetData sheetId="167"/>
      <sheetData sheetId="168">
        <row r="832">
          <cell r="C832" t="str">
            <v>CASH CREDIT</v>
          </cell>
        </row>
      </sheetData>
      <sheetData sheetId="169">
        <row r="832">
          <cell r="C832" t="str">
            <v>CASH CREDIT</v>
          </cell>
        </row>
      </sheetData>
      <sheetData sheetId="170">
        <row r="832">
          <cell r="C832" t="str">
            <v>CASH CREDIT</v>
          </cell>
        </row>
      </sheetData>
      <sheetData sheetId="171">
        <row r="832">
          <cell r="C832" t="str">
            <v>CASH CREDIT</v>
          </cell>
        </row>
      </sheetData>
      <sheetData sheetId="172">
        <row r="832">
          <cell r="C832" t="str">
            <v>CASH CREDIT</v>
          </cell>
        </row>
      </sheetData>
      <sheetData sheetId="173">
        <row r="832">
          <cell r="C832" t="str">
            <v>CASH CREDIT</v>
          </cell>
        </row>
      </sheetData>
      <sheetData sheetId="174">
        <row r="832">
          <cell r="C832" t="str">
            <v>CASH CREDIT</v>
          </cell>
        </row>
      </sheetData>
      <sheetData sheetId="175">
        <row r="832">
          <cell r="C832" t="str">
            <v>CASH CREDIT</v>
          </cell>
        </row>
      </sheetData>
      <sheetData sheetId="176">
        <row r="832">
          <cell r="C832" t="str">
            <v>CASH CREDIT</v>
          </cell>
        </row>
      </sheetData>
      <sheetData sheetId="177">
        <row r="832">
          <cell r="C832" t="str">
            <v>CASH CREDIT</v>
          </cell>
        </row>
      </sheetData>
      <sheetData sheetId="178">
        <row r="832">
          <cell r="C832" t="str">
            <v>CASH CREDIT</v>
          </cell>
        </row>
      </sheetData>
      <sheetData sheetId="179">
        <row r="832">
          <cell r="C832" t="str">
            <v>CASH CREDIT</v>
          </cell>
        </row>
      </sheetData>
      <sheetData sheetId="180">
        <row r="832">
          <cell r="C832" t="str">
            <v>CASH CREDIT</v>
          </cell>
        </row>
      </sheetData>
      <sheetData sheetId="181">
        <row r="832">
          <cell r="C832" t="str">
            <v>CASH CREDIT</v>
          </cell>
        </row>
      </sheetData>
      <sheetData sheetId="182">
        <row r="832">
          <cell r="C832" t="str">
            <v>CASH CREDIT</v>
          </cell>
        </row>
      </sheetData>
      <sheetData sheetId="183">
        <row r="832">
          <cell r="C832" t="str">
            <v>CASH CREDIT</v>
          </cell>
        </row>
      </sheetData>
      <sheetData sheetId="184">
        <row r="832">
          <cell r="C832" t="str">
            <v>CASH CREDIT</v>
          </cell>
        </row>
      </sheetData>
      <sheetData sheetId="185">
        <row r="832">
          <cell r="C832" t="str">
            <v>CASH CREDIT</v>
          </cell>
        </row>
      </sheetData>
      <sheetData sheetId="186">
        <row r="832">
          <cell r="C832" t="str">
            <v>CASH CREDIT</v>
          </cell>
        </row>
      </sheetData>
      <sheetData sheetId="187">
        <row r="832">
          <cell r="C832" t="str">
            <v>CASH CREDIT</v>
          </cell>
        </row>
      </sheetData>
      <sheetData sheetId="188">
        <row r="832">
          <cell r="C832" t="str">
            <v>CASH CREDIT</v>
          </cell>
        </row>
      </sheetData>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sheetData sheetId="313"/>
      <sheetData sheetId="314"/>
      <sheetData sheetId="315"/>
      <sheetData sheetId="316"/>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ow r="832">
          <cell r="C832" t="str">
            <v>CASH CREDIT</v>
          </cell>
        </row>
      </sheetData>
      <sheetData sheetId="363"/>
      <sheetData sheetId="364"/>
      <sheetData sheetId="365"/>
      <sheetData sheetId="366"/>
      <sheetData sheetId="367">
        <row r="832">
          <cell r="C832" t="str">
            <v>CASH CREDIT</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row r="832">
          <cell r="C832" t="str">
            <v>CASH CREDIT</v>
          </cell>
        </row>
      </sheetData>
      <sheetData sheetId="398"/>
      <sheetData sheetId="399">
        <row r="832">
          <cell r="C832" t="str">
            <v>CASH CREDIT</v>
          </cell>
        </row>
      </sheetData>
      <sheetData sheetId="400">
        <row r="832">
          <cell r="C832" t="str">
            <v>CASH CREDIT</v>
          </cell>
        </row>
      </sheetData>
      <sheetData sheetId="401">
        <row r="832">
          <cell r="C832" t="str">
            <v>CASH CREDIT</v>
          </cell>
        </row>
      </sheetData>
      <sheetData sheetId="402">
        <row r="832">
          <cell r="C832" t="str">
            <v>CASH CREDIT</v>
          </cell>
        </row>
      </sheetData>
      <sheetData sheetId="403">
        <row r="832">
          <cell r="C832" t="str">
            <v>CASH CREDIT</v>
          </cell>
        </row>
      </sheetData>
      <sheetData sheetId="404">
        <row r="832">
          <cell r="C832" t="str">
            <v>CASH CREDIT</v>
          </cell>
        </row>
      </sheetData>
      <sheetData sheetId="405">
        <row r="832">
          <cell r="C832" t="str">
            <v>CASH CREDIT</v>
          </cell>
        </row>
      </sheetData>
      <sheetData sheetId="406">
        <row r="832">
          <cell r="C832" t="str">
            <v>CASH CREDIT</v>
          </cell>
        </row>
      </sheetData>
      <sheetData sheetId="407">
        <row r="832">
          <cell r="C832" t="str">
            <v>CASH CREDIT</v>
          </cell>
        </row>
      </sheetData>
      <sheetData sheetId="408">
        <row r="832">
          <cell r="C832" t="str">
            <v>CASH CREDIT</v>
          </cell>
        </row>
      </sheetData>
      <sheetData sheetId="409">
        <row r="832">
          <cell r="C832" t="str">
            <v>CASH CREDIT</v>
          </cell>
        </row>
      </sheetData>
      <sheetData sheetId="410">
        <row r="832">
          <cell r="C832" t="str">
            <v>CASH CREDIT</v>
          </cell>
        </row>
      </sheetData>
      <sheetData sheetId="411">
        <row r="832">
          <cell r="C832" t="str">
            <v>CASH CREDIT</v>
          </cell>
        </row>
      </sheetData>
      <sheetData sheetId="412">
        <row r="832">
          <cell r="C832" t="str">
            <v>CASH CREDIT</v>
          </cell>
        </row>
      </sheetData>
      <sheetData sheetId="413">
        <row r="832">
          <cell r="C832" t="str">
            <v>CASH CREDIT</v>
          </cell>
        </row>
      </sheetData>
      <sheetData sheetId="414">
        <row r="832">
          <cell r="C832" t="str">
            <v>CASH CREDIT</v>
          </cell>
        </row>
      </sheetData>
      <sheetData sheetId="415">
        <row r="832">
          <cell r="C832" t="str">
            <v>CASH CREDIT</v>
          </cell>
        </row>
      </sheetData>
      <sheetData sheetId="416">
        <row r="832">
          <cell r="C832" t="str">
            <v>CASH CREDIT</v>
          </cell>
        </row>
      </sheetData>
      <sheetData sheetId="417">
        <row r="832">
          <cell r="C832" t="str">
            <v>CASH CREDIT</v>
          </cell>
        </row>
      </sheetData>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efreshError="1"/>
      <sheetData sheetId="471"/>
      <sheetData sheetId="472"/>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sheetData sheetId="575"/>
      <sheetData sheetId="576"/>
      <sheetData sheetId="577">
        <row r="832">
          <cell r="C832" t="str">
            <v>Internal Consumption-FG Country Liquor</v>
          </cell>
        </row>
      </sheetData>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nagerial rem"/>
      <sheetName val="Details"/>
      <sheetName val="Schedules"/>
      <sheetName val="Balance Sheet"/>
      <sheetName val="Profit &amp; Loss"/>
      <sheetName val="Fixed Asse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562"/>
      <sheetName val="562"/>
      <sheetName val="PR569"/>
      <sheetName val="569"/>
      <sheetName val="PR573"/>
      <sheetName val="573"/>
      <sheetName val="PR596"/>
      <sheetName val="596"/>
      <sheetName val="546"/>
      <sheetName val="SUMMARY"/>
      <sheetName val="SUMMARY (2)"/>
      <sheetName val="CG 50% 201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4">
          <cell r="E64">
            <v>0</v>
          </cell>
          <cell r="F64">
            <v>1.2569999999999986</v>
          </cell>
          <cell r="G64">
            <v>0.57299999999999984</v>
          </cell>
          <cell r="H64">
            <v>0</v>
          </cell>
        </row>
      </sheetData>
      <sheetData sheetId="10" refreshError="1"/>
      <sheetData sheetId="1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visions"/>
      <sheetName val="Factor Grid"/>
      <sheetName val="Assumptions"/>
      <sheetName val="Security concerns"/>
      <sheetName val="Impact of Cost"/>
      <sheetName val="Summary Sheet"/>
      <sheetName val="RKA FSA &amp; Coal Price"/>
      <sheetName val="tariff_rattanpower"/>
      <sheetName val="RKA Coal Cost Calculation"/>
      <sheetName val="Financial"/>
      <sheetName val="Coal Cost revised"/>
      <sheetName val="OC - Annexures (2)"/>
      <sheetName val="FY18 &amp;19 Statements"/>
      <sheetName val="Company's revenue assumption"/>
      <sheetName val="O&amp;M cost Assumption"/>
      <sheetName val="Rough financial data"/>
      <sheetName val="RKA Debt Sch"/>
      <sheetName val="RKA Dep Sch"/>
      <sheetName val="RKA CAPM"/>
      <sheetName val="RKA Projection"/>
      <sheetName val="Asset Summary"/>
      <sheetName val="RKA Summary"/>
      <sheetName val="Coal Analysis"/>
      <sheetName val="OCCRPS and Prov."/>
      <sheetName val="New Working Capital "/>
      <sheetName val="New Debt"/>
      <sheetName val="Equity"/>
      <sheetName val="New Financial (2)"/>
      <sheetName val="New Financial_Company Ebitda"/>
      <sheetName val="Revised Tax"/>
      <sheetName val="Comparison of WC effect"/>
      <sheetName val="Working Capital"/>
      <sheetName val="For OC proposal"/>
      <sheetName val="Payout to Lenders"/>
      <sheetName val="Equit_OCD"/>
      <sheetName val="Repayment Part A"/>
      <sheetName val="for tables_OC summary"/>
      <sheetName val="OCD and Prov."/>
      <sheetName val="Phasing"/>
      <sheetName val="Tax Check"/>
      <sheetName val="Sheet5"/>
      <sheetName val="Financial_original"/>
      <sheetName val="H1FY2018"/>
      <sheetName val="TEV_Cashflow"/>
      <sheetName val="TEV_Assumption"/>
      <sheetName val="TEV_Working"/>
      <sheetName val="Ratios &amp; IRR"/>
      <sheetName val="Debt Sheet"/>
      <sheetName val="Operating Ratios"/>
      <sheetName val="Financials_per unit"/>
      <sheetName val="OC - Annexures"/>
      <sheetName val="Sustainability Test"/>
      <sheetName val="Original Debt_not linked to S4A"/>
      <sheetName val="Original Debt"/>
      <sheetName val="Test"/>
      <sheetName val="CF"/>
      <sheetName val="COG (2)"/>
      <sheetName val="COG"/>
      <sheetName val="Rail_freight"/>
      <sheetName val="Sheet2"/>
      <sheetName val="Project Cost"/>
      <sheetName val="Coal Cost"/>
      <sheetName val="CMA"/>
      <sheetName val="MERC order"/>
      <sheetName val="Depreciation_unit (1)"/>
      <sheetName val="Depreciation_unit (2)"/>
      <sheetName val="Depreciation_unit (3)"/>
      <sheetName val="Depreciation_unit (4)"/>
      <sheetName val="Depreciation_unit (5)"/>
      <sheetName val="IRR &amp; WACC Computation"/>
      <sheetName val="Share Price"/>
      <sheetName val="Share Price New"/>
      <sheetName val="Sheet3"/>
      <sheetName val="Sheet4"/>
      <sheetName val="Provisioning Comparison"/>
      <sheetName val="Share Price_SEBI"/>
      <sheetName val="RIPL Share Price"/>
      <sheetName val="Share Price - 52 week Ref date"/>
      <sheetName val="Sheet6"/>
      <sheetName val="Cash Flow"/>
      <sheetName val="Sheet1"/>
      <sheetName val="Comparison with S4A"/>
      <sheetName val="Sheet7"/>
      <sheetName val="Unit-wise Analysis"/>
      <sheetName val="For PPT"/>
      <sheetName val="Outstanding"/>
    </sheetNames>
    <sheetDataSet>
      <sheetData sheetId="0"/>
      <sheetData sheetId="1"/>
      <sheetData sheetId="2"/>
      <sheetData sheetId="3">
        <row r="46">
          <cell r="D46">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1"/>
      <sheetName val="Output 2"/>
      <sheetName val="Output 3"/>
      <sheetName val="FF Field"/>
      <sheetName val="Model- As is"/>
      <sheetName val="Model- Divi only case"/>
      <sheetName val="Model- Divi and NCD"/>
      <sheetName val="Model- LLP"/>
    </sheetNames>
    <sheetDataSet>
      <sheetData sheetId="0"/>
      <sheetData sheetId="1"/>
      <sheetData sheetId="2"/>
      <sheetData sheetId="3"/>
      <sheetData sheetId="4"/>
      <sheetData sheetId="5"/>
      <sheetData sheetId="6"/>
      <sheetData sheetId="7"/>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562"/>
      <sheetName val="562"/>
      <sheetName val="PR569"/>
      <sheetName val="569"/>
      <sheetName val="PR573"/>
      <sheetName val="573"/>
      <sheetName val="PR596"/>
      <sheetName val="596"/>
      <sheetName val="546"/>
      <sheetName val="SUMMARY"/>
      <sheetName val="SUMMARY (2)"/>
      <sheetName val="Balance Sheet "/>
      <sheetName val="Cap"/>
      <sheetName val="FX-MTM-Data"/>
      <sheetName val="Main 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4">
          <cell r="E64">
            <v>0</v>
          </cell>
          <cell r="F64">
            <v>1.2569999999999986</v>
          </cell>
          <cell r="G64">
            <v>0.57299999999999984</v>
          </cell>
          <cell r="H64">
            <v>0</v>
          </cell>
        </row>
      </sheetData>
      <sheetData sheetId="10" refreshError="1"/>
      <sheetData sheetId="11" refreshError="1"/>
      <sheetData sheetId="12" refreshError="1"/>
      <sheetData sheetId="13" refreshError="1"/>
      <sheetData sheetId="14"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table"/>
      <sheetName val="Case Sensitivity 133"/>
      <sheetName val="Valuation"/>
      <sheetName val="Capitalization"/>
      <sheetName val="OpStmt-Apt-Q"/>
      <sheetName val="OpStmt-Apt-A"/>
      <sheetName val="A-OpAssumptions"/>
      <sheetName val="P&amp;L-2005-06-07 (Base)"/>
      <sheetName val="220 units (Base) 5 year"/>
      <sheetName val="P&amp;L-2005-06-07 (Opt)"/>
      <sheetName val="Q-Returns"/>
      <sheetName val="A-Returns"/>
      <sheetName val="Partner Promote"/>
      <sheetName val="Debt"/>
      <sheetName val="A-General"/>
      <sheetName val="A-Debt"/>
      <sheetName val="A-Tax"/>
      <sheetName val="Tax"/>
      <sheetName val="A-Rentroll"/>
      <sheetName val="Fund Summary"/>
      <sheetName val="Investor Summary"/>
      <sheetName val="Investment Summary"/>
      <sheetName val="Class A"/>
      <sheetName val="Class B"/>
      <sheetName val="A-Others"/>
      <sheetName val="A_Gen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local"/>
      <sheetName val="Factor- cables"/>
      <sheetName val="Factor -Imports (FCA Prices)"/>
      <sheetName val="Factors-overall"/>
      <sheetName val="Summary"/>
      <sheetName val="Acc-2E1+eth"/>
      <sheetName val="2E1+eth"/>
      <sheetName val="EMS-2E1+Eth"/>
      <sheetName val="Acc-4E1"/>
      <sheetName val="4E1"/>
      <sheetName val="EMS-4E1"/>
      <sheetName val="Acc-2E1 "/>
      <sheetName val="2E1"/>
      <sheetName val="EMS-2E1"/>
      <sheetName val="Acc-1E1"/>
      <sheetName val="1E1"/>
      <sheetName val="EMS-1E1"/>
      <sheetName val="Optional Accessories"/>
      <sheetName val="Acc-1E1+eth "/>
      <sheetName val="1E1+eth"/>
      <sheetName val="EMS-1E1+eth"/>
      <sheetName val="optimised config-acc"/>
      <sheetName val="optimised config"/>
      <sheetName val="optimised confi EMS"/>
      <sheetName val="interface Cards"/>
      <sheetName val="Factors_overall"/>
      <sheetName val="WORKINGS"/>
      <sheetName val="Estimate"/>
      <sheetName val="tuong"/>
      <sheetName val="A-General"/>
      <sheetName val="Summary Jun-08"/>
      <sheetName val="Collection"/>
      <sheetName val="FV-08-09"/>
      <sheetName val="Excise Cen Awailment-Jun-08"/>
      <sheetName val="Cenvat Awailment-ST"/>
      <sheetName val="ST Cenvat June-08"/>
      <sheetName val="ST Cenvat May'08 "/>
      <sheetName val="Factor_-local"/>
      <sheetName val="Factor-_cables"/>
      <sheetName val="Factor_-Imports_(FCA_Prices)"/>
      <sheetName val="Acc-2E1_"/>
      <sheetName val="Optional_Accessories"/>
      <sheetName val="Acc-1E1+eth_"/>
      <sheetName val="optimised_config-acc"/>
      <sheetName val="optimised_config"/>
      <sheetName val="optimised_confi_EMS"/>
      <sheetName val="interface_Cards"/>
      <sheetName val="Summary_Jun-08"/>
      <sheetName val="Excise_Cen_Awailment-Jun-08"/>
      <sheetName val="Cenvat_Awailment-ST"/>
      <sheetName val="ST_Cenvat_June-08"/>
      <sheetName val="ST_Cenvat_May'08_"/>
      <sheetName val="Factor_-local1"/>
      <sheetName val="Factor-_cables1"/>
      <sheetName val="Factor_-Imports_(FCA_Prices)1"/>
      <sheetName val="Acc-2E1_1"/>
      <sheetName val="Optional_Accessories1"/>
      <sheetName val="Acc-1E1+eth_1"/>
      <sheetName val="optimised_config-acc1"/>
      <sheetName val="optimised_config1"/>
      <sheetName val="optimised_confi_EMS1"/>
      <sheetName val="interface_Cards1"/>
      <sheetName val="Summary_Jun-081"/>
      <sheetName val="Excise_Cen_Awailment-Jun-081"/>
      <sheetName val="Cenvat_Awailment-ST1"/>
      <sheetName val="ST_Cenvat_June-081"/>
      <sheetName val="ST_Cenvat_May'08_1"/>
      <sheetName val="Factor_-local2"/>
      <sheetName val="Factor-_cables2"/>
      <sheetName val="Factor_-Imports_(FCA_Prices)2"/>
      <sheetName val="Acc-2E1_2"/>
      <sheetName val="Optional_Accessories2"/>
      <sheetName val="Acc-1E1+eth_2"/>
      <sheetName val="optimised_config-acc2"/>
      <sheetName val="optimised_config2"/>
      <sheetName val="optimised_confi_EMS2"/>
      <sheetName val="interface_Cards2"/>
      <sheetName val="Summary_Jun-082"/>
      <sheetName val="Excise_Cen_Awailment-Jun-082"/>
      <sheetName val="Cenvat_Awailment-ST2"/>
      <sheetName val="ST_Cenvat_June-082"/>
      <sheetName val="ST_Cenvat_May'08_2"/>
      <sheetName val="FX-MTM-Data"/>
      <sheetName val="Main Cover"/>
      <sheetName val="Cap"/>
      <sheetName val="Params"/>
      <sheetName val="NMDC Porf"/>
      <sheetName val="1-OBJ98 "/>
      <sheetName val="fco"/>
      <sheetName val="Factor_-local3"/>
      <sheetName val="Factor-_cables3"/>
      <sheetName val="Factor_-Imports_(FCA_Prices)3"/>
      <sheetName val="Acc-2E1_3"/>
      <sheetName val="Optional_Accessories3"/>
      <sheetName val="Acc-1E1+eth_3"/>
      <sheetName val="optimised_config-acc3"/>
      <sheetName val="optimised_config3"/>
      <sheetName val="optimised_confi_EMS3"/>
      <sheetName val="interface_Cards3"/>
      <sheetName val="PIP&amp;EQPT"/>
      <sheetName val="Factor_-local5"/>
      <sheetName val="Factor-_cables5"/>
      <sheetName val="Factor_-Imports_(FCA_Prices)5"/>
      <sheetName val="Acc-2E1_5"/>
      <sheetName val="Optional_Accessories5"/>
      <sheetName val="Acc-1E1+eth_5"/>
      <sheetName val="optimised_config-acc5"/>
      <sheetName val="optimised_config5"/>
      <sheetName val="optimised_confi_EMS5"/>
      <sheetName val="interface_Cards5"/>
      <sheetName val="Factor_-local4"/>
      <sheetName val="Factor-_cables4"/>
      <sheetName val="Factor_-Imports_(FCA_Prices)4"/>
      <sheetName val="Acc-2E1_4"/>
      <sheetName val="Optional_Accessories4"/>
      <sheetName val="Acc-1E1+eth_4"/>
      <sheetName val="optimised_config-acc4"/>
      <sheetName val="optimised_config4"/>
      <sheetName val="optimised_confi_EMS4"/>
      <sheetName val="interface_Cards4"/>
      <sheetName val="설계조건"/>
      <sheetName val="단면검토"/>
      <sheetName val="Start"/>
      <sheetName val="GuV"/>
      <sheetName val="Controls"/>
      <sheetName val="10-city points"/>
      <sheetName val="접속슬래브"/>
      <sheetName val="CAL"/>
      <sheetName val="PanhandleB"/>
      <sheetName val="Inputs "/>
      <sheetName val="Attachment 3B"/>
      <sheetName val="Summary_Jun-083"/>
      <sheetName val="Excise_Cen_Awailment-Jun-083"/>
      <sheetName val="Cenvat_Awailment-ST3"/>
      <sheetName val="ST_Cenvat_June-083"/>
      <sheetName val="ST_Cenvat_May'08_3"/>
      <sheetName val="10-city_points"/>
      <sheetName val="Summary_Jun-084"/>
      <sheetName val="Excise_Cen_Awailment-Jun-084"/>
      <sheetName val="Cenvat_Awailment-ST4"/>
      <sheetName val="ST_Cenvat_June-084"/>
      <sheetName val="ST_Cenvat_May'08_4"/>
      <sheetName val="10-city_points1"/>
      <sheetName val="Summary_Jun-085"/>
      <sheetName val="Excise_Cen_Awailment-Jun-085"/>
      <sheetName val="Cenvat_Awailment-ST5"/>
      <sheetName val="ST_Cenvat_June-085"/>
      <sheetName val="ST_Cenvat_May'08_5"/>
      <sheetName val="10-city_points2"/>
      <sheetName val="Factor_-local6"/>
      <sheetName val="Factor-_cables6"/>
      <sheetName val="Factor_-Imports_(FCA_Prices)6"/>
      <sheetName val="Acc-2E1_6"/>
      <sheetName val="Optional_Accessories6"/>
      <sheetName val="Acc-1E1+eth_6"/>
      <sheetName val="optimised_config-acc6"/>
      <sheetName val="optimised_config6"/>
      <sheetName val="optimised_confi_EMS6"/>
      <sheetName val="interface_Cards6"/>
      <sheetName val="Summary_Jun-086"/>
      <sheetName val="Excise_Cen_Awailment-Jun-086"/>
      <sheetName val="Cenvat_Awailment-ST6"/>
      <sheetName val="ST_Cenvat_June-086"/>
      <sheetName val="ST_Cenvat_May'08_6"/>
      <sheetName val="10-city_points3"/>
      <sheetName val="Factor_-local7"/>
      <sheetName val="Factor-_cables7"/>
      <sheetName val="Factor_-Imports_(FCA_Prices)7"/>
      <sheetName val="Acc-2E1_7"/>
      <sheetName val="Optional_Accessories7"/>
      <sheetName val="Acc-1E1+eth_7"/>
      <sheetName val="optimised_config-acc7"/>
      <sheetName val="optimised_config7"/>
      <sheetName val="optimised_confi_EMS7"/>
      <sheetName val="interface_Cards7"/>
      <sheetName val="Summary_Jun-087"/>
      <sheetName val="Excise_Cen_Awailment-Jun-087"/>
      <sheetName val="Cenvat_Awailment-ST7"/>
      <sheetName val="ST_Cenvat_June-087"/>
      <sheetName val="ST_Cenvat_May'08_7"/>
      <sheetName val="10-city_points4"/>
      <sheetName val="Factor_-local8"/>
      <sheetName val="Factor-_cables8"/>
      <sheetName val="Factor_-Imports_(FCA_Prices)8"/>
      <sheetName val="Acc-2E1_8"/>
      <sheetName val="Optional_Accessories8"/>
      <sheetName val="Acc-1E1+eth_8"/>
      <sheetName val="optimised_config-acc8"/>
      <sheetName val="optimised_config8"/>
      <sheetName val="optimised_confi_EMS8"/>
      <sheetName val="interface_Cards8"/>
      <sheetName val="Summary_Jun-088"/>
      <sheetName val="Excise_Cen_Awailment-Jun-088"/>
      <sheetName val="Cenvat_Awailment-ST8"/>
      <sheetName val="ST_Cenvat_June-088"/>
      <sheetName val="ST_Cenvat_May'08_8"/>
      <sheetName val="10-city_points5"/>
      <sheetName val="Main_Cover"/>
      <sheetName val="Factor_-local9"/>
      <sheetName val="Factor-_cables9"/>
      <sheetName val="Factor_-Imports_(FCA_Prices)9"/>
      <sheetName val="Acc-2E1_9"/>
      <sheetName val="Optional_Accessories9"/>
      <sheetName val="Acc-1E1+eth_9"/>
      <sheetName val="optimised_config-acc9"/>
      <sheetName val="optimised_config9"/>
      <sheetName val="optimised_confi_EMS9"/>
      <sheetName val="interface_Cards9"/>
      <sheetName val="Summary_Jun-089"/>
      <sheetName val="Excise_Cen_Awailment-Jun-089"/>
      <sheetName val="Cenvat_Awailment-ST9"/>
      <sheetName val="ST_Cenvat_June-089"/>
      <sheetName val="ST_Cenvat_May'08_9"/>
      <sheetName val="10-city_points6"/>
      <sheetName val="Factor_-local10"/>
      <sheetName val="Factor-_cables10"/>
      <sheetName val="Factor_-Imports_(FCA_Prices)10"/>
      <sheetName val="Acc-2E1_10"/>
      <sheetName val="Optional_Accessories10"/>
      <sheetName val="Acc-1E1+eth_10"/>
      <sheetName val="optimised_config-acc10"/>
      <sheetName val="optimised_config10"/>
      <sheetName val="optimised_confi_EMS10"/>
      <sheetName val="interface_Cards10"/>
      <sheetName val="Summary_Jun-0810"/>
      <sheetName val="Excise_Cen_Awailment-Jun-0810"/>
      <sheetName val="Cenvat_Awailment-ST10"/>
      <sheetName val="ST_Cenvat_June-0810"/>
      <sheetName val="ST_Cenvat_May'08_10"/>
      <sheetName val="10-city_points7"/>
      <sheetName val="Factor_-local11"/>
      <sheetName val="Factor-_cables11"/>
      <sheetName val="Factor_-Imports_(FCA_Prices)11"/>
      <sheetName val="Acc-2E1_11"/>
      <sheetName val="Optional_Accessories11"/>
      <sheetName val="Acc-1E1+eth_11"/>
      <sheetName val="optimised_config-acc11"/>
      <sheetName val="optimised_config11"/>
      <sheetName val="optimised_confi_EMS11"/>
      <sheetName val="interface_Cards11"/>
      <sheetName val="Summary_Jun-0811"/>
      <sheetName val="Excise_Cen_Awailment-Jun-0811"/>
      <sheetName val="Cenvat_Awailment-ST11"/>
      <sheetName val="ST_Cenvat_June-0811"/>
      <sheetName val="ST_Cenvat_May'08_11"/>
      <sheetName val="10-city_points8"/>
      <sheetName val="Main_Cover1"/>
      <sheetName val="GA"/>
      <sheetName val="Offer_09.01"/>
      <sheetName val="Factor_-local12"/>
      <sheetName val="Factor-_cables12"/>
      <sheetName val="Factor_-Imports_(FCA_Prices)12"/>
      <sheetName val="Acc-2E1_12"/>
      <sheetName val="Optional_Accessories12"/>
      <sheetName val="Acc-1E1+eth_12"/>
      <sheetName val="optimised_config-acc12"/>
      <sheetName val="optimised_config12"/>
      <sheetName val="optimised_confi_EMS12"/>
      <sheetName val="interface_Cards12"/>
      <sheetName val="Summary_Jun-0812"/>
      <sheetName val="Excise_Cen_Awailment-Jun-0812"/>
      <sheetName val="Cenvat_Awailment-ST12"/>
      <sheetName val="ST_Cenvat_June-0812"/>
      <sheetName val="ST_Cenvat_May'08_12"/>
      <sheetName val="10-city_points9"/>
      <sheetName val="Main_Cover2"/>
      <sheetName val="CashFlow"/>
      <sheetName val="presentation"/>
      <sheetName val="Summary of Closing Stock"/>
      <sheetName val="2004CJ"/>
      <sheetName val="Assumption"/>
      <sheetName val="NMDC_Porf"/>
      <sheetName val="1-OBJ98_"/>
      <sheetName val="Inputs_"/>
      <sheetName val="Attachment_3B"/>
      <sheetName val="Alok"/>
      <sheetName val="Amol"/>
      <sheetName val="Anand"/>
      <sheetName val="Anindya "/>
      <sheetName val="Chetan"/>
      <sheetName val="Chitnis"/>
      <sheetName val="Deepak"/>
      <sheetName val="R. Devarajan"/>
      <sheetName val="Girish"/>
      <sheetName val="Harry"/>
      <sheetName val="Jeetu"/>
      <sheetName val="Kuldeepak"/>
      <sheetName val="Mahesh "/>
      <sheetName val="Mandar"/>
      <sheetName val="Manoj"/>
      <sheetName val="Milind Acharya"/>
      <sheetName val="Milind Pande"/>
      <sheetName val="MLMahindra"/>
      <sheetName val="Mohan"/>
      <sheetName val="Navjit"/>
      <sheetName val="Nozer"/>
      <sheetName val="Ram Pattabhi"/>
      <sheetName val="Prabhanjan"/>
      <sheetName val="Revati"/>
      <sheetName val="R Chatterjee"/>
      <sheetName val="Roy"/>
      <sheetName val="Sagar"/>
      <sheetName val="salaj"/>
      <sheetName val="Sameer"/>
      <sheetName val="Sandeep C"/>
      <sheetName val="Sandeep Tulshyan"/>
      <sheetName val="Sanjay"/>
      <sheetName val="Santosh"/>
      <sheetName val="Shardul"/>
      <sheetName val="Shivkumar"/>
      <sheetName val="Subir "/>
      <sheetName val="Suman"/>
      <sheetName val="Swami"/>
      <sheetName val="Vighnesh"/>
      <sheetName val="Vishal"/>
      <sheetName val="Assumptions"/>
      <sheetName val="Main"/>
      <sheetName val="Data"/>
      <sheetName val="BS SCH"/>
      <sheetName val="DATA ENTRY"/>
      <sheetName val="Sheet1"/>
      <sheetName val="Geography Heirarchy"/>
      <sheetName val="FXRATES"/>
      <sheetName val="G&amp;A Exp Accnt"/>
      <sheetName val="beam-reinft-IIInd floor"/>
      <sheetName val="SOLUT007"/>
    </sheetNames>
    <sheetDataSet>
      <sheetData sheetId="0"/>
      <sheetData sheetId="1"/>
      <sheetData sheetId="2"/>
      <sheetData sheetId="3" refreshError="1">
        <row r="23">
          <cell r="B23">
            <v>0.85</v>
          </cell>
        </row>
        <row r="24">
          <cell r="B24">
            <v>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ow r="24">
          <cell r="B24">
            <v>0.9</v>
          </cell>
        </row>
      </sheetData>
      <sheetData sheetId="38">
        <row r="24">
          <cell r="B24">
            <v>0.9</v>
          </cell>
        </row>
      </sheetData>
      <sheetData sheetId="39">
        <row r="24">
          <cell r="B24">
            <v>0.9</v>
          </cell>
        </row>
      </sheetData>
      <sheetData sheetId="40">
        <row r="24">
          <cell r="B24">
            <v>0.9</v>
          </cell>
        </row>
      </sheetData>
      <sheetData sheetId="41"/>
      <sheetData sheetId="42">
        <row r="24">
          <cell r="B24">
            <v>0.9</v>
          </cell>
        </row>
      </sheetData>
      <sheetData sheetId="43">
        <row r="24">
          <cell r="B24">
            <v>0.9</v>
          </cell>
        </row>
      </sheetData>
      <sheetData sheetId="44"/>
      <sheetData sheetId="45"/>
      <sheetData sheetId="46"/>
      <sheetData sheetId="47"/>
      <sheetData sheetId="48">
        <row r="24">
          <cell r="B24">
            <v>0.9</v>
          </cell>
        </row>
      </sheetData>
      <sheetData sheetId="49">
        <row r="24">
          <cell r="B24">
            <v>0.9</v>
          </cell>
        </row>
      </sheetData>
      <sheetData sheetId="50">
        <row r="24">
          <cell r="B24">
            <v>0.9</v>
          </cell>
        </row>
      </sheetData>
      <sheetData sheetId="51"/>
      <sheetData sheetId="52">
        <row r="24">
          <cell r="B24">
            <v>0.9</v>
          </cell>
        </row>
      </sheetData>
      <sheetData sheetId="53">
        <row r="24">
          <cell r="B24">
            <v>0.9</v>
          </cell>
        </row>
      </sheetData>
      <sheetData sheetId="54">
        <row r="24">
          <cell r="B24">
            <v>0.9</v>
          </cell>
        </row>
      </sheetData>
      <sheetData sheetId="55">
        <row r="24">
          <cell r="B24">
            <v>0.9</v>
          </cell>
        </row>
      </sheetData>
      <sheetData sheetId="56">
        <row r="24">
          <cell r="B24">
            <v>0.9</v>
          </cell>
        </row>
      </sheetData>
      <sheetData sheetId="57">
        <row r="24">
          <cell r="B24">
            <v>0.9</v>
          </cell>
        </row>
      </sheetData>
      <sheetData sheetId="58">
        <row r="24">
          <cell r="B24">
            <v>0.9</v>
          </cell>
        </row>
      </sheetData>
      <sheetData sheetId="59">
        <row r="24">
          <cell r="B24">
            <v>0.9</v>
          </cell>
        </row>
      </sheetData>
      <sheetData sheetId="60">
        <row r="24">
          <cell r="B24">
            <v>0.9</v>
          </cell>
        </row>
      </sheetData>
      <sheetData sheetId="61">
        <row r="24">
          <cell r="B24">
            <v>0.9</v>
          </cell>
        </row>
      </sheetData>
      <sheetData sheetId="62">
        <row r="24">
          <cell r="B24">
            <v>0.9</v>
          </cell>
        </row>
      </sheetData>
      <sheetData sheetId="63">
        <row r="24">
          <cell r="B24">
            <v>0.9</v>
          </cell>
        </row>
      </sheetData>
      <sheetData sheetId="64">
        <row r="24">
          <cell r="B24">
            <v>0.9</v>
          </cell>
        </row>
      </sheetData>
      <sheetData sheetId="65">
        <row r="24">
          <cell r="B24">
            <v>0.9</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24">
          <cell r="B24">
            <v>0.9</v>
          </cell>
        </row>
      </sheetData>
      <sheetData sheetId="90">
        <row r="24">
          <cell r="B24">
            <v>0.9</v>
          </cell>
        </row>
      </sheetData>
      <sheetData sheetId="91">
        <row r="24">
          <cell r="B24">
            <v>0.9</v>
          </cell>
        </row>
      </sheetData>
      <sheetData sheetId="92">
        <row r="24">
          <cell r="B24">
            <v>0.9</v>
          </cell>
        </row>
      </sheetData>
      <sheetData sheetId="93">
        <row r="24">
          <cell r="B24">
            <v>0.9</v>
          </cell>
        </row>
      </sheetData>
      <sheetData sheetId="94">
        <row r="24">
          <cell r="B24">
            <v>0.9</v>
          </cell>
        </row>
      </sheetData>
      <sheetData sheetId="95">
        <row r="24">
          <cell r="B24">
            <v>0.9</v>
          </cell>
        </row>
      </sheetData>
      <sheetData sheetId="96">
        <row r="24">
          <cell r="B24">
            <v>0.9</v>
          </cell>
        </row>
      </sheetData>
      <sheetData sheetId="97">
        <row r="24">
          <cell r="B24">
            <v>0.9</v>
          </cell>
        </row>
      </sheetData>
      <sheetData sheetId="98">
        <row r="24">
          <cell r="B24">
            <v>0.9</v>
          </cell>
        </row>
      </sheetData>
      <sheetData sheetId="99" refreshError="1"/>
      <sheetData sheetId="100">
        <row r="24">
          <cell r="B24">
            <v>0.9</v>
          </cell>
        </row>
      </sheetData>
      <sheetData sheetId="101">
        <row r="24">
          <cell r="B24">
            <v>0.9</v>
          </cell>
        </row>
      </sheetData>
      <sheetData sheetId="102">
        <row r="24">
          <cell r="B24">
            <v>0.9</v>
          </cell>
        </row>
      </sheetData>
      <sheetData sheetId="103">
        <row r="24">
          <cell r="B24">
            <v>0.9</v>
          </cell>
        </row>
      </sheetData>
      <sheetData sheetId="104">
        <row r="24">
          <cell r="B24">
            <v>0.9</v>
          </cell>
        </row>
      </sheetData>
      <sheetData sheetId="105">
        <row r="24">
          <cell r="B24">
            <v>0.9</v>
          </cell>
        </row>
      </sheetData>
      <sheetData sheetId="106">
        <row r="24">
          <cell r="B24">
            <v>0.9</v>
          </cell>
        </row>
      </sheetData>
      <sheetData sheetId="107"/>
      <sheetData sheetId="108"/>
      <sheetData sheetId="109"/>
      <sheetData sheetId="110">
        <row r="24">
          <cell r="B24">
            <v>0.9</v>
          </cell>
        </row>
      </sheetData>
      <sheetData sheetId="111">
        <row r="24">
          <cell r="B24">
            <v>0.9</v>
          </cell>
        </row>
      </sheetData>
      <sheetData sheetId="112">
        <row r="24">
          <cell r="B24">
            <v>0.9</v>
          </cell>
        </row>
      </sheetData>
      <sheetData sheetId="113">
        <row r="24">
          <cell r="B24">
            <v>0.9</v>
          </cell>
        </row>
      </sheetData>
      <sheetData sheetId="114">
        <row r="24">
          <cell r="B24">
            <v>0.9</v>
          </cell>
        </row>
      </sheetData>
      <sheetData sheetId="115">
        <row r="24">
          <cell r="B24">
            <v>0.9</v>
          </cell>
        </row>
      </sheetData>
      <sheetData sheetId="116">
        <row r="24">
          <cell r="B24">
            <v>0.9</v>
          </cell>
        </row>
      </sheetData>
      <sheetData sheetId="117">
        <row r="24">
          <cell r="B24">
            <v>0.9</v>
          </cell>
        </row>
      </sheetData>
      <sheetData sheetId="118">
        <row r="24">
          <cell r="B24">
            <v>0.9</v>
          </cell>
        </row>
      </sheetData>
      <sheetData sheetId="119">
        <row r="24">
          <cell r="B24">
            <v>0.9</v>
          </cell>
        </row>
      </sheetData>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ow r="23">
          <cell r="B23">
            <v>0.85</v>
          </cell>
        </row>
      </sheetData>
      <sheetData sheetId="165">
        <row r="23">
          <cell r="B23">
            <v>0.85</v>
          </cell>
        </row>
      </sheetData>
      <sheetData sheetId="166"/>
      <sheetData sheetId="167">
        <row r="23">
          <cell r="B23">
            <v>0.85</v>
          </cell>
        </row>
      </sheetData>
      <sheetData sheetId="168">
        <row r="23">
          <cell r="B23">
            <v>0.85</v>
          </cell>
        </row>
      </sheetData>
      <sheetData sheetId="169">
        <row r="23">
          <cell r="B23">
            <v>0.85</v>
          </cell>
        </row>
      </sheetData>
      <sheetData sheetId="170">
        <row r="23">
          <cell r="B23">
            <v>0.85</v>
          </cell>
        </row>
      </sheetData>
      <sheetData sheetId="171">
        <row r="23">
          <cell r="B23">
            <v>0.85</v>
          </cell>
        </row>
      </sheetData>
      <sheetData sheetId="172">
        <row r="23">
          <cell r="B23">
            <v>0.85</v>
          </cell>
        </row>
      </sheetData>
      <sheetData sheetId="173">
        <row r="23">
          <cell r="B23">
            <v>0.85</v>
          </cell>
        </row>
      </sheetData>
      <sheetData sheetId="174">
        <row r="23">
          <cell r="B23">
            <v>0.85</v>
          </cell>
        </row>
      </sheetData>
      <sheetData sheetId="175">
        <row r="23">
          <cell r="B23">
            <v>0.85</v>
          </cell>
        </row>
      </sheetData>
      <sheetData sheetId="176">
        <row r="23">
          <cell r="B23">
            <v>0.85</v>
          </cell>
        </row>
      </sheetData>
      <sheetData sheetId="177">
        <row r="23">
          <cell r="B23">
            <v>0.85</v>
          </cell>
        </row>
      </sheetData>
      <sheetData sheetId="178">
        <row r="23">
          <cell r="B23">
            <v>0.85</v>
          </cell>
        </row>
      </sheetData>
      <sheetData sheetId="179">
        <row r="23">
          <cell r="B23">
            <v>0.85</v>
          </cell>
        </row>
      </sheetData>
      <sheetData sheetId="180">
        <row r="23">
          <cell r="B23">
            <v>0.85</v>
          </cell>
        </row>
      </sheetData>
      <sheetData sheetId="181">
        <row r="23">
          <cell r="B23">
            <v>0.85</v>
          </cell>
        </row>
      </sheetData>
      <sheetData sheetId="182">
        <row r="23">
          <cell r="B23">
            <v>0.85</v>
          </cell>
        </row>
      </sheetData>
      <sheetData sheetId="183">
        <row r="23">
          <cell r="B23">
            <v>0.85</v>
          </cell>
        </row>
      </sheetData>
      <sheetData sheetId="184">
        <row r="23">
          <cell r="B23">
            <v>0.85</v>
          </cell>
        </row>
      </sheetData>
      <sheetData sheetId="185">
        <row r="23">
          <cell r="B23">
            <v>0.85</v>
          </cell>
        </row>
      </sheetData>
      <sheetData sheetId="186">
        <row r="23">
          <cell r="B23">
            <v>0.85</v>
          </cell>
        </row>
      </sheetData>
      <sheetData sheetId="187">
        <row r="23">
          <cell r="B23">
            <v>0.85</v>
          </cell>
        </row>
      </sheetData>
      <sheetData sheetId="188">
        <row r="23">
          <cell r="B23">
            <v>0.85</v>
          </cell>
        </row>
      </sheetData>
      <sheetData sheetId="189">
        <row r="23">
          <cell r="B23">
            <v>0.85</v>
          </cell>
        </row>
      </sheetData>
      <sheetData sheetId="190">
        <row r="23">
          <cell r="B23">
            <v>0.85</v>
          </cell>
        </row>
      </sheetData>
      <sheetData sheetId="191">
        <row r="24">
          <cell r="B24" t="str">
            <v>DN007/EXODUS/08-09</v>
          </cell>
        </row>
      </sheetData>
      <sheetData sheetId="192">
        <row r="24">
          <cell r="B24" t="str">
            <v>DN007/EXODUS/08-09</v>
          </cell>
        </row>
      </sheetData>
      <sheetData sheetId="193">
        <row r="24">
          <cell r="B24" t="str">
            <v>DN007/EXODUS/08-09</v>
          </cell>
        </row>
      </sheetData>
      <sheetData sheetId="194">
        <row r="24">
          <cell r="B24" t="str">
            <v>DN007/EXODUS/08-09</v>
          </cell>
        </row>
      </sheetData>
      <sheetData sheetId="195">
        <row r="24">
          <cell r="B24" t="str">
            <v>DN007/EXODUS/08-09</v>
          </cell>
        </row>
      </sheetData>
      <sheetData sheetId="196">
        <row r="24">
          <cell r="B24" t="str">
            <v>DN007/EXODUS/08-09</v>
          </cell>
        </row>
      </sheetData>
      <sheetData sheetId="197">
        <row r="24">
          <cell r="B24" t="str">
            <v>DN007/EXODUS/08-09</v>
          </cell>
        </row>
      </sheetData>
      <sheetData sheetId="198">
        <row r="24">
          <cell r="B24" t="str">
            <v>DN007/EXODUS/08-09</v>
          </cell>
        </row>
      </sheetData>
      <sheetData sheetId="199">
        <row r="24">
          <cell r="B24" t="str">
            <v>DN007/EXODUS/08-09</v>
          </cell>
        </row>
      </sheetData>
      <sheetData sheetId="200">
        <row r="24">
          <cell r="B24" t="str">
            <v>DN007/EXODUS/08-09</v>
          </cell>
        </row>
      </sheetData>
      <sheetData sheetId="201">
        <row r="24">
          <cell r="B24" t="str">
            <v>DN007/EXODUS/08-09</v>
          </cell>
        </row>
      </sheetData>
      <sheetData sheetId="202">
        <row r="24">
          <cell r="B24" t="str">
            <v>DN007/EXODUS/08-09</v>
          </cell>
        </row>
      </sheetData>
      <sheetData sheetId="203">
        <row r="24">
          <cell r="B24" t="str">
            <v>DN007/EXODUS/08-09</v>
          </cell>
        </row>
      </sheetData>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ow r="24">
          <cell r="B24" t="str">
            <v>DN007/EXODUS/08-09</v>
          </cell>
        </row>
      </sheetData>
      <sheetData sheetId="220"/>
      <sheetData sheetId="221">
        <row r="24">
          <cell r="B24" t="str">
            <v>DN007/EXODUS/08-09</v>
          </cell>
        </row>
      </sheetData>
      <sheetData sheetId="222">
        <row r="24">
          <cell r="B24" t="str">
            <v>DN007/EXODUS/08-09</v>
          </cell>
        </row>
      </sheetData>
      <sheetData sheetId="223">
        <row r="24">
          <cell r="B24" t="str">
            <v>DN007/EXODUS/08-09</v>
          </cell>
        </row>
      </sheetData>
      <sheetData sheetId="224">
        <row r="24">
          <cell r="B24" t="str">
            <v>DN007/EXODUS/08-09</v>
          </cell>
        </row>
      </sheetData>
      <sheetData sheetId="225"/>
      <sheetData sheetId="226">
        <row r="24">
          <cell r="B24" t="str">
            <v>DN007/EXODUS/08-09</v>
          </cell>
        </row>
      </sheetData>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国内"/>
      <sheetName val="国内work"/>
      <sheetName val="為替"/>
      <sheetName val="EQ海外"/>
      <sheetName val="海外WORK"/>
      <sheetName val="INVESTSMART"/>
      <sheetName val="Stockton"/>
      <sheetName val="BL売却"/>
      <sheetName val="ニチメン売却 "/>
      <sheetName val="AFFI内訳"/>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amp; pl "/>
      <sheetName val="fas"/>
      <sheetName val="abstract"/>
      <sheetName val="Sheet2"/>
      <sheetName val="trial (2)"/>
      <sheetName val="trial"/>
      <sheetName val="Other_calc"/>
      <sheetName val="DSM checkbook"/>
      <sheetName val="Cash"/>
      <sheetName val="Sales Inv"/>
    </sheetNames>
    <sheetDataSet>
      <sheetData sheetId="0"/>
      <sheetData sheetId="1"/>
      <sheetData sheetId="2"/>
      <sheetData sheetId="3"/>
      <sheetData sheetId="4">
        <row r="173">
          <cell r="B173" t="str">
            <v>Accumulated Dep - Building improvement</v>
          </cell>
          <cell r="C173">
            <v>1048810</v>
          </cell>
        </row>
        <row r="174">
          <cell r="B174" t="str">
            <v>Accumulated Dep - Computer Equip</v>
          </cell>
          <cell r="C174">
            <v>1219966</v>
          </cell>
        </row>
        <row r="175">
          <cell r="B175" t="str">
            <v>Accumulated Dep - F&amp;F</v>
          </cell>
          <cell r="C175">
            <v>140765</v>
          </cell>
        </row>
        <row r="176">
          <cell r="B176" t="str">
            <v>Accumulated Dep - Office Equip</v>
          </cell>
          <cell r="C176">
            <v>224270</v>
          </cell>
        </row>
        <row r="177">
          <cell r="B177" t="str">
            <v>Advance billings</v>
          </cell>
          <cell r="C177">
            <v>0</v>
          </cell>
        </row>
        <row r="178">
          <cell r="B178" t="str">
            <v>Advances recoverable in cash / kind</v>
          </cell>
          <cell r="C178">
            <v>14855</v>
          </cell>
        </row>
        <row r="179">
          <cell r="B179" t="str">
            <v>Building Improvments</v>
          </cell>
          <cell r="C179">
            <v>9997977</v>
          </cell>
        </row>
        <row r="180">
          <cell r="B180" t="str">
            <v>cancelled</v>
          </cell>
          <cell r="C180">
            <v>0</v>
          </cell>
        </row>
        <row r="181">
          <cell r="B181" t="str">
            <v>Capital Work In Progress</v>
          </cell>
          <cell r="C181">
            <v>502927</v>
          </cell>
        </row>
        <row r="182">
          <cell r="B182" t="str">
            <v>Cash-In-Hand</v>
          </cell>
          <cell r="C182">
            <v>5060</v>
          </cell>
        </row>
        <row r="183">
          <cell r="B183" t="str">
            <v>Cheques/Dds' On Hand</v>
          </cell>
          <cell r="C183">
            <v>590451</v>
          </cell>
        </row>
        <row r="184">
          <cell r="B184" t="str">
            <v>Computer Equipt</v>
          </cell>
          <cell r="C184">
            <v>45942883</v>
          </cell>
        </row>
        <row r="185">
          <cell r="B185" t="str">
            <v>Consultants fees</v>
          </cell>
          <cell r="C185">
            <v>1235329</v>
          </cell>
        </row>
        <row r="186">
          <cell r="B186" t="str">
            <v>Contribution to Provident and other funds</v>
          </cell>
          <cell r="C186">
            <v>425513</v>
          </cell>
        </row>
        <row r="187">
          <cell r="B187" t="str">
            <v>Current Account - Bank</v>
          </cell>
          <cell r="C187">
            <v>42070055</v>
          </cell>
        </row>
        <row r="188">
          <cell r="B188" t="str">
            <v>Deferred Income</v>
          </cell>
          <cell r="C188">
            <v>0</v>
          </cell>
        </row>
        <row r="189">
          <cell r="B189" t="str">
            <v xml:space="preserve">Deposits </v>
          </cell>
          <cell r="C189">
            <v>11088927</v>
          </cell>
        </row>
        <row r="190">
          <cell r="B190" t="str">
            <v>Depreciation - Building Improv</v>
          </cell>
          <cell r="C190">
            <v>1048810</v>
          </cell>
        </row>
        <row r="191">
          <cell r="B191" t="str">
            <v>Depreciation - Computer Equipment</v>
          </cell>
          <cell r="C191">
            <v>1219966</v>
          </cell>
        </row>
        <row r="192">
          <cell r="B192" t="str">
            <v>Depreciation - Furniture &amp; Fit</v>
          </cell>
          <cell r="C192">
            <v>140765</v>
          </cell>
        </row>
        <row r="193">
          <cell r="B193" t="str">
            <v>Depreciation - Office Equipment</v>
          </cell>
          <cell r="C193">
            <v>224270</v>
          </cell>
        </row>
        <row r="194">
          <cell r="B194" t="str">
            <v>Electricty</v>
          </cell>
          <cell r="C194">
            <v>179567</v>
          </cell>
        </row>
        <row r="195">
          <cell r="B195" t="str">
            <v>Employee advances</v>
          </cell>
          <cell r="C195">
            <v>731383</v>
          </cell>
        </row>
        <row r="196">
          <cell r="B196" t="str">
            <v>Fixed deposit - Bank</v>
          </cell>
          <cell r="C196">
            <v>2138803</v>
          </cell>
        </row>
        <row r="197">
          <cell r="B197" t="str">
            <v>Forex Loss</v>
          </cell>
          <cell r="C197">
            <v>30935</v>
          </cell>
        </row>
        <row r="198">
          <cell r="B198" t="str">
            <v>Furniture &amp; Fittings</v>
          </cell>
          <cell r="C198">
            <v>8224246</v>
          </cell>
        </row>
        <row r="199">
          <cell r="B199" t="str">
            <v>Insurance</v>
          </cell>
          <cell r="C199">
            <v>3992</v>
          </cell>
        </row>
        <row r="200">
          <cell r="B200" t="str">
            <v>Interest accrued on term deposit</v>
          </cell>
          <cell r="C200">
            <v>33865</v>
          </cell>
        </row>
        <row r="201">
          <cell r="B201" t="str">
            <v>Interest On Taxes</v>
          </cell>
          <cell r="C201">
            <v>0</v>
          </cell>
        </row>
        <row r="202">
          <cell r="B202" t="str">
            <v>Misc. exp</v>
          </cell>
          <cell r="C202">
            <v>683749</v>
          </cell>
        </row>
        <row r="203">
          <cell r="B203" t="str">
            <v>Office Equipment</v>
          </cell>
          <cell r="C203">
            <v>10507199</v>
          </cell>
        </row>
        <row r="204">
          <cell r="B204" t="str">
            <v>Other incomes</v>
          </cell>
          <cell r="C204">
            <v>83740</v>
          </cell>
        </row>
        <row r="205">
          <cell r="B205" t="str">
            <v>Other Liabilities</v>
          </cell>
          <cell r="C205">
            <v>6378575</v>
          </cell>
        </row>
        <row r="206">
          <cell r="B206" t="str">
            <v>Pre Operative Exps. W/O.</v>
          </cell>
          <cell r="C206">
            <v>0</v>
          </cell>
        </row>
        <row r="207">
          <cell r="B207" t="str">
            <v>Preliminary Expenses</v>
          </cell>
          <cell r="C207">
            <v>98102</v>
          </cell>
        </row>
        <row r="208">
          <cell r="B208" t="str">
            <v>Preliminary Expenses W/O.</v>
          </cell>
          <cell r="C208">
            <v>98103</v>
          </cell>
        </row>
        <row r="209">
          <cell r="B209" t="str">
            <v>Prepaid expenses</v>
          </cell>
          <cell r="C209">
            <v>2333716</v>
          </cell>
        </row>
        <row r="210">
          <cell r="B210" t="str">
            <v>Provision for gratuity</v>
          </cell>
          <cell r="C210">
            <v>7000</v>
          </cell>
        </row>
        <row r="211">
          <cell r="B211" t="str">
            <v>Provision for tax (net)</v>
          </cell>
          <cell r="C211">
            <v>24710</v>
          </cell>
        </row>
        <row r="212">
          <cell r="B212" t="str">
            <v>Rates and taxes</v>
          </cell>
          <cell r="C212">
            <v>703480</v>
          </cell>
        </row>
        <row r="213">
          <cell r="B213" t="str">
            <v>Recruitment Related Expenses</v>
          </cell>
          <cell r="C213">
            <v>4558629</v>
          </cell>
        </row>
        <row r="214">
          <cell r="B214" t="str">
            <v>Rent - Leaseholds</v>
          </cell>
          <cell r="C214">
            <v>2085326</v>
          </cell>
        </row>
        <row r="215">
          <cell r="B215" t="str">
            <v>Rent A/C</v>
          </cell>
          <cell r="C215">
            <v>683674</v>
          </cell>
        </row>
        <row r="216">
          <cell r="B216" t="str">
            <v>Repairs &amp; Maintenance - Leaseholds</v>
          </cell>
          <cell r="C216">
            <v>1324694</v>
          </cell>
        </row>
        <row r="217">
          <cell r="B217" t="str">
            <v>Salaries Bonus etc2</v>
          </cell>
          <cell r="C217">
            <v>8366144</v>
          </cell>
        </row>
        <row r="218">
          <cell r="B218" t="str">
            <v>Service Income</v>
          </cell>
          <cell r="C218">
            <v>30438323</v>
          </cell>
        </row>
        <row r="219">
          <cell r="B219" t="str">
            <v>Share Application Money Pending Allotment</v>
          </cell>
          <cell r="C219">
            <v>120693000</v>
          </cell>
        </row>
        <row r="220">
          <cell r="B220" t="str">
            <v>Share Capital</v>
          </cell>
          <cell r="C220">
            <v>3038000</v>
          </cell>
        </row>
        <row r="221">
          <cell r="B221" t="str">
            <v>Software</v>
          </cell>
          <cell r="C221">
            <v>314307</v>
          </cell>
        </row>
        <row r="222">
          <cell r="B222" t="str">
            <v>Staff Welfare</v>
          </cell>
          <cell r="C222">
            <v>145460</v>
          </cell>
        </row>
        <row r="223">
          <cell r="B223" t="str">
            <v>Sundry Creditors</v>
          </cell>
          <cell r="C223">
            <v>6105814</v>
          </cell>
        </row>
        <row r="224">
          <cell r="B224" t="str">
            <v>Sundry Debtors</v>
          </cell>
          <cell r="C224">
            <v>7286504</v>
          </cell>
        </row>
        <row r="225">
          <cell r="B225" t="str">
            <v>Taxation</v>
          </cell>
          <cell r="C225">
            <v>35781</v>
          </cell>
        </row>
        <row r="226">
          <cell r="B226" t="str">
            <v>Telecommunication Exp</v>
          </cell>
          <cell r="C226">
            <v>1740306</v>
          </cell>
        </row>
        <row r="227">
          <cell r="B227" t="str">
            <v>Travelling and conveyance</v>
          </cell>
          <cell r="C227">
            <v>2587222</v>
          </cell>
        </row>
        <row r="228">
          <cell r="B228" t="str">
            <v>Grand Total</v>
          </cell>
          <cell r="C228">
            <v>338805948</v>
          </cell>
        </row>
      </sheetData>
      <sheetData sheetId="5"/>
      <sheetData sheetId="6"/>
      <sheetData sheetId="7" refreshError="1"/>
      <sheetData sheetId="8" refreshError="1"/>
      <sheetData sheetId="9"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000"/>
      <sheetName val="B&amp;S"/>
      <sheetName val="P&amp;L"/>
      <sheetName val="SCH1-3"/>
      <sheetName val="SCH4"/>
      <sheetName val="SCH5"/>
      <sheetName val="SCH6-8"/>
      <sheetName val="SCH9-11"/>
      <sheetName val="SCH12-13"/>
      <sheetName val="SCH14-15"/>
      <sheetName val="TB"/>
      <sheetName val="ADJ"/>
      <sheetName val="consol"/>
      <sheetName val="I_GRP"/>
      <sheetName val="R_GRP"/>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業種大分類"/>
      <sheetName val="業種小分類"/>
      <sheetName val="全体"/>
      <sheetName val="その他"/>
    </sheetNames>
    <sheetDataSet>
      <sheetData sheetId="0" refreshError="1"/>
      <sheetData sheetId="1" refreshError="1"/>
      <sheetData sheetId="2" refreshError="1"/>
      <sheetData sheetId="3" refreshError="1"/>
      <sheetData sheetId="4"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HRA"/>
      <sheetName val="Sheet1"/>
      <sheetName val="Grade-Age-22-01-02(FINAL)"/>
      <sheetName val="Grade-AVR-MIN-MAX-2002"/>
      <sheetName val="Dept-Grade-22-02-02(FINAL)"/>
      <sheetName val="Dept-Grade-26-04-02"/>
      <sheetName val="CC-APR02-17-04-2002"/>
      <sheetName val="Dept-Grade-17-05-02-ONE-LINE"/>
      <sheetName val="Dept-Grade-31-07-02-ONE-LINE"/>
      <sheetName val="Dept-Grade-31-08-02-ONE-LINE"/>
      <sheetName val="ONE-LINE-Head-Off-31-05-02"/>
      <sheetName val="CEs-2001-2002"/>
      <sheetName val="CEs-2002"/>
      <sheetName val="MOG-01-06-02"/>
      <sheetName val="one-line-Dept-Grade-22-01-02"/>
      <sheetName val="one-line-TO-R-NAIR"/>
      <sheetName val="Dept-Grade-15-01-02(FINAL)-ILPS"/>
      <sheetName val="LETTER-15-01-02(FINAL)"/>
      <sheetName val="FLAT-C-E-L"/>
      <sheetName val="CCA-15-01-02"/>
      <sheetName val="Dept-ME-15-01-02"/>
      <sheetName val="Dept-M-15-01-02"/>
      <sheetName val="Dept-MOG-22-01-02"/>
      <sheetName val="Dept-MR-22-01-02"/>
      <sheetName val="MA-GR-A1-A6"/>
      <sheetName val="Grade-AGRO-ZONE-II"/>
      <sheetName val="DADRA"/>
      <sheetName val="Dept-MA"/>
      <sheetName val="AGE&gt;45YRS-MEDICAL"/>
      <sheetName val="age&lt;45-Gr25&amp;ab"/>
      <sheetName val="SAL-PERKS"/>
      <sheetName val="31-05-02-(LOC-SUMMARY)"/>
      <sheetName val="30-06-02-(LOC-SUMMARY)"/>
      <sheetName val="31-07-02-(LOC-SUMMARY)"/>
      <sheetName val="30-09-02-(LOC-SUMMARY)"/>
      <sheetName val="31-05-loc-factory"/>
      <sheetName val="Company-Car"/>
      <sheetName val="Car Reimbursment"/>
      <sheetName val="Dept-Grade-15-07-02-ONE-LINE"/>
      <sheetName val="Dept-Grade-22-01-02(FINAL)"/>
      <sheetName val="one-line-Dept-Grade-22-01-0 (2)"/>
      <sheetName val="INTER-CO-COMPARISON"/>
      <sheetName val="Dept-Grade-21-05-02-ONE-LINE"/>
      <sheetName val="22-05-02-(LOC-SUMMARY)"/>
      <sheetName val="Dept-Grade-24-05-02-ONE-LINE"/>
      <sheetName val="Dept-Grade-25-06-02-ONE-LINE"/>
      <sheetName val="Dept-Grade-19-08-02-ONE-LINE"/>
      <sheetName val="OLD_HRA"/>
      <sheetName val="Dept_Grade_22_02_02_FINAL_"/>
    </sheetNames>
    <sheetDataSet>
      <sheetData sheetId="0" refreshError="1">
        <row r="2">
          <cell r="A2">
            <v>1127</v>
          </cell>
          <cell r="B2" t="str">
            <v>GAIKWAD A L</v>
          </cell>
          <cell r="C2">
            <v>3500</v>
          </cell>
        </row>
        <row r="3">
          <cell r="A3">
            <v>1164</v>
          </cell>
          <cell r="B3" t="str">
            <v>FERNANDES M</v>
          </cell>
          <cell r="C3">
            <v>3500</v>
          </cell>
        </row>
        <row r="4">
          <cell r="A4">
            <v>1172</v>
          </cell>
          <cell r="B4" t="str">
            <v>PANCHAL R D</v>
          </cell>
          <cell r="C4">
            <v>3500</v>
          </cell>
        </row>
        <row r="5">
          <cell r="A5">
            <v>1199</v>
          </cell>
          <cell r="B5" t="str">
            <v>D'SOUZA C</v>
          </cell>
          <cell r="C5">
            <v>3500</v>
          </cell>
        </row>
        <row r="6">
          <cell r="A6">
            <v>1223</v>
          </cell>
          <cell r="B6" t="str">
            <v>PALKAR A B</v>
          </cell>
          <cell r="C6">
            <v>3500</v>
          </cell>
        </row>
        <row r="7">
          <cell r="A7">
            <v>1224</v>
          </cell>
          <cell r="B7" t="str">
            <v>HAJIRNIS S C</v>
          </cell>
          <cell r="C7">
            <v>3500</v>
          </cell>
        </row>
        <row r="8">
          <cell r="A8">
            <v>1247</v>
          </cell>
          <cell r="B8" t="str">
            <v>NORONHA O A</v>
          </cell>
          <cell r="C8">
            <v>3500</v>
          </cell>
        </row>
        <row r="9">
          <cell r="A9">
            <v>1269</v>
          </cell>
          <cell r="B9" t="str">
            <v>SIVARAMAKRISHNAN M</v>
          </cell>
          <cell r="C9">
            <v>3500</v>
          </cell>
        </row>
        <row r="10">
          <cell r="A10">
            <v>1283</v>
          </cell>
          <cell r="B10" t="str">
            <v>D'SOUZA J</v>
          </cell>
          <cell r="C10">
            <v>3500</v>
          </cell>
        </row>
        <row r="11">
          <cell r="A11">
            <v>1292</v>
          </cell>
          <cell r="B11" t="str">
            <v>RADHAKRISHNAN P</v>
          </cell>
          <cell r="C11">
            <v>3500</v>
          </cell>
        </row>
        <row r="12">
          <cell r="A12">
            <v>1352</v>
          </cell>
          <cell r="B12" t="str">
            <v>GOPALKRISHNAN M</v>
          </cell>
          <cell r="C12">
            <v>3500</v>
          </cell>
        </row>
        <row r="13">
          <cell r="A13">
            <v>1370</v>
          </cell>
          <cell r="B13" t="str">
            <v>KANDALGAONKAR J G</v>
          </cell>
          <cell r="C13">
            <v>3500</v>
          </cell>
        </row>
        <row r="14">
          <cell r="A14">
            <v>1374</v>
          </cell>
          <cell r="B14" t="str">
            <v>PRABHAKAR K</v>
          </cell>
          <cell r="C14">
            <v>3500</v>
          </cell>
        </row>
        <row r="15">
          <cell r="A15">
            <v>1445</v>
          </cell>
          <cell r="B15" t="str">
            <v>SEQUEIRA V</v>
          </cell>
          <cell r="C15">
            <v>3500</v>
          </cell>
        </row>
        <row r="16">
          <cell r="A16">
            <v>1474</v>
          </cell>
          <cell r="B16" t="str">
            <v>CHAVAN J Y</v>
          </cell>
          <cell r="C16">
            <v>3500</v>
          </cell>
        </row>
        <row r="17">
          <cell r="A17">
            <v>1482</v>
          </cell>
          <cell r="B17" t="str">
            <v>SANSARE S P</v>
          </cell>
          <cell r="C17">
            <v>3500</v>
          </cell>
        </row>
        <row r="18">
          <cell r="A18">
            <v>1521</v>
          </cell>
          <cell r="B18" t="str">
            <v>PILLAI R G</v>
          </cell>
          <cell r="C18">
            <v>3500</v>
          </cell>
        </row>
        <row r="19">
          <cell r="A19">
            <v>1549</v>
          </cell>
          <cell r="B19" t="str">
            <v xml:space="preserve">FERNANDES M                                          </v>
          </cell>
          <cell r="C19">
            <v>3500</v>
          </cell>
        </row>
        <row r="20">
          <cell r="A20">
            <v>1570</v>
          </cell>
          <cell r="B20" t="str">
            <v>MENEZES E M</v>
          </cell>
          <cell r="C20">
            <v>3500</v>
          </cell>
        </row>
        <row r="21">
          <cell r="A21">
            <v>1571</v>
          </cell>
          <cell r="B21" t="str">
            <v>ASOKAN J M</v>
          </cell>
          <cell r="C21">
            <v>3500</v>
          </cell>
        </row>
        <row r="22">
          <cell r="A22">
            <v>1573</v>
          </cell>
          <cell r="B22" t="str">
            <v>PAULRAJ P</v>
          </cell>
          <cell r="C22">
            <v>3500</v>
          </cell>
        </row>
        <row r="23">
          <cell r="A23">
            <v>1596</v>
          </cell>
          <cell r="B23" t="str">
            <v>RODRIGUES A</v>
          </cell>
          <cell r="C23">
            <v>3500</v>
          </cell>
        </row>
        <row r="24">
          <cell r="A24">
            <v>1778</v>
          </cell>
          <cell r="B24" t="str">
            <v>D'SILVA F C</v>
          </cell>
          <cell r="C24">
            <v>3500</v>
          </cell>
        </row>
        <row r="25">
          <cell r="A25">
            <v>1785</v>
          </cell>
          <cell r="B25" t="str">
            <v>SALUNKE A S</v>
          </cell>
          <cell r="C25">
            <v>3500</v>
          </cell>
        </row>
        <row r="26">
          <cell r="A26">
            <v>1851</v>
          </cell>
          <cell r="B26" t="str">
            <v>HALANKAR V S</v>
          </cell>
          <cell r="C26">
            <v>3500</v>
          </cell>
        </row>
        <row r="27">
          <cell r="A27">
            <v>1863</v>
          </cell>
          <cell r="B27" t="str">
            <v>BORAN M L</v>
          </cell>
          <cell r="C27">
            <v>3500</v>
          </cell>
        </row>
        <row r="28">
          <cell r="A28">
            <v>1878</v>
          </cell>
          <cell r="B28" t="str">
            <v>FERNANDES S B</v>
          </cell>
          <cell r="C28">
            <v>3500</v>
          </cell>
        </row>
        <row r="29">
          <cell r="A29">
            <v>1881</v>
          </cell>
          <cell r="B29" t="str">
            <v>SHETTIGAR K V</v>
          </cell>
          <cell r="C29">
            <v>3500</v>
          </cell>
        </row>
        <row r="30">
          <cell r="A30">
            <v>1915</v>
          </cell>
          <cell r="B30" t="str">
            <v>D'SOUZA C</v>
          </cell>
          <cell r="C30">
            <v>3500</v>
          </cell>
        </row>
        <row r="31">
          <cell r="A31">
            <v>1928</v>
          </cell>
          <cell r="B31" t="str">
            <v>ULLAL S S</v>
          </cell>
          <cell r="C31">
            <v>3500</v>
          </cell>
        </row>
        <row r="32">
          <cell r="A32">
            <v>1929</v>
          </cell>
          <cell r="B32" t="str">
            <v>MEHTA R R</v>
          </cell>
          <cell r="C32">
            <v>3500</v>
          </cell>
        </row>
        <row r="33">
          <cell r="A33">
            <v>2029</v>
          </cell>
          <cell r="B33" t="str">
            <v>POTNIS R H</v>
          </cell>
          <cell r="C33">
            <v>3500</v>
          </cell>
        </row>
        <row r="34">
          <cell r="A34">
            <v>2030</v>
          </cell>
          <cell r="B34" t="str">
            <v>MALVANKAR H C</v>
          </cell>
          <cell r="C34">
            <v>3500</v>
          </cell>
        </row>
        <row r="35">
          <cell r="A35">
            <v>2055</v>
          </cell>
          <cell r="B35" t="str">
            <v>PANDYA R V</v>
          </cell>
          <cell r="C35">
            <v>3500</v>
          </cell>
        </row>
        <row r="36">
          <cell r="A36">
            <v>2057</v>
          </cell>
          <cell r="B36" t="str">
            <v>PANDIT D D</v>
          </cell>
          <cell r="C36">
            <v>3500</v>
          </cell>
        </row>
        <row r="37">
          <cell r="A37">
            <v>2093</v>
          </cell>
          <cell r="B37" t="str">
            <v>PRABHU  P</v>
          </cell>
          <cell r="C37">
            <v>3500</v>
          </cell>
        </row>
        <row r="38">
          <cell r="A38">
            <v>2156</v>
          </cell>
          <cell r="B38" t="str">
            <v>KEER J S</v>
          </cell>
          <cell r="C38">
            <v>3500</v>
          </cell>
        </row>
        <row r="39">
          <cell r="A39">
            <v>2167</v>
          </cell>
          <cell r="B39" t="str">
            <v>AJGAONKAR B D</v>
          </cell>
          <cell r="C39">
            <v>3500</v>
          </cell>
        </row>
        <row r="40">
          <cell r="A40">
            <v>2171</v>
          </cell>
          <cell r="B40" t="str">
            <v>NAMBIAR A</v>
          </cell>
          <cell r="C40">
            <v>3500</v>
          </cell>
        </row>
        <row r="41">
          <cell r="A41">
            <v>2220</v>
          </cell>
          <cell r="B41" t="str">
            <v>BANDEKAR V P</v>
          </cell>
          <cell r="C41">
            <v>3500</v>
          </cell>
        </row>
        <row r="42">
          <cell r="A42">
            <v>2226</v>
          </cell>
          <cell r="B42" t="str">
            <v>PRASANNA KUMAR M</v>
          </cell>
          <cell r="C42">
            <v>3500</v>
          </cell>
        </row>
        <row r="43">
          <cell r="A43">
            <v>2247</v>
          </cell>
          <cell r="B43" t="str">
            <v>SHETIYA R</v>
          </cell>
          <cell r="C43">
            <v>3500</v>
          </cell>
        </row>
        <row r="44">
          <cell r="A44">
            <v>2249</v>
          </cell>
          <cell r="B44" t="str">
            <v>VAIDYA NANDINI</v>
          </cell>
          <cell r="C44">
            <v>3500</v>
          </cell>
        </row>
        <row r="45">
          <cell r="A45">
            <v>2266</v>
          </cell>
          <cell r="B45" t="str">
            <v>JACINTA SIMOES</v>
          </cell>
          <cell r="C45">
            <v>3500</v>
          </cell>
        </row>
        <row r="46">
          <cell r="A46">
            <v>2324</v>
          </cell>
          <cell r="B46" t="str">
            <v xml:space="preserve">SWATI S. MAYEKAR </v>
          </cell>
          <cell r="C46">
            <v>3500</v>
          </cell>
        </row>
        <row r="47">
          <cell r="A47">
            <v>2330</v>
          </cell>
          <cell r="B47" t="str">
            <v>POOVANNAN K.</v>
          </cell>
          <cell r="C47">
            <v>3500</v>
          </cell>
        </row>
        <row r="48">
          <cell r="A48">
            <v>2343</v>
          </cell>
          <cell r="B48" t="str">
            <v>SEQUEIRA GLORY</v>
          </cell>
          <cell r="C48">
            <v>3500</v>
          </cell>
        </row>
        <row r="49">
          <cell r="A49">
            <v>2344</v>
          </cell>
          <cell r="B49" t="str">
            <v>ULLAL NEELA M.</v>
          </cell>
          <cell r="C49">
            <v>3500</v>
          </cell>
        </row>
        <row r="50">
          <cell r="A50">
            <v>2408</v>
          </cell>
          <cell r="B50" t="str">
            <v>SHOBHANA LELE</v>
          </cell>
          <cell r="C50">
            <v>3500</v>
          </cell>
        </row>
        <row r="51">
          <cell r="A51">
            <v>1551</v>
          </cell>
          <cell r="B51" t="str">
            <v>SRIDHAR S D</v>
          </cell>
          <cell r="C51">
            <v>3500</v>
          </cell>
        </row>
        <row r="52">
          <cell r="A52">
            <v>2026</v>
          </cell>
          <cell r="B52" t="str">
            <v>SUBRAMANYA K G</v>
          </cell>
          <cell r="C52">
            <v>3500</v>
          </cell>
        </row>
        <row r="53">
          <cell r="A53">
            <v>2209</v>
          </cell>
          <cell r="B53" t="str">
            <v>MANIKANDAN R H</v>
          </cell>
          <cell r="C53">
            <v>3500</v>
          </cell>
        </row>
        <row r="54">
          <cell r="A54">
            <v>1273</v>
          </cell>
          <cell r="B54" t="str">
            <v>SHANKARA M</v>
          </cell>
          <cell r="C54">
            <v>3500</v>
          </cell>
        </row>
        <row r="55">
          <cell r="A55">
            <v>1802</v>
          </cell>
          <cell r="B55" t="str">
            <v>GOPALAKRISHNAN T</v>
          </cell>
          <cell r="C55">
            <v>3500</v>
          </cell>
        </row>
        <row r="56">
          <cell r="A56">
            <v>1815</v>
          </cell>
          <cell r="B56" t="str">
            <v>SINGH M</v>
          </cell>
          <cell r="C56">
            <v>3500</v>
          </cell>
        </row>
        <row r="57">
          <cell r="A57">
            <v>1827</v>
          </cell>
          <cell r="B57" t="str">
            <v>SHARMA R K</v>
          </cell>
          <cell r="C57">
            <v>3500</v>
          </cell>
        </row>
        <row r="58">
          <cell r="A58">
            <v>2129</v>
          </cell>
          <cell r="B58" t="str">
            <v>KWATRA M</v>
          </cell>
          <cell r="C58">
            <v>3500</v>
          </cell>
        </row>
        <row r="59">
          <cell r="A59">
            <v>2325</v>
          </cell>
          <cell r="B59" t="str">
            <v>RAJEEV KUMAR MISHRA</v>
          </cell>
          <cell r="C59">
            <v>3500</v>
          </cell>
        </row>
        <row r="60">
          <cell r="A60">
            <v>2274</v>
          </cell>
          <cell r="B60" t="str">
            <v>KAR S</v>
          </cell>
          <cell r="C60">
            <v>3500</v>
          </cell>
        </row>
        <row r="61">
          <cell r="A61">
            <v>2321</v>
          </cell>
          <cell r="B61" t="str">
            <v>SUMAN DAS BISWAS</v>
          </cell>
          <cell r="C61">
            <v>3500</v>
          </cell>
        </row>
        <row r="62">
          <cell r="A62">
            <v>1278</v>
          </cell>
          <cell r="B62" t="str">
            <v>BALAKRISHNAN P V</v>
          </cell>
          <cell r="C62">
            <v>3500</v>
          </cell>
        </row>
        <row r="63">
          <cell r="A63">
            <v>1652</v>
          </cell>
          <cell r="B63" t="str">
            <v>MURUGESAN S</v>
          </cell>
          <cell r="C63">
            <v>3500</v>
          </cell>
        </row>
        <row r="64">
          <cell r="A64">
            <v>1670</v>
          </cell>
          <cell r="B64" t="str">
            <v>SHARMA S C</v>
          </cell>
          <cell r="C64">
            <v>3500</v>
          </cell>
        </row>
        <row r="65">
          <cell r="A65">
            <v>1696</v>
          </cell>
          <cell r="B65" t="str">
            <v>NANAVATI D J</v>
          </cell>
          <cell r="C65">
            <v>3500</v>
          </cell>
        </row>
        <row r="66">
          <cell r="A66">
            <v>1701</v>
          </cell>
          <cell r="B66" t="str">
            <v>RAHIM A K</v>
          </cell>
          <cell r="C66">
            <v>3500</v>
          </cell>
        </row>
        <row r="67">
          <cell r="A67">
            <v>1765</v>
          </cell>
          <cell r="B67" t="str">
            <v>RAVEENDRAN M A</v>
          </cell>
          <cell r="C67">
            <v>3500</v>
          </cell>
        </row>
        <row r="68">
          <cell r="A68">
            <v>1790</v>
          </cell>
          <cell r="B68" t="str">
            <v>KULKARNI V H</v>
          </cell>
          <cell r="C68">
            <v>3500</v>
          </cell>
        </row>
        <row r="69">
          <cell r="A69">
            <v>1876</v>
          </cell>
          <cell r="B69" t="str">
            <v>BEHERE B</v>
          </cell>
          <cell r="C69">
            <v>3500</v>
          </cell>
        </row>
        <row r="70">
          <cell r="A70">
            <v>1927</v>
          </cell>
          <cell r="B70" t="str">
            <v>CHELLAPANDIAN P</v>
          </cell>
          <cell r="C70">
            <v>3500</v>
          </cell>
        </row>
        <row r="71">
          <cell r="A71">
            <v>1970</v>
          </cell>
          <cell r="B71" t="str">
            <v>PATEL P M</v>
          </cell>
          <cell r="C71">
            <v>3500</v>
          </cell>
        </row>
        <row r="72">
          <cell r="A72">
            <v>2124</v>
          </cell>
          <cell r="B72" t="str">
            <v>ARYA R K</v>
          </cell>
          <cell r="C72">
            <v>3500</v>
          </cell>
        </row>
        <row r="73">
          <cell r="A73">
            <v>2143</v>
          </cell>
          <cell r="B73" t="str">
            <v xml:space="preserve">CHANDRASHEKAR G                                  </v>
          </cell>
          <cell r="C73">
            <v>3500</v>
          </cell>
        </row>
        <row r="74">
          <cell r="A74">
            <v>2181</v>
          </cell>
          <cell r="B74" t="str">
            <v>PANCHAL A</v>
          </cell>
          <cell r="C74">
            <v>3500</v>
          </cell>
        </row>
        <row r="75">
          <cell r="A75">
            <v>2196</v>
          </cell>
          <cell r="B75" t="str">
            <v>REDDY P N</v>
          </cell>
          <cell r="C75">
            <v>3500</v>
          </cell>
        </row>
        <row r="76">
          <cell r="A76">
            <v>2200</v>
          </cell>
          <cell r="B76" t="str">
            <v>RAO G U</v>
          </cell>
          <cell r="C76">
            <v>3500</v>
          </cell>
        </row>
        <row r="77">
          <cell r="A77">
            <v>2208</v>
          </cell>
          <cell r="B77" t="str">
            <v>SAINI S K</v>
          </cell>
          <cell r="C77">
            <v>3500</v>
          </cell>
        </row>
        <row r="78">
          <cell r="A78">
            <v>2215</v>
          </cell>
          <cell r="B78" t="str">
            <v>C RAJESH GOWDAR</v>
          </cell>
          <cell r="C78">
            <v>3500</v>
          </cell>
        </row>
        <row r="79">
          <cell r="A79">
            <v>2224</v>
          </cell>
          <cell r="B79" t="str">
            <v>BHAGWAT C K</v>
          </cell>
          <cell r="C79">
            <v>3500</v>
          </cell>
        </row>
        <row r="80">
          <cell r="A80">
            <v>2232</v>
          </cell>
          <cell r="B80" t="str">
            <v>APPANNA G</v>
          </cell>
          <cell r="C80">
            <v>3500</v>
          </cell>
        </row>
        <row r="81">
          <cell r="A81">
            <v>2234</v>
          </cell>
          <cell r="B81" t="str">
            <v>DWIVEDI S K</v>
          </cell>
          <cell r="C81">
            <v>3500</v>
          </cell>
        </row>
        <row r="82">
          <cell r="A82">
            <v>2238</v>
          </cell>
          <cell r="B82" t="str">
            <v>GUPTA A</v>
          </cell>
          <cell r="C82">
            <v>3500</v>
          </cell>
        </row>
        <row r="83">
          <cell r="A83">
            <v>2239</v>
          </cell>
          <cell r="B83" t="str">
            <v>MENEZES G A</v>
          </cell>
          <cell r="C83">
            <v>3500</v>
          </cell>
        </row>
        <row r="84">
          <cell r="A84">
            <v>2254</v>
          </cell>
          <cell r="B84" t="str">
            <v>MIRJI G M</v>
          </cell>
          <cell r="C84">
            <v>3500</v>
          </cell>
        </row>
        <row r="85">
          <cell r="A85">
            <v>2259</v>
          </cell>
          <cell r="B85" t="str">
            <v>DHARMA PRAKASH N</v>
          </cell>
          <cell r="C85">
            <v>3500</v>
          </cell>
        </row>
        <row r="86">
          <cell r="A86">
            <v>2261</v>
          </cell>
          <cell r="B86" t="str">
            <v>BEG M S</v>
          </cell>
          <cell r="C86">
            <v>3500</v>
          </cell>
        </row>
        <row r="87">
          <cell r="A87">
            <v>2262</v>
          </cell>
          <cell r="B87" t="str">
            <v>CHATTERJEE D S</v>
          </cell>
          <cell r="C87">
            <v>3500</v>
          </cell>
        </row>
        <row r="88">
          <cell r="A88">
            <v>2263</v>
          </cell>
          <cell r="B88" t="str">
            <v>KAUSHIK RAJESH</v>
          </cell>
          <cell r="C88">
            <v>3500</v>
          </cell>
        </row>
        <row r="89">
          <cell r="A89">
            <v>2269</v>
          </cell>
          <cell r="B89" t="str">
            <v>SHARMA D B</v>
          </cell>
          <cell r="C89">
            <v>3500</v>
          </cell>
        </row>
        <row r="90">
          <cell r="A90">
            <v>2275</v>
          </cell>
          <cell r="B90" t="str">
            <v>D'COSTA D D</v>
          </cell>
          <cell r="C90">
            <v>3500</v>
          </cell>
        </row>
        <row r="91">
          <cell r="A91">
            <v>2284</v>
          </cell>
          <cell r="B91" t="str">
            <v>PATEL N A</v>
          </cell>
          <cell r="C91">
            <v>3500</v>
          </cell>
        </row>
        <row r="92">
          <cell r="A92">
            <v>2289</v>
          </cell>
          <cell r="B92" t="str">
            <v>FAROKH BARDOLIWALA</v>
          </cell>
          <cell r="C92">
            <v>2500</v>
          </cell>
        </row>
        <row r="93">
          <cell r="A93">
            <v>2315</v>
          </cell>
          <cell r="B93" t="str">
            <v>RAMKUMAR JHA</v>
          </cell>
          <cell r="C93">
            <v>3500</v>
          </cell>
        </row>
        <row r="94">
          <cell r="A94">
            <v>2316</v>
          </cell>
          <cell r="B94" t="str">
            <v>RAGHUNANDAN S.V.</v>
          </cell>
          <cell r="C94">
            <v>3500</v>
          </cell>
        </row>
        <row r="95">
          <cell r="A95">
            <v>2318</v>
          </cell>
          <cell r="B95" t="str">
            <v>VISHWANATHAN P BHAT</v>
          </cell>
          <cell r="C95">
            <v>3500</v>
          </cell>
        </row>
        <row r="96">
          <cell r="A96">
            <v>2320</v>
          </cell>
          <cell r="B96" t="str">
            <v>JOYDEB PAL</v>
          </cell>
          <cell r="C96">
            <v>3500</v>
          </cell>
        </row>
        <row r="97">
          <cell r="A97">
            <v>2322</v>
          </cell>
          <cell r="B97" t="str">
            <v>SAMBHUNATH DE</v>
          </cell>
          <cell r="C97">
            <v>3500</v>
          </cell>
        </row>
        <row r="98">
          <cell r="A98">
            <v>2326</v>
          </cell>
          <cell r="B98" t="str">
            <v>T. VANARAJ</v>
          </cell>
          <cell r="C98">
            <v>3500</v>
          </cell>
        </row>
        <row r="99">
          <cell r="A99">
            <v>2327</v>
          </cell>
          <cell r="B99" t="str">
            <v>O.A. SUBRAMANIAN</v>
          </cell>
          <cell r="C99">
            <v>3500</v>
          </cell>
        </row>
        <row r="100">
          <cell r="A100">
            <v>2328</v>
          </cell>
          <cell r="B100" t="str">
            <v>CHAUDHARI PRADEEP KUMAR</v>
          </cell>
          <cell r="C100">
            <v>3500</v>
          </cell>
        </row>
        <row r="101">
          <cell r="A101">
            <v>2329</v>
          </cell>
          <cell r="B101" t="str">
            <v>SUDHANSHU SHARMA</v>
          </cell>
          <cell r="C101">
            <v>3500</v>
          </cell>
        </row>
        <row r="102">
          <cell r="A102">
            <v>2332</v>
          </cell>
          <cell r="B102" t="str">
            <v>SUDESH KUMAR JAIN</v>
          </cell>
          <cell r="C102">
            <v>3500</v>
          </cell>
        </row>
        <row r="103">
          <cell r="A103">
            <v>2333</v>
          </cell>
          <cell r="B103" t="str">
            <v>NIKHIL SOLANKI</v>
          </cell>
          <cell r="C103">
            <v>3500</v>
          </cell>
        </row>
        <row r="104">
          <cell r="A104">
            <v>2335</v>
          </cell>
          <cell r="B104" t="str">
            <v>MOHAMMAD SHABBIR AHMED</v>
          </cell>
          <cell r="C104">
            <v>3500</v>
          </cell>
        </row>
        <row r="105">
          <cell r="A105">
            <v>2337</v>
          </cell>
          <cell r="B105" t="str">
            <v>SHARAD AWASTHI</v>
          </cell>
          <cell r="C105">
            <v>3500</v>
          </cell>
        </row>
        <row r="106">
          <cell r="A106">
            <v>2340</v>
          </cell>
          <cell r="B106" t="str">
            <v>RAM KUMAR SINGH</v>
          </cell>
          <cell r="C106">
            <v>3500</v>
          </cell>
        </row>
        <row r="107">
          <cell r="A107">
            <v>2341</v>
          </cell>
          <cell r="B107" t="str">
            <v>VASANTKUMAR P. PRAJAPATI</v>
          </cell>
          <cell r="C107">
            <v>3500</v>
          </cell>
        </row>
        <row r="108">
          <cell r="A108">
            <v>2342</v>
          </cell>
          <cell r="B108" t="str">
            <v>RAJAN SETH</v>
          </cell>
          <cell r="C108">
            <v>3500</v>
          </cell>
        </row>
        <row r="109">
          <cell r="A109">
            <v>2347</v>
          </cell>
          <cell r="B109" t="str">
            <v xml:space="preserve">MAHESH J. DESALE </v>
          </cell>
          <cell r="C109">
            <v>3500</v>
          </cell>
        </row>
        <row r="110">
          <cell r="A110">
            <v>2348</v>
          </cell>
          <cell r="B110" t="str">
            <v>SANJAY SINGH GAUTAM</v>
          </cell>
          <cell r="C110">
            <v>3500</v>
          </cell>
        </row>
        <row r="111">
          <cell r="A111">
            <v>2349</v>
          </cell>
          <cell r="B111" t="str">
            <v>VIVEK SAXENA</v>
          </cell>
          <cell r="C111">
            <v>3500</v>
          </cell>
        </row>
        <row r="112">
          <cell r="A112">
            <v>2350</v>
          </cell>
          <cell r="B112" t="str">
            <v>HEMANT AITULWAR</v>
          </cell>
          <cell r="C112">
            <v>3500</v>
          </cell>
        </row>
        <row r="113">
          <cell r="A113">
            <v>2352</v>
          </cell>
          <cell r="B113" t="str">
            <v>SANTANU SINHARAY</v>
          </cell>
          <cell r="C113">
            <v>3500</v>
          </cell>
        </row>
        <row r="114">
          <cell r="A114">
            <v>2355</v>
          </cell>
          <cell r="B114" t="str">
            <v>MANISH JAIN</v>
          </cell>
          <cell r="C114">
            <v>3500</v>
          </cell>
        </row>
        <row r="115">
          <cell r="A115">
            <v>2356</v>
          </cell>
          <cell r="B115" t="str">
            <v>RITESH VIJAYWARGIYA</v>
          </cell>
          <cell r="C115">
            <v>3500</v>
          </cell>
        </row>
        <row r="116">
          <cell r="A116">
            <v>2357</v>
          </cell>
          <cell r="B116" t="str">
            <v>RAJESH SHARMA</v>
          </cell>
          <cell r="C116">
            <v>3500</v>
          </cell>
        </row>
        <row r="117">
          <cell r="A117">
            <v>2358</v>
          </cell>
          <cell r="B117" t="str">
            <v>SANJAY C. PANCHAL</v>
          </cell>
          <cell r="C117">
            <v>3500</v>
          </cell>
        </row>
        <row r="118">
          <cell r="A118">
            <v>2363</v>
          </cell>
          <cell r="B118" t="str">
            <v>CHANDRA SHEKHAR YADAV</v>
          </cell>
          <cell r="C118">
            <v>3500</v>
          </cell>
        </row>
        <row r="119">
          <cell r="A119">
            <v>2364</v>
          </cell>
          <cell r="B119" t="str">
            <v>K. VINEESH KUMAR</v>
          </cell>
          <cell r="C119">
            <v>3500</v>
          </cell>
        </row>
        <row r="120">
          <cell r="A120">
            <v>2365</v>
          </cell>
          <cell r="B120" t="str">
            <v>K. DHARMARAJ</v>
          </cell>
          <cell r="C120">
            <v>3500</v>
          </cell>
        </row>
        <row r="121">
          <cell r="A121">
            <v>2371</v>
          </cell>
          <cell r="B121" t="str">
            <v>JADHAV HEMANTKUMAR V</v>
          </cell>
          <cell r="C121">
            <v>2500</v>
          </cell>
        </row>
        <row r="122">
          <cell r="A122">
            <v>2372</v>
          </cell>
          <cell r="B122" t="str">
            <v>SINGH SUDHEER KUMAR</v>
          </cell>
          <cell r="C122">
            <v>2500</v>
          </cell>
        </row>
        <row r="123">
          <cell r="A123">
            <v>2373</v>
          </cell>
          <cell r="B123" t="str">
            <v>RAO MADHAV CHEEPURI</v>
          </cell>
          <cell r="C123">
            <v>2500</v>
          </cell>
        </row>
        <row r="124">
          <cell r="A124">
            <v>2375</v>
          </cell>
          <cell r="B124" t="str">
            <v>KETAN P. PATEL</v>
          </cell>
          <cell r="C124">
            <v>3500</v>
          </cell>
        </row>
        <row r="125">
          <cell r="A125">
            <v>2376</v>
          </cell>
          <cell r="B125" t="str">
            <v>TIWADE ANIL</v>
          </cell>
          <cell r="C125">
            <v>2500</v>
          </cell>
        </row>
        <row r="126">
          <cell r="A126">
            <v>2377</v>
          </cell>
          <cell r="B126" t="str">
            <v>PANCHAL HEMANT</v>
          </cell>
          <cell r="C126">
            <v>2500</v>
          </cell>
        </row>
        <row r="127">
          <cell r="A127">
            <v>2379</v>
          </cell>
          <cell r="B127" t="str">
            <v>M. JOSHUAH</v>
          </cell>
          <cell r="C127">
            <v>3500</v>
          </cell>
        </row>
        <row r="128">
          <cell r="A128">
            <v>2380</v>
          </cell>
          <cell r="B128" t="str">
            <v>VEMANA P. CHAKRAVARTHI</v>
          </cell>
          <cell r="C128">
            <v>3500</v>
          </cell>
        </row>
        <row r="129">
          <cell r="A129">
            <v>2381</v>
          </cell>
          <cell r="B129" t="str">
            <v>ABRAHAM MANOJ P</v>
          </cell>
          <cell r="C129">
            <v>2500</v>
          </cell>
        </row>
        <row r="130">
          <cell r="A130">
            <v>2387</v>
          </cell>
          <cell r="B130" t="str">
            <v>RAVAL DIVYESH D</v>
          </cell>
          <cell r="C130">
            <v>2500</v>
          </cell>
        </row>
        <row r="131">
          <cell r="A131">
            <v>2389</v>
          </cell>
          <cell r="B131" t="str">
            <v>CHIRAG B. PARIKH</v>
          </cell>
          <cell r="C131">
            <v>3500</v>
          </cell>
        </row>
        <row r="132">
          <cell r="A132">
            <v>2395</v>
          </cell>
          <cell r="B132" t="str">
            <v>OPINDER SINGH</v>
          </cell>
          <cell r="C132">
            <v>3500</v>
          </cell>
        </row>
        <row r="133">
          <cell r="A133">
            <v>2396</v>
          </cell>
          <cell r="B133" t="str">
            <v>JAI KRISHNA PANDEY</v>
          </cell>
          <cell r="C133">
            <v>3500</v>
          </cell>
        </row>
        <row r="134">
          <cell r="A134">
            <v>2397</v>
          </cell>
          <cell r="B134" t="str">
            <v>PRADEEP KUMAR GANGWAR</v>
          </cell>
          <cell r="C134">
            <v>3500</v>
          </cell>
        </row>
        <row r="135">
          <cell r="A135">
            <v>2399</v>
          </cell>
          <cell r="B135" t="str">
            <v>S. MANIKANDAN</v>
          </cell>
          <cell r="C135">
            <v>3500</v>
          </cell>
        </row>
        <row r="136">
          <cell r="A136">
            <v>2400</v>
          </cell>
          <cell r="B136" t="str">
            <v>RAJANI KANTHA</v>
          </cell>
          <cell r="C136">
            <v>3500</v>
          </cell>
        </row>
        <row r="137">
          <cell r="A137">
            <v>2402</v>
          </cell>
          <cell r="B137" t="str">
            <v>HEMANT KUMAR SINGH</v>
          </cell>
          <cell r="C137">
            <v>3500</v>
          </cell>
        </row>
        <row r="138">
          <cell r="A138">
            <v>2403</v>
          </cell>
          <cell r="B138" t="str">
            <v>BHUPINDER PAL SINGH</v>
          </cell>
          <cell r="C138">
            <v>3500</v>
          </cell>
        </row>
        <row r="139">
          <cell r="A139">
            <v>2404</v>
          </cell>
          <cell r="B139" t="str">
            <v>CHALLA SREEDHAR REDDY</v>
          </cell>
          <cell r="C139">
            <v>3500</v>
          </cell>
        </row>
        <row r="140">
          <cell r="A140">
            <v>2405</v>
          </cell>
          <cell r="B140" t="str">
            <v>PRANAB KUNDU</v>
          </cell>
          <cell r="C140">
            <v>3500</v>
          </cell>
        </row>
        <row r="141">
          <cell r="A141">
            <v>2406</v>
          </cell>
          <cell r="B141" t="str">
            <v>H. VISHWANATH</v>
          </cell>
          <cell r="C141">
            <v>3500</v>
          </cell>
        </row>
        <row r="142">
          <cell r="A142">
            <v>2407</v>
          </cell>
          <cell r="B142" t="str">
            <v>P. MAHESHWARA BABU</v>
          </cell>
          <cell r="C142">
            <v>3500</v>
          </cell>
        </row>
        <row r="143">
          <cell r="A143">
            <v>2410</v>
          </cell>
          <cell r="B143" t="str">
            <v>SAIBAL CHATTERJEE</v>
          </cell>
          <cell r="C143">
            <v>3500</v>
          </cell>
        </row>
        <row r="144">
          <cell r="A144">
            <v>2411</v>
          </cell>
          <cell r="B144" t="str">
            <v>R SHIVAPRASAD</v>
          </cell>
          <cell r="C144">
            <v>2500</v>
          </cell>
        </row>
        <row r="145">
          <cell r="A145">
            <v>2412</v>
          </cell>
          <cell r="B145" t="str">
            <v>MANOJ OJHA</v>
          </cell>
          <cell r="C145">
            <v>3500</v>
          </cell>
        </row>
        <row r="146">
          <cell r="A146">
            <v>2413</v>
          </cell>
          <cell r="B146" t="str">
            <v>SACHIN SOOD</v>
          </cell>
          <cell r="C146">
            <v>3500</v>
          </cell>
        </row>
        <row r="147">
          <cell r="A147">
            <v>2414</v>
          </cell>
          <cell r="B147" t="str">
            <v>TATHAGATHA SANYAL</v>
          </cell>
          <cell r="C147">
            <v>3500</v>
          </cell>
        </row>
        <row r="148">
          <cell r="A148">
            <v>2416</v>
          </cell>
          <cell r="B148" t="str">
            <v>MANISH PANCHAL</v>
          </cell>
          <cell r="C148">
            <v>3500</v>
          </cell>
        </row>
        <row r="149">
          <cell r="A149">
            <v>2417</v>
          </cell>
          <cell r="B149" t="str">
            <v>BIRENDRA KUMAR</v>
          </cell>
          <cell r="C149">
            <v>3500</v>
          </cell>
        </row>
        <row r="150">
          <cell r="A150">
            <v>2424</v>
          </cell>
          <cell r="B150" t="str">
            <v>NARAVANE H C</v>
          </cell>
          <cell r="C150">
            <v>3500</v>
          </cell>
        </row>
        <row r="151">
          <cell r="A151">
            <v>5010</v>
          </cell>
          <cell r="B151" t="str">
            <v>SINGH L</v>
          </cell>
          <cell r="C151">
            <v>3500</v>
          </cell>
        </row>
        <row r="152">
          <cell r="A152">
            <v>5077</v>
          </cell>
          <cell r="B152" t="str">
            <v>MAHAPATRA A K</v>
          </cell>
          <cell r="C152">
            <v>3500</v>
          </cell>
        </row>
        <row r="153">
          <cell r="A153">
            <v>1090</v>
          </cell>
          <cell r="B153" t="str">
            <v>ROZARIO N</v>
          </cell>
          <cell r="C153">
            <v>4000</v>
          </cell>
        </row>
        <row r="154">
          <cell r="A154">
            <v>1115</v>
          </cell>
          <cell r="B154" t="str">
            <v>ADAMS M</v>
          </cell>
          <cell r="C154">
            <v>4000</v>
          </cell>
        </row>
        <row r="155">
          <cell r="A155">
            <v>1131</v>
          </cell>
          <cell r="B155" t="str">
            <v>WIKHE P D</v>
          </cell>
          <cell r="C155">
            <v>4000</v>
          </cell>
        </row>
        <row r="156">
          <cell r="A156">
            <v>1153</v>
          </cell>
          <cell r="B156" t="str">
            <v>JOTHADY K B</v>
          </cell>
          <cell r="C156">
            <v>4000</v>
          </cell>
        </row>
        <row r="157">
          <cell r="A157">
            <v>1158</v>
          </cell>
          <cell r="B157" t="str">
            <v>RAMASWAMY P A</v>
          </cell>
          <cell r="C157">
            <v>4000</v>
          </cell>
        </row>
        <row r="158">
          <cell r="A158">
            <v>1169</v>
          </cell>
          <cell r="B158" t="str">
            <v>KRISHNAMURTHY N</v>
          </cell>
          <cell r="C158">
            <v>4000</v>
          </cell>
        </row>
        <row r="159">
          <cell r="A159">
            <v>1183</v>
          </cell>
          <cell r="B159" t="str">
            <v>KARNIK D V</v>
          </cell>
          <cell r="C159">
            <v>4000</v>
          </cell>
        </row>
        <row r="160">
          <cell r="A160">
            <v>1184</v>
          </cell>
          <cell r="B160" t="str">
            <v>VIRWANI R J</v>
          </cell>
          <cell r="C160">
            <v>4000</v>
          </cell>
        </row>
        <row r="161">
          <cell r="A161">
            <v>1197</v>
          </cell>
          <cell r="B161" t="str">
            <v>MISTRY M J</v>
          </cell>
          <cell r="C161">
            <v>4000</v>
          </cell>
        </row>
        <row r="162">
          <cell r="A162">
            <v>1205</v>
          </cell>
          <cell r="B162" t="str">
            <v>MARTIS B</v>
          </cell>
          <cell r="C162">
            <v>4000</v>
          </cell>
        </row>
        <row r="163">
          <cell r="A163">
            <v>1206</v>
          </cell>
          <cell r="B163" t="str">
            <v>D'SOUZA E</v>
          </cell>
          <cell r="C163">
            <v>4000</v>
          </cell>
        </row>
        <row r="164">
          <cell r="A164">
            <v>1226</v>
          </cell>
          <cell r="B164" t="str">
            <v>MANI L S</v>
          </cell>
          <cell r="C164">
            <v>4000</v>
          </cell>
        </row>
        <row r="165">
          <cell r="A165">
            <v>1235</v>
          </cell>
          <cell r="B165" t="str">
            <v>PINTO L</v>
          </cell>
          <cell r="C165">
            <v>4000</v>
          </cell>
        </row>
        <row r="166">
          <cell r="A166">
            <v>1271</v>
          </cell>
          <cell r="B166" t="str">
            <v>GARUDE D V</v>
          </cell>
          <cell r="C166">
            <v>4000</v>
          </cell>
        </row>
        <row r="167">
          <cell r="A167">
            <v>1276</v>
          </cell>
          <cell r="B167" t="str">
            <v>RAMACHANDRAN N</v>
          </cell>
          <cell r="C167">
            <v>4000</v>
          </cell>
        </row>
        <row r="168">
          <cell r="A168">
            <v>1287</v>
          </cell>
          <cell r="B168" t="str">
            <v>MULGUND B V</v>
          </cell>
          <cell r="C168">
            <v>4000</v>
          </cell>
        </row>
        <row r="169">
          <cell r="A169">
            <v>1310</v>
          </cell>
          <cell r="B169" t="str">
            <v>TANAK R K</v>
          </cell>
          <cell r="C169">
            <v>4000</v>
          </cell>
        </row>
        <row r="170">
          <cell r="A170">
            <v>1311</v>
          </cell>
          <cell r="B170" t="str">
            <v>BARODEKAR A P</v>
          </cell>
          <cell r="C170">
            <v>4000</v>
          </cell>
        </row>
        <row r="171">
          <cell r="A171">
            <v>1381</v>
          </cell>
          <cell r="B171" t="str">
            <v>NEMADE D R</v>
          </cell>
          <cell r="C171">
            <v>4000</v>
          </cell>
        </row>
        <row r="172">
          <cell r="A172">
            <v>1382</v>
          </cell>
          <cell r="B172" t="str">
            <v>PARDHAL P S</v>
          </cell>
          <cell r="C172">
            <v>4000</v>
          </cell>
        </row>
        <row r="173">
          <cell r="A173">
            <v>1384</v>
          </cell>
          <cell r="B173" t="str">
            <v>BHAGAT S N</v>
          </cell>
          <cell r="C173">
            <v>4000</v>
          </cell>
        </row>
        <row r="174">
          <cell r="A174">
            <v>1390</v>
          </cell>
          <cell r="B174" t="str">
            <v xml:space="preserve">RODRICKS S                                             </v>
          </cell>
          <cell r="C174">
            <v>4000</v>
          </cell>
        </row>
        <row r="175">
          <cell r="A175">
            <v>1410</v>
          </cell>
          <cell r="B175" t="str">
            <v>MAHAJAN V R</v>
          </cell>
          <cell r="C175">
            <v>4000</v>
          </cell>
        </row>
        <row r="176">
          <cell r="A176">
            <v>1422</v>
          </cell>
          <cell r="B176" t="str">
            <v>UPADHYAY C</v>
          </cell>
          <cell r="C176">
            <v>4000</v>
          </cell>
        </row>
        <row r="177">
          <cell r="A177">
            <v>1454</v>
          </cell>
          <cell r="B177" t="str">
            <v>SONAR N N</v>
          </cell>
          <cell r="C177">
            <v>4000</v>
          </cell>
        </row>
        <row r="178">
          <cell r="A178">
            <v>1477</v>
          </cell>
          <cell r="B178" t="str">
            <v>PEDNEKAR A S</v>
          </cell>
          <cell r="C178">
            <v>4000</v>
          </cell>
        </row>
        <row r="179">
          <cell r="A179">
            <v>1485</v>
          </cell>
          <cell r="B179" t="str">
            <v>SODAH V H</v>
          </cell>
          <cell r="C179">
            <v>4000</v>
          </cell>
        </row>
        <row r="180">
          <cell r="A180">
            <v>1493</v>
          </cell>
          <cell r="B180" t="str">
            <v>TELLIS J</v>
          </cell>
          <cell r="C180">
            <v>4000</v>
          </cell>
        </row>
        <row r="181">
          <cell r="A181">
            <v>1495</v>
          </cell>
          <cell r="B181" t="str">
            <v>SANYAL S</v>
          </cell>
          <cell r="C181">
            <v>0</v>
          </cell>
        </row>
        <row r="182">
          <cell r="A182">
            <v>1498</v>
          </cell>
          <cell r="B182" t="str">
            <v>VENKATACHALAPATHY R</v>
          </cell>
          <cell r="C182">
            <v>4000</v>
          </cell>
        </row>
        <row r="183">
          <cell r="A183">
            <v>1508</v>
          </cell>
          <cell r="B183" t="str">
            <v>MANJAREKAR P V</v>
          </cell>
          <cell r="C183">
            <v>4000</v>
          </cell>
        </row>
        <row r="184">
          <cell r="A184">
            <v>1510</v>
          </cell>
          <cell r="B184" t="str">
            <v>AIGAL S</v>
          </cell>
          <cell r="C184">
            <v>4000</v>
          </cell>
        </row>
        <row r="185">
          <cell r="A185">
            <v>1525</v>
          </cell>
          <cell r="B185" t="str">
            <v>RAO RATANKUMAR</v>
          </cell>
          <cell r="C185">
            <v>4000</v>
          </cell>
        </row>
        <row r="186">
          <cell r="A186">
            <v>1547</v>
          </cell>
          <cell r="B186" t="str">
            <v>RAO M H</v>
          </cell>
          <cell r="C186">
            <v>4000</v>
          </cell>
        </row>
        <row r="187">
          <cell r="A187">
            <v>1550</v>
          </cell>
          <cell r="B187" t="str">
            <v>KALELKAR P M</v>
          </cell>
          <cell r="C187">
            <v>4000</v>
          </cell>
        </row>
        <row r="188">
          <cell r="A188">
            <v>1608</v>
          </cell>
          <cell r="B188" t="str">
            <v>KELUSKAR C V</v>
          </cell>
          <cell r="C188">
            <v>4000</v>
          </cell>
        </row>
        <row r="189">
          <cell r="A189">
            <v>1610</v>
          </cell>
          <cell r="B189" t="str">
            <v>MENON R G</v>
          </cell>
          <cell r="C189">
            <v>4000</v>
          </cell>
        </row>
        <row r="190">
          <cell r="A190">
            <v>1618</v>
          </cell>
          <cell r="B190" t="str">
            <v>DATAR S D</v>
          </cell>
          <cell r="C190">
            <v>4000</v>
          </cell>
        </row>
        <row r="191">
          <cell r="A191">
            <v>1666</v>
          </cell>
          <cell r="B191" t="str">
            <v>HINGE S R</v>
          </cell>
          <cell r="C191">
            <v>4000</v>
          </cell>
        </row>
        <row r="192">
          <cell r="A192">
            <v>1669</v>
          </cell>
          <cell r="B192" t="str">
            <v>KAMATH S G</v>
          </cell>
          <cell r="C192">
            <v>4000</v>
          </cell>
        </row>
        <row r="193">
          <cell r="A193">
            <v>1704</v>
          </cell>
          <cell r="B193" t="str">
            <v>GUPTE S T</v>
          </cell>
          <cell r="C193">
            <v>4000</v>
          </cell>
        </row>
        <row r="194">
          <cell r="A194">
            <v>1723</v>
          </cell>
          <cell r="B194" t="str">
            <v xml:space="preserve">MHATRE P N                        </v>
          </cell>
          <cell r="C194">
            <v>4000</v>
          </cell>
        </row>
        <row r="195">
          <cell r="A195">
            <v>1741</v>
          </cell>
          <cell r="B195" t="str">
            <v>NABAR G V</v>
          </cell>
          <cell r="C195">
            <v>4000</v>
          </cell>
        </row>
        <row r="196">
          <cell r="A196">
            <v>1835</v>
          </cell>
          <cell r="B196" t="str">
            <v>WAKHARE V S</v>
          </cell>
          <cell r="C196">
            <v>4000</v>
          </cell>
        </row>
        <row r="197">
          <cell r="A197">
            <v>1867</v>
          </cell>
          <cell r="B197" t="str">
            <v>GANPATYE M M</v>
          </cell>
          <cell r="C197">
            <v>4000</v>
          </cell>
        </row>
        <row r="198">
          <cell r="A198">
            <v>1879</v>
          </cell>
          <cell r="B198" t="str">
            <v>KARHADE S S</v>
          </cell>
          <cell r="C198">
            <v>4000</v>
          </cell>
        </row>
        <row r="199">
          <cell r="A199">
            <v>1906</v>
          </cell>
          <cell r="B199" t="str">
            <v>DHAUNDIYAL S H</v>
          </cell>
          <cell r="C199">
            <v>0</v>
          </cell>
        </row>
        <row r="200">
          <cell r="A200">
            <v>1918</v>
          </cell>
          <cell r="B200" t="str">
            <v>SUBRAMANIAN N</v>
          </cell>
          <cell r="C200">
            <v>4000</v>
          </cell>
        </row>
        <row r="201">
          <cell r="A201">
            <v>1964</v>
          </cell>
          <cell r="B201" t="str">
            <v>RAJADHYAX V</v>
          </cell>
          <cell r="C201">
            <v>4000</v>
          </cell>
        </row>
        <row r="202">
          <cell r="A202">
            <v>1967</v>
          </cell>
          <cell r="B202" t="str">
            <v xml:space="preserve">SAMANT A B                         </v>
          </cell>
          <cell r="C202">
            <v>4000</v>
          </cell>
        </row>
        <row r="203">
          <cell r="A203">
            <v>1978</v>
          </cell>
          <cell r="B203" t="str">
            <v xml:space="preserve">DUTTA S                               </v>
          </cell>
          <cell r="C203">
            <v>4000</v>
          </cell>
        </row>
        <row r="204">
          <cell r="A204">
            <v>2007</v>
          </cell>
          <cell r="B204" t="str">
            <v>SENGUPTA D</v>
          </cell>
          <cell r="C204">
            <v>4000</v>
          </cell>
        </row>
        <row r="205">
          <cell r="A205">
            <v>2062</v>
          </cell>
          <cell r="B205" t="str">
            <v>SATAM R S</v>
          </cell>
          <cell r="C205">
            <v>4000</v>
          </cell>
        </row>
        <row r="206">
          <cell r="A206">
            <v>2071</v>
          </cell>
          <cell r="B206" t="str">
            <v>BAPAT K S</v>
          </cell>
          <cell r="C206">
            <v>4000</v>
          </cell>
        </row>
        <row r="207">
          <cell r="A207">
            <v>2097</v>
          </cell>
          <cell r="B207" t="str">
            <v>RAHEJA S</v>
          </cell>
          <cell r="C207">
            <v>4000</v>
          </cell>
        </row>
        <row r="208">
          <cell r="A208">
            <v>2127</v>
          </cell>
          <cell r="B208" t="str">
            <v>SHINDE YAMINI M</v>
          </cell>
          <cell r="C208">
            <v>4000</v>
          </cell>
        </row>
        <row r="209">
          <cell r="A209">
            <v>2150</v>
          </cell>
          <cell r="B209" t="str">
            <v>BASU S</v>
          </cell>
          <cell r="C209">
            <v>4000</v>
          </cell>
        </row>
        <row r="210">
          <cell r="A210">
            <v>2175</v>
          </cell>
          <cell r="B210" t="str">
            <v>RAJEEV KUMAR</v>
          </cell>
          <cell r="C210">
            <v>0</v>
          </cell>
        </row>
        <row r="211">
          <cell r="A211">
            <v>2195</v>
          </cell>
          <cell r="B211" t="str">
            <v>MANIAR K K</v>
          </cell>
          <cell r="C211">
            <v>4000</v>
          </cell>
        </row>
        <row r="212">
          <cell r="A212">
            <v>2202</v>
          </cell>
          <cell r="B212" t="str">
            <v>UMASHANKAR R</v>
          </cell>
          <cell r="C212">
            <v>4000</v>
          </cell>
        </row>
        <row r="213">
          <cell r="A213">
            <v>2219</v>
          </cell>
          <cell r="B213" t="str">
            <v>MISHRA G</v>
          </cell>
          <cell r="C213">
            <v>4000</v>
          </cell>
        </row>
        <row r="214">
          <cell r="A214">
            <v>2241</v>
          </cell>
          <cell r="B214" t="str">
            <v>D'MELLO SUNITA</v>
          </cell>
          <cell r="C214">
            <v>4000</v>
          </cell>
        </row>
        <row r="215">
          <cell r="A215">
            <v>2244</v>
          </cell>
          <cell r="B215" t="str">
            <v>BALIGA R</v>
          </cell>
          <cell r="C215">
            <v>4000</v>
          </cell>
        </row>
        <row r="216">
          <cell r="A216">
            <v>2267</v>
          </cell>
          <cell r="B216" t="str">
            <v>CHOPRA KARAN</v>
          </cell>
          <cell r="C216">
            <v>4000</v>
          </cell>
        </row>
        <row r="217">
          <cell r="A217">
            <v>2270</v>
          </cell>
          <cell r="B217" t="str">
            <v>SURYAVANSHI C V</v>
          </cell>
          <cell r="C217">
            <v>4000</v>
          </cell>
        </row>
        <row r="218">
          <cell r="A218">
            <v>2285</v>
          </cell>
          <cell r="B218" t="str">
            <v>TULSIRAM USHA</v>
          </cell>
          <cell r="C218">
            <v>4000</v>
          </cell>
        </row>
        <row r="219">
          <cell r="A219">
            <v>2308</v>
          </cell>
          <cell r="B219" t="str">
            <v>MENDON SHAILESH V</v>
          </cell>
          <cell r="C219">
            <v>4000</v>
          </cell>
        </row>
        <row r="220">
          <cell r="A220">
            <v>2309</v>
          </cell>
          <cell r="B220" t="str">
            <v>MANKANI DEEPAK M.</v>
          </cell>
          <cell r="C220">
            <v>4000</v>
          </cell>
        </row>
        <row r="221">
          <cell r="A221">
            <v>2368</v>
          </cell>
          <cell r="B221" t="str">
            <v>PRASHANT S JOSHI</v>
          </cell>
          <cell r="C221">
            <v>4000</v>
          </cell>
        </row>
        <row r="222">
          <cell r="A222">
            <v>2415</v>
          </cell>
          <cell r="B222" t="str">
            <v>S GANESH</v>
          </cell>
          <cell r="C222">
            <v>4000</v>
          </cell>
        </row>
        <row r="223">
          <cell r="A223">
            <v>2422</v>
          </cell>
          <cell r="B223" t="str">
            <v>SHAH MANISH M</v>
          </cell>
          <cell r="C223">
            <v>4000</v>
          </cell>
        </row>
        <row r="224">
          <cell r="A224">
            <v>2425</v>
          </cell>
          <cell r="B224" t="str">
            <v>S MURALI</v>
          </cell>
          <cell r="C224">
            <v>4000</v>
          </cell>
        </row>
        <row r="225">
          <cell r="A225">
            <v>2427</v>
          </cell>
          <cell r="B225" t="str">
            <v>DUJARI RAJESH</v>
          </cell>
          <cell r="C225">
            <v>4000</v>
          </cell>
        </row>
        <row r="226">
          <cell r="A226">
            <v>1981</v>
          </cell>
          <cell r="B226" t="str">
            <v>PATIL S H</v>
          </cell>
          <cell r="C226">
            <v>4000</v>
          </cell>
        </row>
        <row r="227">
          <cell r="A227">
            <v>2009</v>
          </cell>
          <cell r="B227" t="str">
            <v>MURUGAN S A</v>
          </cell>
          <cell r="C227">
            <v>4000</v>
          </cell>
        </row>
        <row r="228">
          <cell r="A228">
            <v>2250</v>
          </cell>
          <cell r="B228" t="str">
            <v>BALAKRISHNAN P</v>
          </cell>
          <cell r="C228">
            <v>4000</v>
          </cell>
        </row>
        <row r="229">
          <cell r="A229">
            <v>1100</v>
          </cell>
          <cell r="B229" t="str">
            <v>MAHAJAN J</v>
          </cell>
          <cell r="C229">
            <v>4000</v>
          </cell>
        </row>
        <row r="230">
          <cell r="A230">
            <v>1725</v>
          </cell>
          <cell r="B230" t="str">
            <v>VENKATRAMAN E N</v>
          </cell>
          <cell r="C230">
            <v>4000</v>
          </cell>
        </row>
        <row r="231">
          <cell r="A231">
            <v>2146</v>
          </cell>
          <cell r="B231" t="str">
            <v>DAS S</v>
          </cell>
          <cell r="C231">
            <v>4000</v>
          </cell>
        </row>
        <row r="232">
          <cell r="A232">
            <v>2265</v>
          </cell>
          <cell r="B232" t="str">
            <v>GUPTA PANKAJ</v>
          </cell>
          <cell r="C232">
            <v>4000</v>
          </cell>
        </row>
        <row r="233">
          <cell r="A233">
            <v>2011</v>
          </cell>
          <cell r="B233" t="str">
            <v xml:space="preserve">BASU A                                </v>
          </cell>
          <cell r="C233">
            <v>4000</v>
          </cell>
        </row>
        <row r="234">
          <cell r="A234">
            <v>2132</v>
          </cell>
          <cell r="B234" t="str">
            <v>MALLIK R K</v>
          </cell>
          <cell r="C234">
            <v>4000</v>
          </cell>
        </row>
        <row r="235">
          <cell r="A235">
            <v>2282</v>
          </cell>
          <cell r="B235" t="str">
            <v>SHARMA A M</v>
          </cell>
          <cell r="C235">
            <v>4000</v>
          </cell>
        </row>
        <row r="236">
          <cell r="A236">
            <v>2286</v>
          </cell>
          <cell r="B236" t="str">
            <v>SANTOSH KUMAR SHARMA</v>
          </cell>
          <cell r="C236">
            <v>4000</v>
          </cell>
        </row>
        <row r="237">
          <cell r="A237">
            <v>1386</v>
          </cell>
          <cell r="B237" t="str">
            <v>VALSARAJAN P</v>
          </cell>
          <cell r="C237">
            <v>4000</v>
          </cell>
        </row>
        <row r="238">
          <cell r="A238">
            <v>1855</v>
          </cell>
          <cell r="B238" t="str">
            <v>SATISH B</v>
          </cell>
          <cell r="C238">
            <v>4000</v>
          </cell>
        </row>
        <row r="239">
          <cell r="A239">
            <v>1899</v>
          </cell>
          <cell r="B239" t="str">
            <v>NANDANIA P N</v>
          </cell>
          <cell r="C239">
            <v>4000</v>
          </cell>
        </row>
        <row r="240">
          <cell r="A240">
            <v>1979</v>
          </cell>
          <cell r="B240" t="str">
            <v>JATTY S</v>
          </cell>
          <cell r="C240">
            <v>4000</v>
          </cell>
        </row>
        <row r="241">
          <cell r="A241">
            <v>2039</v>
          </cell>
          <cell r="B241" t="str">
            <v>LOBO F</v>
          </cell>
          <cell r="C241">
            <v>4000</v>
          </cell>
        </row>
        <row r="242">
          <cell r="A242">
            <v>2048</v>
          </cell>
          <cell r="B242" t="str">
            <v>PRABHU U K</v>
          </cell>
          <cell r="C242">
            <v>4000</v>
          </cell>
        </row>
        <row r="243">
          <cell r="A243">
            <v>2049</v>
          </cell>
          <cell r="B243" t="str">
            <v xml:space="preserve">NAGARAJA H S                      </v>
          </cell>
          <cell r="C243">
            <v>4000</v>
          </cell>
        </row>
        <row r="244">
          <cell r="A244">
            <v>2051</v>
          </cell>
          <cell r="B244" t="str">
            <v>GURUPRASADRAO H</v>
          </cell>
          <cell r="C244">
            <v>4000</v>
          </cell>
        </row>
        <row r="245">
          <cell r="A245">
            <v>2060</v>
          </cell>
          <cell r="B245" t="str">
            <v>SRINIVASAPRASANNA A R</v>
          </cell>
          <cell r="C245">
            <v>4000</v>
          </cell>
        </row>
        <row r="246">
          <cell r="A246">
            <v>2070</v>
          </cell>
          <cell r="B246" t="str">
            <v>MURALI G</v>
          </cell>
          <cell r="C246">
            <v>4000</v>
          </cell>
        </row>
        <row r="247">
          <cell r="A247">
            <v>2072</v>
          </cell>
          <cell r="B247" t="str">
            <v>ANANDA B</v>
          </cell>
          <cell r="C247">
            <v>4000</v>
          </cell>
        </row>
        <row r="248">
          <cell r="A248">
            <v>2091</v>
          </cell>
          <cell r="B248" t="str">
            <v>AITHAL S K</v>
          </cell>
          <cell r="C248">
            <v>4000</v>
          </cell>
        </row>
        <row r="249">
          <cell r="A249">
            <v>2111</v>
          </cell>
          <cell r="B249" t="str">
            <v>GANESH B</v>
          </cell>
          <cell r="C249">
            <v>4000</v>
          </cell>
        </row>
        <row r="250">
          <cell r="A250">
            <v>2121</v>
          </cell>
          <cell r="B250" t="str">
            <v>SRINIVAS P</v>
          </cell>
          <cell r="C250">
            <v>4000</v>
          </cell>
        </row>
        <row r="251">
          <cell r="A251">
            <v>2149</v>
          </cell>
          <cell r="B251" t="str">
            <v>BOBBY S</v>
          </cell>
          <cell r="C251">
            <v>4000</v>
          </cell>
        </row>
        <row r="252">
          <cell r="A252">
            <v>2151</v>
          </cell>
          <cell r="B252" t="str">
            <v>NAGARATHINAM A</v>
          </cell>
          <cell r="C252">
            <v>4000</v>
          </cell>
        </row>
        <row r="253">
          <cell r="A253">
            <v>2157</v>
          </cell>
          <cell r="B253" t="str">
            <v>NACHIPPAN L</v>
          </cell>
          <cell r="C253">
            <v>4000</v>
          </cell>
        </row>
        <row r="254">
          <cell r="A254">
            <v>2164</v>
          </cell>
          <cell r="B254" t="str">
            <v>ASHIMA S</v>
          </cell>
          <cell r="C254">
            <v>4000</v>
          </cell>
        </row>
        <row r="255">
          <cell r="A255">
            <v>2178</v>
          </cell>
          <cell r="B255" t="str">
            <v>BHAKARE A H</v>
          </cell>
          <cell r="C255">
            <v>4000</v>
          </cell>
        </row>
        <row r="256">
          <cell r="A256">
            <v>2187</v>
          </cell>
          <cell r="B256" t="str">
            <v>BHATTACHARYYA I</v>
          </cell>
          <cell r="C256">
            <v>4000</v>
          </cell>
        </row>
        <row r="257">
          <cell r="A257">
            <v>2188</v>
          </cell>
          <cell r="B257" t="str">
            <v>MUKHERJEE S</v>
          </cell>
          <cell r="C257">
            <v>4000</v>
          </cell>
        </row>
        <row r="258">
          <cell r="A258">
            <v>2213</v>
          </cell>
          <cell r="B258" t="str">
            <v>KIRAN B M</v>
          </cell>
          <cell r="C258">
            <v>4000</v>
          </cell>
        </row>
        <row r="259">
          <cell r="A259">
            <v>2218</v>
          </cell>
          <cell r="B259" t="str">
            <v>MUKHOPADHYAY D</v>
          </cell>
          <cell r="C259">
            <v>4000</v>
          </cell>
        </row>
        <row r="260">
          <cell r="A260">
            <v>2277</v>
          </cell>
          <cell r="B260" t="str">
            <v>MAWAL S J</v>
          </cell>
          <cell r="C260">
            <v>4000</v>
          </cell>
        </row>
        <row r="261">
          <cell r="A261">
            <v>2278</v>
          </cell>
          <cell r="B261" t="str">
            <v>SHARMA K J</v>
          </cell>
          <cell r="C261">
            <v>4000</v>
          </cell>
        </row>
        <row r="262">
          <cell r="A262">
            <v>2287</v>
          </cell>
          <cell r="B262" t="str">
            <v>SHEIKH MOHAMMAD</v>
          </cell>
          <cell r="C262">
            <v>4000</v>
          </cell>
        </row>
        <row r="263">
          <cell r="A263">
            <v>2298</v>
          </cell>
          <cell r="B263" t="str">
            <v>DUTTA JAYDEEP</v>
          </cell>
          <cell r="C263">
            <v>4000</v>
          </cell>
        </row>
        <row r="264">
          <cell r="A264">
            <v>2299</v>
          </cell>
          <cell r="B264" t="str">
            <v>GOSWAMI SUSHIL</v>
          </cell>
          <cell r="C264">
            <v>4000</v>
          </cell>
        </row>
        <row r="265">
          <cell r="A265">
            <v>2304</v>
          </cell>
          <cell r="B265" t="str">
            <v>JONPURI N K</v>
          </cell>
          <cell r="C265">
            <v>4000</v>
          </cell>
        </row>
        <row r="266">
          <cell r="A266">
            <v>2317</v>
          </cell>
          <cell r="B266" t="str">
            <v>R. SRINIVASAN</v>
          </cell>
          <cell r="C266">
            <v>4000</v>
          </cell>
        </row>
        <row r="267">
          <cell r="A267">
            <v>2345</v>
          </cell>
          <cell r="B267" t="str">
            <v>AGARWAL HIMANSHU</v>
          </cell>
          <cell r="C267">
            <v>4000</v>
          </cell>
        </row>
        <row r="268">
          <cell r="A268">
            <v>2374</v>
          </cell>
          <cell r="B268" t="str">
            <v>SONAWANE DILIP</v>
          </cell>
          <cell r="C268">
            <v>4000</v>
          </cell>
        </row>
        <row r="269">
          <cell r="A269">
            <v>2409</v>
          </cell>
          <cell r="B269" t="str">
            <v>S.P. RAJASHEKHAR</v>
          </cell>
          <cell r="C269">
            <v>4000</v>
          </cell>
        </row>
        <row r="270">
          <cell r="A270">
            <v>2420</v>
          </cell>
          <cell r="B270" t="str">
            <v>A K VERMA</v>
          </cell>
          <cell r="C270">
            <v>4000</v>
          </cell>
        </row>
        <row r="271">
          <cell r="A271">
            <v>2421</v>
          </cell>
          <cell r="B271" t="str">
            <v>LINGERI MANOJ</v>
          </cell>
          <cell r="C271">
            <v>4000</v>
          </cell>
        </row>
        <row r="272">
          <cell r="A272">
            <v>2426</v>
          </cell>
          <cell r="B272" t="str">
            <v>RAMAN GUPTA</v>
          </cell>
          <cell r="C272">
            <v>4000</v>
          </cell>
        </row>
        <row r="273">
          <cell r="A273">
            <v>5067</v>
          </cell>
          <cell r="B273" t="str">
            <v>SINHA A K</v>
          </cell>
          <cell r="C273">
            <v>4000</v>
          </cell>
        </row>
        <row r="274">
          <cell r="A274">
            <v>5070</v>
          </cell>
          <cell r="B274" t="str">
            <v>SINGH A K</v>
          </cell>
          <cell r="C274">
            <v>4000</v>
          </cell>
        </row>
        <row r="275">
          <cell r="A275">
            <v>5076</v>
          </cell>
          <cell r="B275" t="str">
            <v>SHARMA B K</v>
          </cell>
          <cell r="C275">
            <v>4000</v>
          </cell>
        </row>
        <row r="276">
          <cell r="A276">
            <v>1066</v>
          </cell>
          <cell r="B276" t="str">
            <v>BAJAJ R B</v>
          </cell>
          <cell r="C276">
            <v>6450</v>
          </cell>
        </row>
        <row r="277">
          <cell r="A277">
            <v>1149</v>
          </cell>
          <cell r="B277" t="str">
            <v>MAHAJAN A S</v>
          </cell>
          <cell r="C277">
            <v>5850</v>
          </cell>
        </row>
        <row r="278">
          <cell r="A278">
            <v>1185</v>
          </cell>
          <cell r="B278" t="str">
            <v>SAHASRABUDHE A D</v>
          </cell>
          <cell r="C278">
            <v>5450</v>
          </cell>
        </row>
        <row r="279">
          <cell r="A279">
            <v>1293</v>
          </cell>
          <cell r="B279" t="str">
            <v>KHOPKAR A C</v>
          </cell>
          <cell r="C279">
            <v>5150</v>
          </cell>
        </row>
        <row r="280">
          <cell r="A280">
            <v>1351</v>
          </cell>
          <cell r="B280" t="str">
            <v>DESHPANDE R G</v>
          </cell>
          <cell r="C280">
            <v>6000</v>
          </cell>
        </row>
        <row r="281">
          <cell r="A281">
            <v>1463</v>
          </cell>
          <cell r="B281" t="str">
            <v xml:space="preserve">BALASUBRAMANIAM V H     </v>
          </cell>
          <cell r="C281">
            <v>4800</v>
          </cell>
        </row>
        <row r="282">
          <cell r="A282">
            <v>1677</v>
          </cell>
          <cell r="B282" t="str">
            <v>SINHA S</v>
          </cell>
          <cell r="C282">
            <v>5950</v>
          </cell>
        </row>
        <row r="283">
          <cell r="A283">
            <v>1688</v>
          </cell>
          <cell r="B283" t="str">
            <v xml:space="preserve">BANDI S S                            </v>
          </cell>
          <cell r="C283">
            <v>5150</v>
          </cell>
        </row>
        <row r="284">
          <cell r="A284">
            <v>1732</v>
          </cell>
          <cell r="B284" t="str">
            <v>PARAB A T</v>
          </cell>
          <cell r="C284">
            <v>4650</v>
          </cell>
        </row>
        <row r="285">
          <cell r="A285">
            <v>1795</v>
          </cell>
          <cell r="B285" t="str">
            <v>DASGUPTA D</v>
          </cell>
          <cell r="C285">
            <v>6050</v>
          </cell>
        </row>
        <row r="286">
          <cell r="A286">
            <v>1910</v>
          </cell>
          <cell r="B286" t="str">
            <v xml:space="preserve">SANKHE K S                         </v>
          </cell>
          <cell r="C286">
            <v>5500</v>
          </cell>
        </row>
        <row r="287">
          <cell r="A287">
            <v>1982</v>
          </cell>
          <cell r="B287" t="str">
            <v xml:space="preserve">TODKAR S B                         </v>
          </cell>
          <cell r="C287">
            <v>5250</v>
          </cell>
        </row>
        <row r="288">
          <cell r="A288">
            <v>2012</v>
          </cell>
          <cell r="B288" t="str">
            <v>PRABHU S P</v>
          </cell>
          <cell r="C288">
            <v>4500</v>
          </cell>
        </row>
        <row r="289">
          <cell r="A289">
            <v>2015</v>
          </cell>
          <cell r="B289" t="str">
            <v>NAIK S S</v>
          </cell>
          <cell r="C289">
            <v>4750</v>
          </cell>
        </row>
        <row r="290">
          <cell r="A290">
            <v>2031</v>
          </cell>
          <cell r="B290" t="str">
            <v>DAS D N</v>
          </cell>
          <cell r="C290">
            <v>4950</v>
          </cell>
        </row>
        <row r="291">
          <cell r="A291">
            <v>2069</v>
          </cell>
          <cell r="B291" t="str">
            <v xml:space="preserve">BALASUBRAMANIAN N         </v>
          </cell>
          <cell r="C291">
            <v>5500</v>
          </cell>
        </row>
        <row r="292">
          <cell r="A292">
            <v>2104</v>
          </cell>
          <cell r="B292" t="str">
            <v>CHITGOPEKAR P P</v>
          </cell>
          <cell r="C292">
            <v>4900</v>
          </cell>
        </row>
        <row r="293">
          <cell r="A293">
            <v>2113</v>
          </cell>
          <cell r="B293" t="str">
            <v>JOSEPH M C</v>
          </cell>
          <cell r="C293">
            <v>5250</v>
          </cell>
        </row>
        <row r="294">
          <cell r="A294">
            <v>2120</v>
          </cell>
          <cell r="B294" t="str">
            <v>BEJOY C</v>
          </cell>
          <cell r="C294">
            <v>4499.6000000000004</v>
          </cell>
        </row>
        <row r="295">
          <cell r="A295">
            <v>2145</v>
          </cell>
          <cell r="B295" t="str">
            <v>TILVE R B</v>
          </cell>
          <cell r="C295">
            <v>4800</v>
          </cell>
        </row>
        <row r="296">
          <cell r="A296">
            <v>2172</v>
          </cell>
          <cell r="B296" t="str">
            <v>AGARWAL U</v>
          </cell>
          <cell r="C296">
            <v>4650</v>
          </cell>
        </row>
        <row r="297">
          <cell r="A297">
            <v>2186</v>
          </cell>
          <cell r="B297" t="str">
            <v>BENJAMIN Y N</v>
          </cell>
          <cell r="C297">
            <v>4800</v>
          </cell>
        </row>
        <row r="298">
          <cell r="A298">
            <v>2193</v>
          </cell>
          <cell r="B298" t="str">
            <v>KUMAR C A</v>
          </cell>
          <cell r="C298">
            <v>4550</v>
          </cell>
        </row>
        <row r="299">
          <cell r="A299">
            <v>2221</v>
          </cell>
          <cell r="B299" t="str">
            <v>BEHL R</v>
          </cell>
          <cell r="C299">
            <v>4650</v>
          </cell>
        </row>
        <row r="300">
          <cell r="A300">
            <v>2222</v>
          </cell>
          <cell r="B300" t="str">
            <v>SHIVARAM S</v>
          </cell>
          <cell r="C300">
            <v>5100</v>
          </cell>
        </row>
        <row r="301">
          <cell r="A301">
            <v>2228</v>
          </cell>
          <cell r="B301" t="str">
            <v>IYER M R</v>
          </cell>
          <cell r="C301">
            <v>4750</v>
          </cell>
        </row>
        <row r="302">
          <cell r="A302">
            <v>2242</v>
          </cell>
          <cell r="B302" t="str">
            <v>YADAV S</v>
          </cell>
          <cell r="C302">
            <v>4400</v>
          </cell>
        </row>
        <row r="303">
          <cell r="A303">
            <v>2251</v>
          </cell>
          <cell r="B303" t="str">
            <v>TRIVEDI S P</v>
          </cell>
          <cell r="C303">
            <v>4400</v>
          </cell>
        </row>
        <row r="304">
          <cell r="A304">
            <v>2255</v>
          </cell>
          <cell r="B304" t="str">
            <v>SULE S M</v>
          </cell>
          <cell r="C304">
            <v>4400</v>
          </cell>
        </row>
        <row r="305">
          <cell r="A305">
            <v>2256</v>
          </cell>
          <cell r="B305" t="str">
            <v>SRIRAM K</v>
          </cell>
          <cell r="C305">
            <v>5800</v>
          </cell>
        </row>
        <row r="306">
          <cell r="A306">
            <v>2257</v>
          </cell>
          <cell r="B306" t="str">
            <v>D'SILVA E</v>
          </cell>
          <cell r="C306">
            <v>4750</v>
          </cell>
        </row>
        <row r="307">
          <cell r="A307">
            <v>2273</v>
          </cell>
          <cell r="B307" t="str">
            <v>GHOTEKAR C V</v>
          </cell>
          <cell r="C307">
            <v>4550</v>
          </cell>
        </row>
        <row r="308">
          <cell r="A308">
            <v>2288</v>
          </cell>
          <cell r="B308" t="str">
            <v>BHAMGARA H D P</v>
          </cell>
          <cell r="C308">
            <v>6300</v>
          </cell>
        </row>
        <row r="309">
          <cell r="A309">
            <v>2359</v>
          </cell>
          <cell r="B309" t="str">
            <v>VARGHESE JOJI</v>
          </cell>
          <cell r="C309">
            <v>4400</v>
          </cell>
        </row>
        <row r="310">
          <cell r="A310">
            <v>2418</v>
          </cell>
          <cell r="B310" t="str">
            <v>D'SOUZA BETTY</v>
          </cell>
          <cell r="C310">
            <v>5000</v>
          </cell>
        </row>
        <row r="311">
          <cell r="A311">
            <v>2423</v>
          </cell>
          <cell r="B311" t="str">
            <v>UPADHYAY S P</v>
          </cell>
          <cell r="C311">
            <v>4050</v>
          </cell>
        </row>
        <row r="312">
          <cell r="A312">
            <v>1971</v>
          </cell>
          <cell r="B312" t="str">
            <v>VINOD K U</v>
          </cell>
          <cell r="C312">
            <v>4650</v>
          </cell>
        </row>
        <row r="313">
          <cell r="A313">
            <v>2006</v>
          </cell>
          <cell r="B313" t="str">
            <v>ASHOK S</v>
          </cell>
          <cell r="C313">
            <v>4600</v>
          </cell>
        </row>
        <row r="314">
          <cell r="A314">
            <v>2168</v>
          </cell>
          <cell r="B314" t="str">
            <v>SARAVANAN M S</v>
          </cell>
          <cell r="C314">
            <v>4850</v>
          </cell>
        </row>
        <row r="315">
          <cell r="A315">
            <v>2312</v>
          </cell>
          <cell r="B315" t="str">
            <v>M. RAVIKUMAR</v>
          </cell>
          <cell r="C315">
            <v>4050</v>
          </cell>
        </row>
        <row r="316">
          <cell r="A316">
            <v>2367</v>
          </cell>
          <cell r="B316" t="str">
            <v>J. UNNIKRISHNAN</v>
          </cell>
          <cell r="C316">
            <v>4000</v>
          </cell>
        </row>
        <row r="317">
          <cell r="A317">
            <v>1440</v>
          </cell>
          <cell r="B317" t="str">
            <v>GOPALAKRISHNAN P A</v>
          </cell>
          <cell r="C317">
            <v>4600</v>
          </cell>
        </row>
        <row r="318">
          <cell r="A318">
            <v>2084</v>
          </cell>
          <cell r="B318" t="str">
            <v>ROY B</v>
          </cell>
          <cell r="C318">
            <v>4650</v>
          </cell>
        </row>
        <row r="319">
          <cell r="A319">
            <v>2160</v>
          </cell>
          <cell r="B319" t="str">
            <v>GUPTA A K</v>
          </cell>
          <cell r="C319">
            <v>0</v>
          </cell>
        </row>
        <row r="320">
          <cell r="A320">
            <v>2313</v>
          </cell>
          <cell r="B320" t="str">
            <v>BHUPENDRA SHARMA</v>
          </cell>
          <cell r="C320">
            <v>4000</v>
          </cell>
        </row>
        <row r="321">
          <cell r="A321">
            <v>2339</v>
          </cell>
          <cell r="B321" t="str">
            <v>GAURAV KATYAL</v>
          </cell>
          <cell r="C321">
            <v>4000</v>
          </cell>
        </row>
        <row r="322">
          <cell r="A322">
            <v>1926</v>
          </cell>
          <cell r="B322" t="str">
            <v>GHATAK B</v>
          </cell>
          <cell r="C322">
            <v>4950</v>
          </cell>
        </row>
        <row r="323">
          <cell r="A323">
            <v>2216</v>
          </cell>
          <cell r="B323" t="str">
            <v>CHATTOPADHYAY R</v>
          </cell>
          <cell r="C323">
            <v>4900</v>
          </cell>
        </row>
        <row r="324">
          <cell r="A324">
            <v>2245</v>
          </cell>
          <cell r="B324" t="str">
            <v>PANDEY P</v>
          </cell>
          <cell r="C324">
            <v>4400</v>
          </cell>
        </row>
        <row r="325">
          <cell r="A325">
            <v>2292</v>
          </cell>
          <cell r="B325" t="str">
            <v>KALIDAS DATTA</v>
          </cell>
          <cell r="C325">
            <v>0</v>
          </cell>
        </row>
        <row r="326">
          <cell r="A326">
            <v>2300</v>
          </cell>
          <cell r="B326" t="str">
            <v>GHOSH MATI LAL</v>
          </cell>
          <cell r="C326">
            <v>5700</v>
          </cell>
        </row>
        <row r="327">
          <cell r="A327">
            <v>1104</v>
          </cell>
          <cell r="B327" t="str">
            <v>NAYAK S A</v>
          </cell>
          <cell r="C327">
            <v>6149.85</v>
          </cell>
        </row>
        <row r="328">
          <cell r="A328">
            <v>1442</v>
          </cell>
          <cell r="B328" t="str">
            <v>GUNASEKHARAN S</v>
          </cell>
          <cell r="C328">
            <v>5100</v>
          </cell>
        </row>
        <row r="329">
          <cell r="A329">
            <v>1501</v>
          </cell>
          <cell r="B329" t="str">
            <v>MANOHARAN G P</v>
          </cell>
          <cell r="C329">
            <v>5000</v>
          </cell>
        </row>
        <row r="330">
          <cell r="A330">
            <v>1566</v>
          </cell>
          <cell r="B330" t="str">
            <v>GAJAB D J</v>
          </cell>
          <cell r="C330">
            <v>4600</v>
          </cell>
        </row>
        <row r="331">
          <cell r="A331">
            <v>1622</v>
          </cell>
          <cell r="B331" t="str">
            <v>KALATHIA B T</v>
          </cell>
          <cell r="C331">
            <v>4000</v>
          </cell>
        </row>
        <row r="332">
          <cell r="A332">
            <v>1623</v>
          </cell>
          <cell r="B332" t="str">
            <v>CHITNIS A</v>
          </cell>
          <cell r="C332">
            <v>4350</v>
          </cell>
        </row>
        <row r="333">
          <cell r="A333">
            <v>1631</v>
          </cell>
          <cell r="B333" t="str">
            <v>BADGUJAR P S</v>
          </cell>
          <cell r="C333">
            <v>4000</v>
          </cell>
        </row>
        <row r="334">
          <cell r="A334">
            <v>1649</v>
          </cell>
          <cell r="B334" t="str">
            <v>RAWAT H S</v>
          </cell>
          <cell r="C334">
            <v>4550</v>
          </cell>
        </row>
        <row r="335">
          <cell r="A335">
            <v>1698</v>
          </cell>
          <cell r="B335" t="str">
            <v>DESHMUKH A R</v>
          </cell>
          <cell r="C335">
            <v>5150</v>
          </cell>
        </row>
        <row r="336">
          <cell r="A336">
            <v>1789</v>
          </cell>
          <cell r="B336" t="str">
            <v>BOGLE V B</v>
          </cell>
          <cell r="C336">
            <v>4000</v>
          </cell>
        </row>
        <row r="337">
          <cell r="A337">
            <v>1893</v>
          </cell>
          <cell r="B337" t="str">
            <v>JYOTHISH M E</v>
          </cell>
          <cell r="C337">
            <v>4550</v>
          </cell>
        </row>
        <row r="338">
          <cell r="A338">
            <v>1900</v>
          </cell>
          <cell r="B338" t="str">
            <v>RAO H R</v>
          </cell>
          <cell r="C338">
            <v>4850</v>
          </cell>
        </row>
        <row r="339">
          <cell r="A339">
            <v>1905</v>
          </cell>
          <cell r="B339" t="str">
            <v>REDDY C R</v>
          </cell>
          <cell r="C339">
            <v>4000</v>
          </cell>
        </row>
        <row r="340">
          <cell r="A340">
            <v>1914</v>
          </cell>
          <cell r="B340" t="str">
            <v>GUPTA A K</v>
          </cell>
          <cell r="C340">
            <v>4700</v>
          </cell>
        </row>
        <row r="341">
          <cell r="A341">
            <v>1949</v>
          </cell>
          <cell r="B341" t="str">
            <v>RAMAN S K</v>
          </cell>
          <cell r="C341">
            <v>4650</v>
          </cell>
        </row>
        <row r="342">
          <cell r="A342">
            <v>1954</v>
          </cell>
          <cell r="B342" t="str">
            <v>MURALI V</v>
          </cell>
          <cell r="C342">
            <v>5100</v>
          </cell>
        </row>
        <row r="343">
          <cell r="A343">
            <v>1984</v>
          </cell>
          <cell r="B343" t="str">
            <v xml:space="preserve">HEGDE S                              </v>
          </cell>
          <cell r="C343">
            <v>5200</v>
          </cell>
        </row>
        <row r="344">
          <cell r="A344">
            <v>2010</v>
          </cell>
          <cell r="B344" t="str">
            <v>KADLASKAR S G</v>
          </cell>
          <cell r="C344">
            <v>4600</v>
          </cell>
        </row>
        <row r="345">
          <cell r="A345">
            <v>2035</v>
          </cell>
          <cell r="B345" t="str">
            <v xml:space="preserve">MOHAN J S                           </v>
          </cell>
          <cell r="C345">
            <v>4400</v>
          </cell>
        </row>
        <row r="346">
          <cell r="A346">
            <v>2045</v>
          </cell>
          <cell r="B346" t="str">
            <v xml:space="preserve">PHANISHANKAR K                </v>
          </cell>
          <cell r="C346">
            <v>5100</v>
          </cell>
        </row>
        <row r="347">
          <cell r="A347">
            <v>2081</v>
          </cell>
          <cell r="B347" t="str">
            <v>VARGHESE J</v>
          </cell>
          <cell r="C347">
            <v>4550</v>
          </cell>
        </row>
        <row r="348">
          <cell r="A348">
            <v>2094</v>
          </cell>
          <cell r="B348" t="str">
            <v>NAWATHE V V</v>
          </cell>
          <cell r="C348">
            <v>4850</v>
          </cell>
        </row>
        <row r="349">
          <cell r="A349">
            <v>2098</v>
          </cell>
          <cell r="B349" t="str">
            <v>SHARMA S</v>
          </cell>
          <cell r="C349">
            <v>0</v>
          </cell>
        </row>
        <row r="350">
          <cell r="A350">
            <v>2108</v>
          </cell>
          <cell r="B350" t="str">
            <v>GIDO CHACKO K</v>
          </cell>
          <cell r="C350">
            <v>4600</v>
          </cell>
        </row>
        <row r="351">
          <cell r="A351">
            <v>2119</v>
          </cell>
          <cell r="B351" t="str">
            <v>ANAND V S</v>
          </cell>
          <cell r="C351">
            <v>4500</v>
          </cell>
        </row>
        <row r="352">
          <cell r="A352">
            <v>2122</v>
          </cell>
          <cell r="B352" t="str">
            <v xml:space="preserve">VASANTHKUMAR T T </v>
          </cell>
          <cell r="C352">
            <v>4600</v>
          </cell>
        </row>
        <row r="353">
          <cell r="A353">
            <v>2126</v>
          </cell>
          <cell r="B353" t="str">
            <v>PILLAI S S</v>
          </cell>
          <cell r="C353">
            <v>4950</v>
          </cell>
        </row>
        <row r="354">
          <cell r="A354">
            <v>2135</v>
          </cell>
          <cell r="B354" t="str">
            <v>SETHI Y K</v>
          </cell>
          <cell r="C354">
            <v>4650</v>
          </cell>
        </row>
        <row r="355">
          <cell r="A355">
            <v>2138</v>
          </cell>
          <cell r="B355" t="str">
            <v>SHAH P S</v>
          </cell>
          <cell r="C355">
            <v>4650</v>
          </cell>
        </row>
        <row r="356">
          <cell r="A356">
            <v>2140</v>
          </cell>
          <cell r="B356" t="str">
            <v>RENGASAMY V</v>
          </cell>
          <cell r="C356">
            <v>4950</v>
          </cell>
        </row>
        <row r="357">
          <cell r="A357">
            <v>2201</v>
          </cell>
          <cell r="B357" t="str">
            <v>DHAWAN P K</v>
          </cell>
          <cell r="C357">
            <v>4550</v>
          </cell>
        </row>
        <row r="358">
          <cell r="A358">
            <v>2207</v>
          </cell>
          <cell r="B358" t="str">
            <v>KAUSHAL N</v>
          </cell>
          <cell r="C358">
            <v>4550</v>
          </cell>
        </row>
        <row r="359">
          <cell r="A359">
            <v>2231</v>
          </cell>
          <cell r="B359" t="str">
            <v>MHALGI J J</v>
          </cell>
          <cell r="C359">
            <v>4400</v>
          </cell>
        </row>
        <row r="360">
          <cell r="A360">
            <v>2246</v>
          </cell>
          <cell r="B360" t="str">
            <v>DUBEY T</v>
          </cell>
          <cell r="C360">
            <v>4000</v>
          </cell>
        </row>
        <row r="361">
          <cell r="A361">
            <v>2291</v>
          </cell>
          <cell r="B361" t="str">
            <v>S.C. DHAR</v>
          </cell>
          <cell r="C361">
            <v>4700</v>
          </cell>
        </row>
        <row r="362">
          <cell r="A362">
            <v>2295</v>
          </cell>
          <cell r="B362" t="str">
            <v>AJIT KUMAR</v>
          </cell>
          <cell r="C362">
            <v>4500</v>
          </cell>
        </row>
        <row r="363">
          <cell r="A363">
            <v>2305</v>
          </cell>
          <cell r="B363" t="str">
            <v>T. SHRIRAM BHUPAL REDDY</v>
          </cell>
          <cell r="C363">
            <v>4200</v>
          </cell>
        </row>
        <row r="364">
          <cell r="A364">
            <v>2307</v>
          </cell>
          <cell r="B364" t="str">
            <v>KHEMA B PATEL</v>
          </cell>
          <cell r="C364">
            <v>4900</v>
          </cell>
        </row>
        <row r="365">
          <cell r="A365">
            <v>2310</v>
          </cell>
          <cell r="B365" t="str">
            <v>Y. SIVA SANKARA REDDY</v>
          </cell>
          <cell r="C365">
            <v>4000</v>
          </cell>
        </row>
        <row r="366">
          <cell r="A366">
            <v>2311</v>
          </cell>
          <cell r="B366" t="str">
            <v>A.M. BHALODIA</v>
          </cell>
          <cell r="C366">
            <v>4200</v>
          </cell>
        </row>
        <row r="367">
          <cell r="A367">
            <v>2338</v>
          </cell>
          <cell r="B367" t="str">
            <v>MUKESH NARAYAN</v>
          </cell>
          <cell r="C367">
            <v>4050</v>
          </cell>
        </row>
        <row r="368">
          <cell r="A368">
            <v>2362</v>
          </cell>
          <cell r="B368" t="str">
            <v>VERMA SARVESH S</v>
          </cell>
          <cell r="C368">
            <v>6900</v>
          </cell>
        </row>
        <row r="369">
          <cell r="A369">
            <v>2366</v>
          </cell>
          <cell r="B369" t="str">
            <v>MIRANDA JAMES J</v>
          </cell>
        </row>
        <row r="370">
          <cell r="A370">
            <v>2369</v>
          </cell>
          <cell r="B370" t="str">
            <v>PRADEEP MENON</v>
          </cell>
        </row>
        <row r="371">
          <cell r="A371">
            <v>2390</v>
          </cell>
          <cell r="B371" t="str">
            <v>CHAVA RAMESH BABU</v>
          </cell>
          <cell r="C371">
            <v>4000</v>
          </cell>
        </row>
        <row r="372">
          <cell r="A372">
            <v>2391</v>
          </cell>
          <cell r="B372" t="str">
            <v>P.PRASAD</v>
          </cell>
          <cell r="C372">
            <v>4000</v>
          </cell>
        </row>
        <row r="373">
          <cell r="A373">
            <v>2392</v>
          </cell>
          <cell r="B373" t="str">
            <v>MADHUKAR CHUGH</v>
          </cell>
          <cell r="C373">
            <v>4000</v>
          </cell>
        </row>
        <row r="374">
          <cell r="A374">
            <v>2394</v>
          </cell>
          <cell r="B374" t="str">
            <v>DHAMNASKAR SHEKHAR</v>
          </cell>
          <cell r="C374">
            <v>6150</v>
          </cell>
        </row>
        <row r="375">
          <cell r="A375">
            <v>1152</v>
          </cell>
          <cell r="B375" t="str">
            <v>SARKAR J A</v>
          </cell>
          <cell r="C375">
            <v>8000</v>
          </cell>
        </row>
        <row r="376">
          <cell r="A376">
            <v>1179</v>
          </cell>
          <cell r="B376" t="str">
            <v>UNNI T S</v>
          </cell>
          <cell r="C376">
            <v>8150</v>
          </cell>
        </row>
        <row r="377">
          <cell r="A377">
            <v>1208</v>
          </cell>
          <cell r="B377" t="str">
            <v>NARAYAN P P</v>
          </cell>
          <cell r="C377">
            <v>7450</v>
          </cell>
        </row>
        <row r="378">
          <cell r="A378">
            <v>1220</v>
          </cell>
          <cell r="B378" t="str">
            <v>DAMLE V G</v>
          </cell>
          <cell r="C378">
            <v>7800</v>
          </cell>
        </row>
        <row r="379">
          <cell r="A379">
            <v>1322</v>
          </cell>
          <cell r="B379" t="str">
            <v>SAWANT P G</v>
          </cell>
          <cell r="C379">
            <v>6500</v>
          </cell>
        </row>
        <row r="380">
          <cell r="A380">
            <v>1388</v>
          </cell>
          <cell r="B380" t="str">
            <v>ARAVINDAKSHAN C N</v>
          </cell>
          <cell r="C380">
            <v>6950</v>
          </cell>
        </row>
        <row r="381">
          <cell r="A381">
            <v>1414</v>
          </cell>
          <cell r="B381" t="str">
            <v>SABLE R S</v>
          </cell>
          <cell r="C381">
            <v>7400</v>
          </cell>
        </row>
        <row r="382">
          <cell r="A382">
            <v>1453</v>
          </cell>
          <cell r="B382" t="str">
            <v>BHATTACHARYA P</v>
          </cell>
          <cell r="C382">
            <v>6850</v>
          </cell>
        </row>
        <row r="383">
          <cell r="A383">
            <v>1459</v>
          </cell>
          <cell r="B383" t="str">
            <v>GOKHALE A R</v>
          </cell>
          <cell r="C383">
            <v>7650</v>
          </cell>
        </row>
        <row r="384">
          <cell r="A384">
            <v>1481</v>
          </cell>
          <cell r="B384" t="str">
            <v>MAHATO K K</v>
          </cell>
          <cell r="C384">
            <v>7350</v>
          </cell>
        </row>
        <row r="385">
          <cell r="A385">
            <v>1640</v>
          </cell>
          <cell r="B385" t="str">
            <v>KUMAR S</v>
          </cell>
          <cell r="C385">
            <v>0</v>
          </cell>
        </row>
        <row r="386">
          <cell r="A386">
            <v>1645</v>
          </cell>
          <cell r="B386" t="str">
            <v>VITHALDAS P P</v>
          </cell>
          <cell r="C386">
            <v>6850</v>
          </cell>
        </row>
        <row r="387">
          <cell r="A387">
            <v>1721</v>
          </cell>
          <cell r="B387" t="str">
            <v>PATIL P D</v>
          </cell>
          <cell r="C387">
            <v>7000</v>
          </cell>
        </row>
        <row r="388">
          <cell r="A388">
            <v>1734</v>
          </cell>
          <cell r="B388" t="str">
            <v>SATHE H A</v>
          </cell>
          <cell r="C388">
            <v>7000</v>
          </cell>
        </row>
        <row r="389">
          <cell r="A389">
            <v>1769</v>
          </cell>
          <cell r="B389" t="str">
            <v>BANE Y D</v>
          </cell>
          <cell r="C389">
            <v>0</v>
          </cell>
        </row>
        <row r="390">
          <cell r="A390">
            <v>1791</v>
          </cell>
          <cell r="B390" t="str">
            <v>LALWANI R M</v>
          </cell>
          <cell r="C390">
            <v>7550</v>
          </cell>
        </row>
        <row r="391">
          <cell r="A391">
            <v>1829</v>
          </cell>
          <cell r="B391" t="str">
            <v>GOLAM M K</v>
          </cell>
          <cell r="C391">
            <v>6300</v>
          </cell>
        </row>
        <row r="392">
          <cell r="A392">
            <v>1853</v>
          </cell>
          <cell r="B392" t="str">
            <v>BHATTACHARJEE B</v>
          </cell>
          <cell r="C392">
            <v>0</v>
          </cell>
        </row>
        <row r="393">
          <cell r="A393">
            <v>1946</v>
          </cell>
          <cell r="B393" t="str">
            <v>PANDIT U W</v>
          </cell>
          <cell r="C393">
            <v>7200</v>
          </cell>
        </row>
        <row r="394">
          <cell r="A394">
            <v>1992</v>
          </cell>
          <cell r="B394" t="str">
            <v>BAPAT V</v>
          </cell>
          <cell r="C394">
            <v>6150</v>
          </cell>
        </row>
        <row r="395">
          <cell r="A395">
            <v>1998</v>
          </cell>
          <cell r="B395" t="str">
            <v>JAGTAP V N</v>
          </cell>
          <cell r="C395">
            <v>6300</v>
          </cell>
        </row>
        <row r="396">
          <cell r="A396">
            <v>1999</v>
          </cell>
          <cell r="B396" t="str">
            <v>RAJA S V V</v>
          </cell>
          <cell r="C396">
            <v>6800</v>
          </cell>
        </row>
        <row r="397">
          <cell r="A397">
            <v>2024</v>
          </cell>
          <cell r="B397" t="str">
            <v>ARAS P S</v>
          </cell>
          <cell r="C397">
            <v>7150</v>
          </cell>
        </row>
        <row r="398">
          <cell r="A398">
            <v>2028</v>
          </cell>
          <cell r="B398" t="str">
            <v>THOMBRE P Y</v>
          </cell>
          <cell r="C398">
            <v>6456</v>
          </cell>
        </row>
        <row r="399">
          <cell r="A399">
            <v>2044</v>
          </cell>
          <cell r="B399" t="str">
            <v xml:space="preserve">BAAL N Y                             </v>
          </cell>
          <cell r="C399">
            <v>6200</v>
          </cell>
        </row>
        <row r="400">
          <cell r="A400">
            <v>2052</v>
          </cell>
          <cell r="B400" t="str">
            <v>RAO S V</v>
          </cell>
          <cell r="C400">
            <v>6850</v>
          </cell>
        </row>
        <row r="401">
          <cell r="A401">
            <v>2075</v>
          </cell>
          <cell r="B401" t="str">
            <v>JOSHI M P</v>
          </cell>
          <cell r="C401">
            <v>6300</v>
          </cell>
        </row>
        <row r="402">
          <cell r="A402">
            <v>2077</v>
          </cell>
          <cell r="B402" t="str">
            <v>RAMKUMAR D</v>
          </cell>
        </row>
        <row r="403">
          <cell r="A403">
            <v>2079</v>
          </cell>
          <cell r="B403" t="str">
            <v>SAREEN R</v>
          </cell>
          <cell r="C403">
            <v>6300</v>
          </cell>
        </row>
        <row r="404">
          <cell r="A404">
            <v>2153</v>
          </cell>
          <cell r="B404" t="str">
            <v>SOALI K V</v>
          </cell>
          <cell r="C404">
            <v>8300</v>
          </cell>
        </row>
        <row r="405">
          <cell r="A405">
            <v>2194</v>
          </cell>
          <cell r="B405" t="str">
            <v>DHAMDHERE S</v>
          </cell>
          <cell r="C405">
            <v>6400</v>
          </cell>
        </row>
        <row r="406">
          <cell r="A406">
            <v>2211</v>
          </cell>
          <cell r="B406" t="str">
            <v>DATTA S K</v>
          </cell>
          <cell r="C406">
            <v>6900</v>
          </cell>
        </row>
        <row r="407">
          <cell r="A407">
            <v>2229</v>
          </cell>
          <cell r="B407" t="str">
            <v>SHUKLA C</v>
          </cell>
          <cell r="C407">
            <v>0</v>
          </cell>
        </row>
        <row r="408">
          <cell r="A408">
            <v>2258</v>
          </cell>
          <cell r="B408" t="str">
            <v>SAWANT R S</v>
          </cell>
          <cell r="C408">
            <v>6300</v>
          </cell>
        </row>
        <row r="409">
          <cell r="A409">
            <v>2268</v>
          </cell>
          <cell r="B409" t="str">
            <v>PURI SANDEEP</v>
          </cell>
          <cell r="C409">
            <v>7000</v>
          </cell>
        </row>
        <row r="410">
          <cell r="A410">
            <v>2293</v>
          </cell>
          <cell r="B410" t="str">
            <v>SRINIVAS SRIPADA</v>
          </cell>
          <cell r="C410">
            <v>0</v>
          </cell>
        </row>
        <row r="411">
          <cell r="A411">
            <v>2297</v>
          </cell>
          <cell r="B411" t="str">
            <v>G.K. SINGH</v>
          </cell>
          <cell r="C411">
            <v>0</v>
          </cell>
        </row>
        <row r="412">
          <cell r="A412">
            <v>2331</v>
          </cell>
          <cell r="B412" t="str">
            <v>RAJENDRA VELAGALA</v>
          </cell>
          <cell r="C412">
            <v>0</v>
          </cell>
        </row>
        <row r="413">
          <cell r="A413">
            <v>2419</v>
          </cell>
          <cell r="B413" t="str">
            <v>MITTAL SUSHEEL</v>
          </cell>
          <cell r="C413">
            <v>7700</v>
          </cell>
        </row>
        <row r="414">
          <cell r="A414">
            <v>1873</v>
          </cell>
          <cell r="B414" t="str">
            <v>MAITRA S N</v>
          </cell>
          <cell r="C414">
            <v>7000</v>
          </cell>
        </row>
        <row r="415">
          <cell r="A415">
            <v>1932</v>
          </cell>
          <cell r="B415" t="str">
            <v>SIBI G</v>
          </cell>
          <cell r="C415">
            <v>6750</v>
          </cell>
        </row>
        <row r="416">
          <cell r="A416">
            <v>2022</v>
          </cell>
          <cell r="B416" t="str">
            <v>RAMESH G S</v>
          </cell>
          <cell r="C416">
            <v>6900</v>
          </cell>
        </row>
        <row r="417">
          <cell r="A417">
            <v>1887</v>
          </cell>
          <cell r="B417" t="str">
            <v>KHASNAVIS M</v>
          </cell>
          <cell r="C417">
            <v>0</v>
          </cell>
        </row>
        <row r="418">
          <cell r="A418">
            <v>2041</v>
          </cell>
          <cell r="B418" t="str">
            <v>PAL S N</v>
          </cell>
          <cell r="C418">
            <v>7400</v>
          </cell>
        </row>
        <row r="419">
          <cell r="A419">
            <v>2136</v>
          </cell>
          <cell r="B419" t="str">
            <v xml:space="preserve">ANAND R K                            </v>
          </cell>
          <cell r="C419">
            <v>7350</v>
          </cell>
        </row>
        <row r="420">
          <cell r="A420">
            <v>2294</v>
          </cell>
          <cell r="B420" t="str">
            <v>N.B. REDDY</v>
          </cell>
        </row>
        <row r="421">
          <cell r="A421">
            <v>1647</v>
          </cell>
          <cell r="B421" t="str">
            <v>BHATTACHARJEE S</v>
          </cell>
          <cell r="C421">
            <v>7050</v>
          </cell>
        </row>
        <row r="422">
          <cell r="A422">
            <v>2351</v>
          </cell>
          <cell r="B422" t="str">
            <v>BIJIT SARMAH</v>
          </cell>
        </row>
        <row r="423">
          <cell r="A423">
            <v>1290</v>
          </cell>
          <cell r="B423" t="str">
            <v>KULKARNI P A</v>
          </cell>
          <cell r="C423">
            <v>6550</v>
          </cell>
        </row>
        <row r="424">
          <cell r="A424">
            <v>1331</v>
          </cell>
          <cell r="B424" t="str">
            <v>BALACHANDRAN   S</v>
          </cell>
          <cell r="C424">
            <v>7250</v>
          </cell>
        </row>
        <row r="425">
          <cell r="A425">
            <v>1589</v>
          </cell>
          <cell r="B425" t="str">
            <v xml:space="preserve">MUKHERJEE B                     </v>
          </cell>
          <cell r="C425">
            <v>6600</v>
          </cell>
        </row>
        <row r="426">
          <cell r="A426">
            <v>1713</v>
          </cell>
          <cell r="B426" t="str">
            <v>RAO B</v>
          </cell>
          <cell r="C426">
            <v>7100</v>
          </cell>
        </row>
        <row r="427">
          <cell r="A427">
            <v>1808</v>
          </cell>
          <cell r="B427" t="str">
            <v xml:space="preserve">DEY K                                  </v>
          </cell>
          <cell r="C427">
            <v>7000</v>
          </cell>
        </row>
        <row r="428">
          <cell r="A428">
            <v>1934</v>
          </cell>
          <cell r="B428" t="str">
            <v>RAJASEKARAN P</v>
          </cell>
          <cell r="C428">
            <v>6850</v>
          </cell>
        </row>
        <row r="429">
          <cell r="A429">
            <v>1988</v>
          </cell>
          <cell r="B429" t="str">
            <v xml:space="preserve">DASGUPTA S                       </v>
          </cell>
          <cell r="C429">
            <v>6750</v>
          </cell>
        </row>
        <row r="430">
          <cell r="A430">
            <v>2021</v>
          </cell>
          <cell r="B430" t="str">
            <v>KUMAR K P</v>
          </cell>
          <cell r="C430">
            <v>7400</v>
          </cell>
        </row>
        <row r="431">
          <cell r="A431">
            <v>2240</v>
          </cell>
          <cell r="B431" t="str">
            <v>SRINIVASULU P T</v>
          </cell>
          <cell r="C431">
            <v>6850</v>
          </cell>
        </row>
        <row r="432">
          <cell r="A432">
            <v>2301</v>
          </cell>
          <cell r="B432" t="str">
            <v>SAURIN H. SHAH</v>
          </cell>
          <cell r="C432">
            <v>0</v>
          </cell>
        </row>
        <row r="433">
          <cell r="A433">
            <v>2303</v>
          </cell>
          <cell r="B433" t="str">
            <v>G. SAMBAMURTHY</v>
          </cell>
          <cell r="C433">
            <v>7050</v>
          </cell>
        </row>
        <row r="434">
          <cell r="A434">
            <v>2334</v>
          </cell>
          <cell r="B434" t="str">
            <v>CHOUDHARY VIBHA</v>
          </cell>
        </row>
        <row r="435">
          <cell r="A435">
            <v>2346</v>
          </cell>
          <cell r="B435" t="str">
            <v>TEKADE NITIN B</v>
          </cell>
        </row>
        <row r="436">
          <cell r="A436">
            <v>2361</v>
          </cell>
          <cell r="B436" t="str">
            <v>R.K. GULKOTWAR</v>
          </cell>
        </row>
        <row r="437">
          <cell r="A437">
            <v>1187</v>
          </cell>
          <cell r="B437" t="str">
            <v>CHAUDHARI P R</v>
          </cell>
          <cell r="C437">
            <v>12150</v>
          </cell>
        </row>
        <row r="438">
          <cell r="A438">
            <v>1299</v>
          </cell>
          <cell r="B438" t="str">
            <v>KHARADE B S</v>
          </cell>
          <cell r="C438">
            <v>11100</v>
          </cell>
        </row>
        <row r="439">
          <cell r="A439">
            <v>1317</v>
          </cell>
          <cell r="B439" t="str">
            <v>PADMANABHAN B P</v>
          </cell>
          <cell r="C439">
            <v>10600</v>
          </cell>
        </row>
        <row r="440">
          <cell r="A440">
            <v>1335</v>
          </cell>
          <cell r="B440" t="str">
            <v>RAO K V</v>
          </cell>
          <cell r="C440">
            <v>10750</v>
          </cell>
        </row>
        <row r="441">
          <cell r="A441">
            <v>1429</v>
          </cell>
          <cell r="B441" t="str">
            <v>VENKAT RAMAN K</v>
          </cell>
          <cell r="C441">
            <v>9800</v>
          </cell>
        </row>
        <row r="442">
          <cell r="A442">
            <v>1469</v>
          </cell>
          <cell r="B442" t="str">
            <v>THUSE D R</v>
          </cell>
          <cell r="C442">
            <v>10800</v>
          </cell>
        </row>
        <row r="443">
          <cell r="A443">
            <v>1486</v>
          </cell>
          <cell r="B443" t="str">
            <v>KULKARNI P K</v>
          </cell>
          <cell r="C443">
            <v>10800</v>
          </cell>
        </row>
        <row r="444">
          <cell r="A444">
            <v>1533</v>
          </cell>
          <cell r="B444" t="str">
            <v>NADGOUDA S A</v>
          </cell>
          <cell r="C444">
            <v>11700</v>
          </cell>
        </row>
        <row r="445">
          <cell r="A445">
            <v>1556</v>
          </cell>
          <cell r="B445" t="str">
            <v>SHIRVAIKAR A M</v>
          </cell>
          <cell r="C445">
            <v>11750</v>
          </cell>
        </row>
        <row r="446">
          <cell r="A446">
            <v>1557</v>
          </cell>
          <cell r="B446" t="str">
            <v>MUKHERJEE T</v>
          </cell>
          <cell r="C446">
            <v>10400</v>
          </cell>
        </row>
        <row r="447">
          <cell r="A447">
            <v>1587</v>
          </cell>
          <cell r="B447" t="str">
            <v>PRABHU A M</v>
          </cell>
          <cell r="C447">
            <v>9700</v>
          </cell>
        </row>
        <row r="448">
          <cell r="A448">
            <v>1597</v>
          </cell>
          <cell r="B448" t="str">
            <v>FAKIH S M</v>
          </cell>
          <cell r="C448">
            <v>10950</v>
          </cell>
        </row>
        <row r="449">
          <cell r="A449">
            <v>1660</v>
          </cell>
          <cell r="B449" t="str">
            <v>CHOPRA R B</v>
          </cell>
          <cell r="C449">
            <v>10850</v>
          </cell>
        </row>
        <row r="450">
          <cell r="A450">
            <v>1678</v>
          </cell>
          <cell r="B450" t="str">
            <v>DESHPANDE C V</v>
          </cell>
          <cell r="C450">
            <v>10350</v>
          </cell>
        </row>
        <row r="451">
          <cell r="A451">
            <v>1719</v>
          </cell>
          <cell r="B451" t="str">
            <v>MALLAPUR R G</v>
          </cell>
          <cell r="C451">
            <v>10900</v>
          </cell>
        </row>
        <row r="452">
          <cell r="A452">
            <v>1737</v>
          </cell>
          <cell r="B452" t="str">
            <v>BANERJEE G</v>
          </cell>
          <cell r="C452">
            <v>9100</v>
          </cell>
        </row>
        <row r="453">
          <cell r="A453">
            <v>1750</v>
          </cell>
          <cell r="B453" t="str">
            <v>RAO S S</v>
          </cell>
          <cell r="C453">
            <v>9300</v>
          </cell>
        </row>
        <row r="454">
          <cell r="A454">
            <v>1961</v>
          </cell>
          <cell r="B454" t="str">
            <v>MANDHARE S L</v>
          </cell>
          <cell r="C454">
            <v>9950</v>
          </cell>
        </row>
        <row r="455">
          <cell r="A455">
            <v>1977</v>
          </cell>
          <cell r="B455" t="str">
            <v>MEHTA M R</v>
          </cell>
          <cell r="C455">
            <v>0</v>
          </cell>
        </row>
        <row r="456">
          <cell r="A456">
            <v>2078</v>
          </cell>
          <cell r="B456" t="str">
            <v>MURALI R</v>
          </cell>
          <cell r="C456">
            <v>10150</v>
          </cell>
        </row>
        <row r="457">
          <cell r="A457">
            <v>2125</v>
          </cell>
          <cell r="B457" t="str">
            <v>ITRAJ G R</v>
          </cell>
          <cell r="C457">
            <v>11250</v>
          </cell>
        </row>
        <row r="458">
          <cell r="A458">
            <v>2141</v>
          </cell>
          <cell r="B458" t="str">
            <v>CHANDAN P M</v>
          </cell>
          <cell r="C458">
            <v>11300</v>
          </cell>
        </row>
        <row r="459">
          <cell r="A459">
            <v>2161</v>
          </cell>
          <cell r="B459" t="str">
            <v>SINGHAL G M</v>
          </cell>
          <cell r="C459">
            <v>0</v>
          </cell>
        </row>
        <row r="460">
          <cell r="A460">
            <v>2170</v>
          </cell>
          <cell r="B460" t="str">
            <v>DEVARAJ C R</v>
          </cell>
          <cell r="C460">
            <v>10400</v>
          </cell>
        </row>
        <row r="461">
          <cell r="A461">
            <v>2248</v>
          </cell>
          <cell r="B461" t="str">
            <v>POTNIS S V</v>
          </cell>
        </row>
        <row r="462">
          <cell r="A462">
            <v>2296</v>
          </cell>
          <cell r="B462" t="str">
            <v>NAIR RAJENDRAN A. S.</v>
          </cell>
        </row>
        <row r="463">
          <cell r="A463">
            <v>2398</v>
          </cell>
          <cell r="B463" t="str">
            <v>B. SIVAPRASAD</v>
          </cell>
          <cell r="C463">
            <v>11200</v>
          </cell>
        </row>
        <row r="464">
          <cell r="A464">
            <v>1599</v>
          </cell>
          <cell r="B464" t="str">
            <v>GUPTA M</v>
          </cell>
          <cell r="C464">
            <v>10900</v>
          </cell>
        </row>
        <row r="465">
          <cell r="A465">
            <v>1577</v>
          </cell>
          <cell r="B465" t="str">
            <v>AJGAONKAR P</v>
          </cell>
          <cell r="C465">
            <v>0</v>
          </cell>
        </row>
        <row r="466">
          <cell r="A466">
            <v>1940</v>
          </cell>
          <cell r="B466" t="str">
            <v>SHETTY P P</v>
          </cell>
          <cell r="C466">
            <v>11200</v>
          </cell>
        </row>
        <row r="467">
          <cell r="A467">
            <v>2038</v>
          </cell>
          <cell r="B467" t="str">
            <v>GOPALAKRISHNA</v>
          </cell>
          <cell r="C467">
            <v>0</v>
          </cell>
        </row>
        <row r="468">
          <cell r="A468">
            <v>1336</v>
          </cell>
          <cell r="B468" t="str">
            <v>BADOLA D M</v>
          </cell>
          <cell r="C468">
            <v>0</v>
          </cell>
        </row>
        <row r="469">
          <cell r="A469">
            <v>1371</v>
          </cell>
          <cell r="B469" t="str">
            <v>DESHMUKH B D</v>
          </cell>
          <cell r="C469">
            <v>17150</v>
          </cell>
        </row>
        <row r="470">
          <cell r="A470">
            <v>1578</v>
          </cell>
          <cell r="B470" t="str">
            <v>GHOSH D</v>
          </cell>
          <cell r="C470">
            <v>12150</v>
          </cell>
        </row>
        <row r="471">
          <cell r="A471">
            <v>1595</v>
          </cell>
          <cell r="B471" t="str">
            <v>RAMASESHAN G</v>
          </cell>
          <cell r="C471">
            <v>0</v>
          </cell>
        </row>
        <row r="472">
          <cell r="A472">
            <v>1768</v>
          </cell>
          <cell r="B472" t="str">
            <v xml:space="preserve">CHOBE P M </v>
          </cell>
          <cell r="C472">
            <v>14000</v>
          </cell>
        </row>
        <row r="473">
          <cell r="A473">
            <v>1912</v>
          </cell>
          <cell r="B473" t="str">
            <v>IYER V V</v>
          </cell>
          <cell r="C473">
            <v>0</v>
          </cell>
        </row>
        <row r="474">
          <cell r="A474">
            <v>2053</v>
          </cell>
          <cell r="B474" t="str">
            <v>PRADHAN C M</v>
          </cell>
          <cell r="C474">
            <v>15250</v>
          </cell>
        </row>
        <row r="475">
          <cell r="A475">
            <v>2095</v>
          </cell>
          <cell r="B475" t="str">
            <v>RAMNATH S</v>
          </cell>
          <cell r="C475">
            <v>15500</v>
          </cell>
        </row>
        <row r="476">
          <cell r="A476">
            <v>2147</v>
          </cell>
          <cell r="B476" t="str">
            <v>GANGULY P</v>
          </cell>
          <cell r="C476">
            <v>0</v>
          </cell>
        </row>
        <row r="477">
          <cell r="A477">
            <v>2230</v>
          </cell>
          <cell r="B477" t="str">
            <v>MADAN P</v>
          </cell>
          <cell r="C477">
            <v>0</v>
          </cell>
        </row>
        <row r="478">
          <cell r="A478">
            <v>2260</v>
          </cell>
          <cell r="B478" t="str">
            <v>THYAGARAJAN K S</v>
          </cell>
        </row>
        <row r="479">
          <cell r="A479">
            <v>2283</v>
          </cell>
          <cell r="B479" t="str">
            <v>KHANOLKAR S S</v>
          </cell>
        </row>
        <row r="480">
          <cell r="A480">
            <v>2290</v>
          </cell>
          <cell r="B480" t="str">
            <v>N. JANAKIRAM RAJU</v>
          </cell>
          <cell r="C480">
            <v>0</v>
          </cell>
        </row>
        <row r="481">
          <cell r="A481">
            <v>2302</v>
          </cell>
          <cell r="B481" t="str">
            <v>FAIZ PATHAN</v>
          </cell>
          <cell r="C481">
            <v>0</v>
          </cell>
        </row>
        <row r="482">
          <cell r="A482">
            <v>2360</v>
          </cell>
          <cell r="B482" t="str">
            <v>MADHAV K DESAI</v>
          </cell>
          <cell r="C482">
            <v>24500</v>
          </cell>
        </row>
        <row r="483">
          <cell r="A483">
            <v>2105</v>
          </cell>
          <cell r="B483" t="str">
            <v>VAIDYA R Y</v>
          </cell>
          <cell r="C483">
            <v>0</v>
          </cell>
        </row>
        <row r="484">
          <cell r="A484">
            <v>1773</v>
          </cell>
          <cell r="B484" t="str">
            <v xml:space="preserve">IYER M R  </v>
          </cell>
          <cell r="C484">
            <v>18600</v>
          </cell>
        </row>
        <row r="485">
          <cell r="A485">
            <v>1840</v>
          </cell>
          <cell r="B485" t="str">
            <v>NAIR R</v>
          </cell>
          <cell r="C485">
            <v>0</v>
          </cell>
        </row>
        <row r="486">
          <cell r="A486">
            <v>2198</v>
          </cell>
          <cell r="B486" t="str">
            <v>DAVE K B</v>
          </cell>
          <cell r="C486">
            <v>0</v>
          </cell>
        </row>
        <row r="487">
          <cell r="A487">
            <v>1898</v>
          </cell>
          <cell r="B487" t="str">
            <v>NAIK L S</v>
          </cell>
          <cell r="C487">
            <v>0</v>
          </cell>
        </row>
        <row r="488">
          <cell r="A488">
            <v>1140</v>
          </cell>
          <cell r="B488" t="str">
            <v>VAZ R E</v>
          </cell>
          <cell r="C488">
            <v>45000</v>
          </cell>
        </row>
        <row r="489">
          <cell r="A489">
            <v>1433</v>
          </cell>
          <cell r="B489" t="str">
            <v>BHATTACHARYA P K</v>
          </cell>
          <cell r="C489">
            <v>0</v>
          </cell>
        </row>
        <row r="490">
          <cell r="A490">
            <v>1672</v>
          </cell>
          <cell r="B490" t="str">
            <v>DARSHAN LAL</v>
          </cell>
          <cell r="C490">
            <v>0</v>
          </cell>
        </row>
        <row r="491">
          <cell r="A491">
            <v>1238</v>
          </cell>
          <cell r="B491" t="str">
            <v>KUMARASAMY S</v>
          </cell>
          <cell r="C491">
            <v>0</v>
          </cell>
        </row>
      </sheetData>
      <sheetData sheetId="1" refreshError="1">
        <row r="25">
          <cell r="A25" t="str">
            <v>CL</v>
          </cell>
          <cell r="B25">
            <v>650</v>
          </cell>
          <cell r="C25">
            <v>850</v>
          </cell>
          <cell r="D25">
            <v>1500</v>
          </cell>
          <cell r="E25">
            <v>2000</v>
          </cell>
          <cell r="F25">
            <v>2500</v>
          </cell>
          <cell r="G25">
            <v>3500</v>
          </cell>
        </row>
        <row r="26">
          <cell r="A26" t="str">
            <v>CA</v>
          </cell>
          <cell r="B26">
            <v>750</v>
          </cell>
          <cell r="C26">
            <v>950</v>
          </cell>
          <cell r="D26">
            <v>1650</v>
          </cell>
          <cell r="E26">
            <v>2200</v>
          </cell>
          <cell r="F26">
            <v>2750</v>
          </cell>
          <cell r="G26">
            <v>4250</v>
          </cell>
        </row>
        <row r="27">
          <cell r="A27" t="str">
            <v>CP</v>
          </cell>
          <cell r="B27">
            <v>800</v>
          </cell>
          <cell r="C27">
            <v>1050</v>
          </cell>
          <cell r="D27">
            <v>2000</v>
          </cell>
          <cell r="E27">
            <v>2500</v>
          </cell>
          <cell r="G27">
            <v>5000</v>
          </cell>
        </row>
        <row r="28">
          <cell r="A28" t="str">
            <v>BL</v>
          </cell>
          <cell r="B28">
            <v>950</v>
          </cell>
          <cell r="C28">
            <v>1150</v>
          </cell>
          <cell r="D28">
            <v>2150</v>
          </cell>
          <cell r="E28">
            <v>2750</v>
          </cell>
          <cell r="G28">
            <v>5250</v>
          </cell>
        </row>
        <row r="29">
          <cell r="A29" t="str">
            <v>BA</v>
          </cell>
          <cell r="B29">
            <v>1100</v>
          </cell>
          <cell r="C29">
            <v>1250</v>
          </cell>
          <cell r="D29">
            <v>2300</v>
          </cell>
          <cell r="E29">
            <v>3100</v>
          </cell>
          <cell r="F29">
            <v>3250</v>
          </cell>
          <cell r="G29">
            <v>5500</v>
          </cell>
        </row>
        <row r="30">
          <cell r="A30" t="str">
            <v>BP</v>
          </cell>
          <cell r="B30">
            <v>1200</v>
          </cell>
          <cell r="C30">
            <v>1500</v>
          </cell>
          <cell r="D30">
            <v>2700</v>
          </cell>
          <cell r="E30">
            <v>3600</v>
          </cell>
          <cell r="F30">
            <v>4200</v>
          </cell>
          <cell r="G30">
            <v>6750</v>
          </cell>
        </row>
        <row r="31">
          <cell r="A31" t="str">
            <v>D</v>
          </cell>
          <cell r="B31">
            <v>350</v>
          </cell>
          <cell r="C31">
            <v>450</v>
          </cell>
          <cell r="D31">
            <v>750</v>
          </cell>
        </row>
      </sheetData>
      <sheetData sheetId="2"/>
      <sheetData sheetId="3"/>
      <sheetData sheetId="4">
        <row r="10">
          <cell r="G10">
            <v>1283</v>
          </cell>
          <cell r="H10" t="str">
            <v>MR D'SOUZA J</v>
          </cell>
          <cell r="I10">
            <v>17693</v>
          </cell>
          <cell r="J10">
            <v>28436</v>
          </cell>
          <cell r="K10">
            <v>19585</v>
          </cell>
          <cell r="L10" t="str">
            <v>MA</v>
          </cell>
          <cell r="M10">
            <v>21</v>
          </cell>
          <cell r="O10" t="str">
            <v>MAM</v>
          </cell>
          <cell r="P10">
            <v>1</v>
          </cell>
          <cell r="Q10" t="str">
            <v>Mumbai</v>
          </cell>
          <cell r="R10" t="str">
            <v>Ho</v>
          </cell>
          <cell r="S10" t="str">
            <v xml:space="preserve"> </v>
          </cell>
          <cell r="T10" t="str">
            <v>CL</v>
          </cell>
          <cell r="U10">
            <v>2001</v>
          </cell>
          <cell r="V10">
            <v>18000</v>
          </cell>
          <cell r="W10">
            <v>9290</v>
          </cell>
          <cell r="X10">
            <v>3500</v>
          </cell>
          <cell r="AA10">
            <v>500</v>
          </cell>
          <cell r="AB10">
            <v>150</v>
          </cell>
          <cell r="AC10">
            <v>800</v>
          </cell>
          <cell r="AE10">
            <v>1000</v>
          </cell>
          <cell r="AG10">
            <v>2750</v>
          </cell>
          <cell r="AH10">
            <v>17990</v>
          </cell>
          <cell r="AI10">
            <v>215880</v>
          </cell>
          <cell r="AJ10">
            <v>17500</v>
          </cell>
          <cell r="AK10">
            <v>20000</v>
          </cell>
          <cell r="AL10">
            <v>10000</v>
          </cell>
          <cell r="AQ10">
            <v>30100</v>
          </cell>
          <cell r="AR10">
            <v>293480</v>
          </cell>
        </row>
        <row r="11">
          <cell r="M11">
            <v>21</v>
          </cell>
          <cell r="P11">
            <v>1</v>
          </cell>
          <cell r="S11" t="str">
            <v xml:space="preserve"> </v>
          </cell>
          <cell r="U11">
            <v>2002</v>
          </cell>
          <cell r="W11">
            <v>9940</v>
          </cell>
          <cell r="X11">
            <v>5500</v>
          </cell>
          <cell r="Z11">
            <v>0</v>
          </cell>
          <cell r="AA11">
            <v>500</v>
          </cell>
          <cell r="AB11">
            <v>150</v>
          </cell>
          <cell r="AC11">
            <v>800</v>
          </cell>
          <cell r="AF11">
            <v>0</v>
          </cell>
          <cell r="AG11">
            <v>2750</v>
          </cell>
          <cell r="AH11">
            <v>19640</v>
          </cell>
          <cell r="AI11">
            <v>235680</v>
          </cell>
          <cell r="AJ11">
            <v>17500</v>
          </cell>
          <cell r="AK11">
            <v>20000</v>
          </cell>
          <cell r="AL11">
            <v>15000</v>
          </cell>
          <cell r="AM11">
            <v>0</v>
          </cell>
          <cell r="AN11">
            <v>0</v>
          </cell>
          <cell r="AO11">
            <v>0</v>
          </cell>
          <cell r="AP11">
            <v>0</v>
          </cell>
          <cell r="AQ11">
            <v>32206</v>
          </cell>
          <cell r="AR11">
            <v>320386</v>
          </cell>
          <cell r="AS11">
            <v>0</v>
          </cell>
        </row>
        <row r="12">
          <cell r="P12">
            <v>1</v>
          </cell>
          <cell r="S12" t="str">
            <v xml:space="preserve"> </v>
          </cell>
          <cell r="U12" t="str">
            <v>DIFF.</v>
          </cell>
          <cell r="W12">
            <v>650</v>
          </cell>
          <cell r="X12">
            <v>2000</v>
          </cell>
          <cell r="Z12">
            <v>0</v>
          </cell>
          <cell r="AA12">
            <v>0</v>
          </cell>
          <cell r="AB12">
            <v>0</v>
          </cell>
          <cell r="AC12">
            <v>0</v>
          </cell>
          <cell r="AE12">
            <v>-1000</v>
          </cell>
          <cell r="AF12">
            <v>0</v>
          </cell>
          <cell r="AG12">
            <v>0</v>
          </cell>
          <cell r="AH12">
            <v>1650</v>
          </cell>
          <cell r="AI12">
            <v>19800</v>
          </cell>
          <cell r="AJ12">
            <v>0</v>
          </cell>
          <cell r="AK12">
            <v>0</v>
          </cell>
          <cell r="AL12">
            <v>5000</v>
          </cell>
          <cell r="AM12">
            <v>0</v>
          </cell>
          <cell r="AN12">
            <v>0</v>
          </cell>
          <cell r="AO12">
            <v>0</v>
          </cell>
          <cell r="AP12">
            <v>0</v>
          </cell>
          <cell r="AQ12">
            <v>2106</v>
          </cell>
          <cell r="AR12">
            <v>26906</v>
          </cell>
          <cell r="AS12">
            <v>9.17</v>
          </cell>
        </row>
        <row r="13">
          <cell r="P13">
            <v>1</v>
          </cell>
          <cell r="S13" t="str">
            <v xml:space="preserve"> </v>
          </cell>
        </row>
        <row r="14">
          <cell r="G14">
            <v>1551</v>
          </cell>
          <cell r="H14" t="str">
            <v>MR SRIDHAR S D</v>
          </cell>
          <cell r="I14">
            <v>21345</v>
          </cell>
          <cell r="J14">
            <v>30286</v>
          </cell>
          <cell r="K14">
            <v>15933</v>
          </cell>
          <cell r="L14" t="str">
            <v>MA</v>
          </cell>
          <cell r="M14">
            <v>21</v>
          </cell>
          <cell r="N14" t="str">
            <v>A2</v>
          </cell>
          <cell r="O14" t="str">
            <v>MAM</v>
          </cell>
          <cell r="P14">
            <v>2</v>
          </cell>
          <cell r="Q14" t="str">
            <v>Chennai</v>
          </cell>
          <cell r="R14" t="str">
            <v>Chennai</v>
          </cell>
          <cell r="S14" t="str">
            <v xml:space="preserve"> </v>
          </cell>
          <cell r="T14" t="str">
            <v>CL</v>
          </cell>
          <cell r="U14">
            <v>2001</v>
          </cell>
          <cell r="V14">
            <v>18000</v>
          </cell>
          <cell r="W14">
            <v>8477</v>
          </cell>
          <cell r="X14">
            <v>3500</v>
          </cell>
          <cell r="AA14">
            <v>500</v>
          </cell>
          <cell r="AB14">
            <v>150</v>
          </cell>
          <cell r="AC14">
            <v>800</v>
          </cell>
          <cell r="AE14">
            <v>450</v>
          </cell>
          <cell r="AF14">
            <v>500</v>
          </cell>
          <cell r="AG14">
            <v>2750</v>
          </cell>
          <cell r="AH14">
            <v>17127</v>
          </cell>
          <cell r="AI14">
            <v>205524</v>
          </cell>
          <cell r="AJ14">
            <v>17500</v>
          </cell>
          <cell r="AK14">
            <v>20000</v>
          </cell>
          <cell r="AL14">
            <v>10000</v>
          </cell>
          <cell r="AM14">
            <v>0</v>
          </cell>
          <cell r="AN14">
            <v>0</v>
          </cell>
          <cell r="AO14">
            <v>0</v>
          </cell>
          <cell r="AP14">
            <v>0</v>
          </cell>
          <cell r="AQ14">
            <v>27465</v>
          </cell>
          <cell r="AR14">
            <v>280489</v>
          </cell>
          <cell r="AS14">
            <v>0</v>
          </cell>
        </row>
        <row r="15">
          <cell r="M15">
            <v>21</v>
          </cell>
          <cell r="N15" t="str">
            <v>A2</v>
          </cell>
          <cell r="P15">
            <v>2</v>
          </cell>
          <cell r="S15" t="str">
            <v xml:space="preserve"> </v>
          </cell>
          <cell r="U15">
            <v>2002</v>
          </cell>
          <cell r="W15">
            <v>9127</v>
          </cell>
          <cell r="X15">
            <v>4500</v>
          </cell>
          <cell r="Z15">
            <v>0</v>
          </cell>
          <cell r="AA15">
            <v>500</v>
          </cell>
          <cell r="AB15">
            <v>150</v>
          </cell>
          <cell r="AC15">
            <v>800</v>
          </cell>
          <cell r="AF15">
            <v>500</v>
          </cell>
          <cell r="AG15">
            <v>2750</v>
          </cell>
          <cell r="AH15">
            <v>18327</v>
          </cell>
          <cell r="AI15">
            <v>219924</v>
          </cell>
          <cell r="AJ15">
            <v>17500</v>
          </cell>
          <cell r="AK15">
            <v>20000</v>
          </cell>
          <cell r="AL15">
            <v>15000</v>
          </cell>
          <cell r="AM15">
            <v>0</v>
          </cell>
          <cell r="AN15">
            <v>0</v>
          </cell>
          <cell r="AO15">
            <v>0</v>
          </cell>
          <cell r="AP15">
            <v>0</v>
          </cell>
          <cell r="AQ15">
            <v>29571</v>
          </cell>
          <cell r="AR15">
            <v>301995</v>
          </cell>
          <cell r="AS15">
            <v>0</v>
          </cell>
        </row>
        <row r="16">
          <cell r="P16">
            <v>2</v>
          </cell>
          <cell r="S16" t="str">
            <v xml:space="preserve"> </v>
          </cell>
          <cell r="U16" t="str">
            <v>DIFF.</v>
          </cell>
          <cell r="W16">
            <v>650</v>
          </cell>
          <cell r="X16">
            <v>1000</v>
          </cell>
          <cell r="Z16">
            <v>0</v>
          </cell>
          <cell r="AA16">
            <v>0</v>
          </cell>
          <cell r="AB16">
            <v>0</v>
          </cell>
          <cell r="AC16">
            <v>0</v>
          </cell>
          <cell r="AE16">
            <v>-450</v>
          </cell>
          <cell r="AF16">
            <v>0</v>
          </cell>
          <cell r="AG16">
            <v>0</v>
          </cell>
          <cell r="AH16">
            <v>1200</v>
          </cell>
          <cell r="AI16">
            <v>14400</v>
          </cell>
          <cell r="AJ16">
            <v>0</v>
          </cell>
          <cell r="AK16">
            <v>0</v>
          </cell>
          <cell r="AL16">
            <v>5000</v>
          </cell>
          <cell r="AM16">
            <v>0</v>
          </cell>
          <cell r="AN16">
            <v>0</v>
          </cell>
          <cell r="AO16">
            <v>0</v>
          </cell>
          <cell r="AP16">
            <v>0</v>
          </cell>
          <cell r="AQ16">
            <v>2106</v>
          </cell>
          <cell r="AR16">
            <v>21506</v>
          </cell>
          <cell r="AS16">
            <v>7.67</v>
          </cell>
        </row>
        <row r="17">
          <cell r="P17">
            <v>2</v>
          </cell>
          <cell r="S17" t="str">
            <v xml:space="preserve"> </v>
          </cell>
        </row>
        <row r="18">
          <cell r="G18">
            <v>1571</v>
          </cell>
          <cell r="H18" t="str">
            <v>MR ASOKAN J M</v>
          </cell>
          <cell r="I18">
            <v>21253</v>
          </cell>
          <cell r="J18">
            <v>30501</v>
          </cell>
          <cell r="K18">
            <v>16025</v>
          </cell>
          <cell r="L18" t="str">
            <v>MA</v>
          </cell>
          <cell r="M18">
            <v>21</v>
          </cell>
          <cell r="O18" t="str">
            <v>MAM</v>
          </cell>
          <cell r="P18">
            <v>1</v>
          </cell>
          <cell r="Q18" t="str">
            <v>Mumbai</v>
          </cell>
          <cell r="R18" t="str">
            <v>Ho</v>
          </cell>
          <cell r="S18" t="str">
            <v xml:space="preserve"> </v>
          </cell>
          <cell r="T18" t="str">
            <v>CL</v>
          </cell>
          <cell r="U18">
            <v>2001</v>
          </cell>
          <cell r="V18">
            <v>18000</v>
          </cell>
          <cell r="W18">
            <v>6963</v>
          </cell>
          <cell r="X18">
            <v>3500</v>
          </cell>
          <cell r="AA18">
            <v>500</v>
          </cell>
          <cell r="AB18">
            <v>150</v>
          </cell>
          <cell r="AC18">
            <v>800</v>
          </cell>
          <cell r="AE18">
            <v>1000</v>
          </cell>
          <cell r="AG18">
            <v>2750</v>
          </cell>
          <cell r="AH18">
            <v>15663</v>
          </cell>
          <cell r="AI18">
            <v>187956</v>
          </cell>
          <cell r="AJ18">
            <v>17500</v>
          </cell>
          <cell r="AK18">
            <v>20000</v>
          </cell>
          <cell r="AL18">
            <v>10000</v>
          </cell>
          <cell r="AQ18">
            <v>22560</v>
          </cell>
          <cell r="AR18">
            <v>258016</v>
          </cell>
        </row>
        <row r="19">
          <cell r="M19">
            <v>21</v>
          </cell>
          <cell r="P19">
            <v>1</v>
          </cell>
          <cell r="S19" t="str">
            <v xml:space="preserve"> </v>
          </cell>
          <cell r="U19">
            <v>2002</v>
          </cell>
          <cell r="W19">
            <v>7613</v>
          </cell>
          <cell r="X19">
            <v>5500</v>
          </cell>
          <cell r="Z19">
            <v>0</v>
          </cell>
          <cell r="AA19">
            <v>500</v>
          </cell>
          <cell r="AB19">
            <v>150</v>
          </cell>
          <cell r="AC19">
            <v>800</v>
          </cell>
          <cell r="AF19">
            <v>0</v>
          </cell>
          <cell r="AG19">
            <v>2750</v>
          </cell>
          <cell r="AH19">
            <v>17313</v>
          </cell>
          <cell r="AI19">
            <v>207756</v>
          </cell>
          <cell r="AJ19">
            <v>17500</v>
          </cell>
          <cell r="AK19">
            <v>20000</v>
          </cell>
          <cell r="AL19">
            <v>15000</v>
          </cell>
          <cell r="AM19">
            <v>0</v>
          </cell>
          <cell r="AN19">
            <v>0</v>
          </cell>
          <cell r="AO19">
            <v>0</v>
          </cell>
          <cell r="AP19">
            <v>0</v>
          </cell>
          <cell r="AQ19">
            <v>24666</v>
          </cell>
          <cell r="AR19">
            <v>284922</v>
          </cell>
          <cell r="AS19">
            <v>0</v>
          </cell>
        </row>
        <row r="20">
          <cell r="P20">
            <v>1</v>
          </cell>
          <cell r="S20" t="str">
            <v xml:space="preserve"> </v>
          </cell>
          <cell r="U20" t="str">
            <v>DIFF.</v>
          </cell>
          <cell r="W20">
            <v>650</v>
          </cell>
          <cell r="X20">
            <v>2000</v>
          </cell>
          <cell r="Z20">
            <v>0</v>
          </cell>
          <cell r="AA20">
            <v>0</v>
          </cell>
          <cell r="AB20">
            <v>0</v>
          </cell>
          <cell r="AC20">
            <v>0</v>
          </cell>
          <cell r="AE20">
            <v>-1000</v>
          </cell>
          <cell r="AF20">
            <v>0</v>
          </cell>
          <cell r="AG20">
            <v>0</v>
          </cell>
          <cell r="AH20">
            <v>1650</v>
          </cell>
          <cell r="AI20">
            <v>19800</v>
          </cell>
          <cell r="AJ20">
            <v>0</v>
          </cell>
          <cell r="AK20">
            <v>0</v>
          </cell>
          <cell r="AL20">
            <v>5000</v>
          </cell>
          <cell r="AM20">
            <v>0</v>
          </cell>
          <cell r="AN20">
            <v>0</v>
          </cell>
          <cell r="AO20">
            <v>0</v>
          </cell>
          <cell r="AP20">
            <v>0</v>
          </cell>
          <cell r="AQ20">
            <v>2106</v>
          </cell>
          <cell r="AR20">
            <v>26906</v>
          </cell>
          <cell r="AS20">
            <v>10.43</v>
          </cell>
        </row>
        <row r="21">
          <cell r="P21">
            <v>1</v>
          </cell>
          <cell r="S21" t="str">
            <v xml:space="preserve"> </v>
          </cell>
        </row>
        <row r="22">
          <cell r="G22">
            <v>1573</v>
          </cell>
          <cell r="H22" t="str">
            <v>MR PAULRAJ P</v>
          </cell>
          <cell r="I22">
            <v>21688</v>
          </cell>
          <cell r="J22">
            <v>30501</v>
          </cell>
          <cell r="K22">
            <v>15590</v>
          </cell>
          <cell r="L22" t="str">
            <v>MA</v>
          </cell>
          <cell r="M22">
            <v>21</v>
          </cell>
          <cell r="O22" t="str">
            <v>MAM</v>
          </cell>
          <cell r="P22">
            <v>1</v>
          </cell>
          <cell r="Q22" t="str">
            <v>Mumbai</v>
          </cell>
          <cell r="R22" t="str">
            <v>Ho</v>
          </cell>
          <cell r="S22" t="str">
            <v xml:space="preserve"> </v>
          </cell>
          <cell r="T22" t="str">
            <v>CA</v>
          </cell>
          <cell r="U22">
            <v>2001</v>
          </cell>
          <cell r="V22">
            <v>18000</v>
          </cell>
          <cell r="W22">
            <v>7704</v>
          </cell>
          <cell r="X22">
            <v>3500</v>
          </cell>
          <cell r="AA22">
            <v>500</v>
          </cell>
          <cell r="AB22">
            <v>150</v>
          </cell>
          <cell r="AC22">
            <v>800</v>
          </cell>
          <cell r="AE22">
            <v>1000</v>
          </cell>
          <cell r="AG22">
            <v>2750</v>
          </cell>
          <cell r="AH22">
            <v>16404</v>
          </cell>
          <cell r="AI22">
            <v>196848</v>
          </cell>
          <cell r="AJ22">
            <v>17500</v>
          </cell>
          <cell r="AK22">
            <v>20000</v>
          </cell>
          <cell r="AL22">
            <v>10000</v>
          </cell>
          <cell r="AQ22">
            <v>24961</v>
          </cell>
          <cell r="AR22">
            <v>269309</v>
          </cell>
        </row>
        <row r="23">
          <cell r="M23">
            <v>21</v>
          </cell>
          <cell r="P23">
            <v>1</v>
          </cell>
          <cell r="S23" t="str">
            <v xml:space="preserve"> </v>
          </cell>
          <cell r="U23">
            <v>2002</v>
          </cell>
          <cell r="W23">
            <v>8454</v>
          </cell>
          <cell r="X23">
            <v>5500</v>
          </cell>
          <cell r="Z23">
            <v>0</v>
          </cell>
          <cell r="AA23">
            <v>500</v>
          </cell>
          <cell r="AB23">
            <v>150</v>
          </cell>
          <cell r="AC23">
            <v>800</v>
          </cell>
          <cell r="AF23">
            <v>0</v>
          </cell>
          <cell r="AG23">
            <v>2750</v>
          </cell>
          <cell r="AH23">
            <v>18154</v>
          </cell>
          <cell r="AI23">
            <v>217848</v>
          </cell>
          <cell r="AJ23">
            <v>17500</v>
          </cell>
          <cell r="AK23">
            <v>20000</v>
          </cell>
          <cell r="AL23">
            <v>15000</v>
          </cell>
          <cell r="AM23">
            <v>0</v>
          </cell>
          <cell r="AN23">
            <v>0</v>
          </cell>
          <cell r="AO23">
            <v>0</v>
          </cell>
          <cell r="AP23">
            <v>0</v>
          </cell>
          <cell r="AQ23">
            <v>27391</v>
          </cell>
          <cell r="AR23">
            <v>297739</v>
          </cell>
          <cell r="AS23">
            <v>0</v>
          </cell>
        </row>
        <row r="24">
          <cell r="P24">
            <v>1</v>
          </cell>
          <cell r="S24" t="str">
            <v xml:space="preserve"> </v>
          </cell>
          <cell r="U24" t="str">
            <v>DIFF.</v>
          </cell>
          <cell r="W24">
            <v>750</v>
          </cell>
          <cell r="X24">
            <v>2000</v>
          </cell>
          <cell r="Z24">
            <v>0</v>
          </cell>
          <cell r="AA24">
            <v>0</v>
          </cell>
          <cell r="AB24">
            <v>0</v>
          </cell>
          <cell r="AC24">
            <v>0</v>
          </cell>
          <cell r="AE24">
            <v>-1000</v>
          </cell>
          <cell r="AF24">
            <v>0</v>
          </cell>
          <cell r="AG24">
            <v>0</v>
          </cell>
          <cell r="AH24">
            <v>1750</v>
          </cell>
          <cell r="AI24">
            <v>21000</v>
          </cell>
          <cell r="AJ24">
            <v>0</v>
          </cell>
          <cell r="AK24">
            <v>0</v>
          </cell>
          <cell r="AL24">
            <v>5000</v>
          </cell>
          <cell r="AM24">
            <v>0</v>
          </cell>
          <cell r="AN24">
            <v>0</v>
          </cell>
          <cell r="AO24">
            <v>0</v>
          </cell>
          <cell r="AP24">
            <v>0</v>
          </cell>
          <cell r="AQ24">
            <v>2430</v>
          </cell>
          <cell r="AR24">
            <v>28430</v>
          </cell>
          <cell r="AS24">
            <v>10.56</v>
          </cell>
        </row>
        <row r="25">
          <cell r="P25">
            <v>1</v>
          </cell>
          <cell r="S25" t="str">
            <v xml:space="preserve"> </v>
          </cell>
        </row>
        <row r="26">
          <cell r="G26">
            <v>1652</v>
          </cell>
          <cell r="H26" t="str">
            <v>MR MURUGESAN S</v>
          </cell>
          <cell r="I26">
            <v>20094</v>
          </cell>
          <cell r="J26">
            <v>31107</v>
          </cell>
          <cell r="K26">
            <v>17184</v>
          </cell>
          <cell r="L26" t="str">
            <v>MA</v>
          </cell>
          <cell r="M26">
            <v>21</v>
          </cell>
          <cell r="N26" t="str">
            <v>A2</v>
          </cell>
          <cell r="O26" t="str">
            <v>MAM</v>
          </cell>
          <cell r="P26">
            <v>7</v>
          </cell>
          <cell r="Q26" t="str">
            <v>Other Locations</v>
          </cell>
          <cell r="R26" t="str">
            <v>Villupuram (  )</v>
          </cell>
          <cell r="S26" t="str">
            <v xml:space="preserve"> </v>
          </cell>
          <cell r="T26" t="str">
            <v>CL</v>
          </cell>
          <cell r="U26">
            <v>2001</v>
          </cell>
          <cell r="V26">
            <v>18000</v>
          </cell>
          <cell r="W26">
            <v>8640</v>
          </cell>
          <cell r="X26">
            <v>3500</v>
          </cell>
          <cell r="AA26">
            <v>500</v>
          </cell>
          <cell r="AB26">
            <v>150</v>
          </cell>
          <cell r="AC26">
            <v>0</v>
          </cell>
          <cell r="AD26" t="str">
            <v>CV</v>
          </cell>
          <cell r="AE26">
            <v>0</v>
          </cell>
          <cell r="AF26">
            <v>500</v>
          </cell>
          <cell r="AG26">
            <v>2750</v>
          </cell>
          <cell r="AH26">
            <v>16040</v>
          </cell>
          <cell r="AI26">
            <v>192480</v>
          </cell>
          <cell r="AJ26">
            <v>17500</v>
          </cell>
          <cell r="AK26">
            <v>20000</v>
          </cell>
          <cell r="AL26">
            <v>10000</v>
          </cell>
          <cell r="AM26">
            <v>0</v>
          </cell>
          <cell r="AN26">
            <v>0</v>
          </cell>
          <cell r="AO26">
            <v>0</v>
          </cell>
          <cell r="AP26">
            <v>0</v>
          </cell>
          <cell r="AQ26">
            <v>27994</v>
          </cell>
          <cell r="AR26">
            <v>267974</v>
          </cell>
          <cell r="AS26">
            <v>0</v>
          </cell>
        </row>
        <row r="27">
          <cell r="M27">
            <v>21</v>
          </cell>
          <cell r="N27" t="str">
            <v>A2</v>
          </cell>
          <cell r="P27">
            <v>7</v>
          </cell>
          <cell r="S27" t="str">
            <v xml:space="preserve"> </v>
          </cell>
          <cell r="U27">
            <v>2002</v>
          </cell>
          <cell r="W27">
            <v>9290</v>
          </cell>
          <cell r="X27">
            <v>4000</v>
          </cell>
          <cell r="Z27">
            <v>0</v>
          </cell>
          <cell r="AA27">
            <v>500</v>
          </cell>
          <cell r="AB27">
            <v>150</v>
          </cell>
          <cell r="AC27">
            <v>0</v>
          </cell>
          <cell r="AF27">
            <v>500</v>
          </cell>
          <cell r="AG27">
            <v>2750</v>
          </cell>
          <cell r="AH27">
            <v>17190</v>
          </cell>
          <cell r="AI27">
            <v>206280</v>
          </cell>
          <cell r="AJ27">
            <v>17500</v>
          </cell>
          <cell r="AK27">
            <v>20000</v>
          </cell>
          <cell r="AL27">
            <v>15000</v>
          </cell>
          <cell r="AM27">
            <v>0</v>
          </cell>
          <cell r="AN27">
            <v>0</v>
          </cell>
          <cell r="AO27">
            <v>0</v>
          </cell>
          <cell r="AP27">
            <v>0</v>
          </cell>
          <cell r="AQ27">
            <v>30100</v>
          </cell>
          <cell r="AR27">
            <v>288880</v>
          </cell>
          <cell r="AS27">
            <v>0</v>
          </cell>
        </row>
        <row r="28">
          <cell r="P28">
            <v>7</v>
          </cell>
          <cell r="S28" t="str">
            <v xml:space="preserve"> </v>
          </cell>
          <cell r="U28" t="str">
            <v>DIFF.</v>
          </cell>
          <cell r="W28">
            <v>650</v>
          </cell>
          <cell r="X28">
            <v>500</v>
          </cell>
          <cell r="Z28">
            <v>0</v>
          </cell>
          <cell r="AA28">
            <v>0</v>
          </cell>
          <cell r="AB28">
            <v>0</v>
          </cell>
          <cell r="AC28">
            <v>0</v>
          </cell>
          <cell r="AE28">
            <v>0</v>
          </cell>
          <cell r="AF28">
            <v>0</v>
          </cell>
          <cell r="AG28">
            <v>0</v>
          </cell>
          <cell r="AH28">
            <v>1150</v>
          </cell>
          <cell r="AI28">
            <v>13800</v>
          </cell>
          <cell r="AJ28">
            <v>0</v>
          </cell>
          <cell r="AK28">
            <v>0</v>
          </cell>
          <cell r="AL28">
            <v>5000</v>
          </cell>
          <cell r="AM28">
            <v>0</v>
          </cell>
          <cell r="AN28">
            <v>0</v>
          </cell>
          <cell r="AO28">
            <v>0</v>
          </cell>
          <cell r="AP28">
            <v>0</v>
          </cell>
          <cell r="AQ28">
            <v>2106</v>
          </cell>
          <cell r="AR28">
            <v>20906</v>
          </cell>
          <cell r="AS28">
            <v>7.8</v>
          </cell>
        </row>
        <row r="29">
          <cell r="P29">
            <v>7</v>
          </cell>
          <cell r="S29" t="str">
            <v xml:space="preserve"> </v>
          </cell>
        </row>
        <row r="30">
          <cell r="G30">
            <v>1670</v>
          </cell>
          <cell r="H30" t="str">
            <v>MR SHARMA S C</v>
          </cell>
          <cell r="I30">
            <v>20443</v>
          </cell>
          <cell r="J30">
            <v>31191</v>
          </cell>
          <cell r="K30">
            <v>16835</v>
          </cell>
          <cell r="L30" t="str">
            <v>MA</v>
          </cell>
          <cell r="M30">
            <v>21</v>
          </cell>
          <cell r="N30" t="str">
            <v>A1</v>
          </cell>
          <cell r="O30" t="str">
            <v>MAM</v>
          </cell>
          <cell r="P30">
            <v>7</v>
          </cell>
          <cell r="Q30" t="str">
            <v>Other Locations</v>
          </cell>
          <cell r="R30" t="str">
            <v>Amd</v>
          </cell>
          <cell r="S30" t="str">
            <v xml:space="preserve"> </v>
          </cell>
          <cell r="T30" t="str">
            <v>CL</v>
          </cell>
          <cell r="U30">
            <v>2001</v>
          </cell>
          <cell r="V30">
            <v>18000</v>
          </cell>
          <cell r="W30">
            <v>8000</v>
          </cell>
          <cell r="X30">
            <v>3500</v>
          </cell>
          <cell r="AA30">
            <v>500</v>
          </cell>
          <cell r="AB30">
            <v>150</v>
          </cell>
          <cell r="AC30">
            <v>800</v>
          </cell>
          <cell r="AE30">
            <v>0</v>
          </cell>
          <cell r="AG30">
            <v>2750</v>
          </cell>
          <cell r="AH30">
            <v>15700</v>
          </cell>
          <cell r="AI30">
            <v>188400</v>
          </cell>
          <cell r="AJ30">
            <v>17500</v>
          </cell>
          <cell r="AK30">
            <v>20000</v>
          </cell>
          <cell r="AL30">
            <v>10000</v>
          </cell>
          <cell r="AQ30">
            <v>25920</v>
          </cell>
          <cell r="AR30">
            <v>261820</v>
          </cell>
        </row>
        <row r="31">
          <cell r="M31">
            <v>21</v>
          </cell>
          <cell r="N31" t="str">
            <v>A1</v>
          </cell>
          <cell r="P31">
            <v>7</v>
          </cell>
          <cell r="S31" t="str">
            <v xml:space="preserve"> </v>
          </cell>
          <cell r="U31">
            <v>2002</v>
          </cell>
          <cell r="W31">
            <v>8650</v>
          </cell>
          <cell r="X31">
            <v>4000</v>
          </cell>
          <cell r="Z31">
            <v>0</v>
          </cell>
          <cell r="AA31">
            <v>500</v>
          </cell>
          <cell r="AB31">
            <v>150</v>
          </cell>
          <cell r="AC31">
            <v>800</v>
          </cell>
          <cell r="AF31">
            <v>0</v>
          </cell>
          <cell r="AG31">
            <v>2750</v>
          </cell>
          <cell r="AH31">
            <v>16850</v>
          </cell>
          <cell r="AI31">
            <v>202200</v>
          </cell>
          <cell r="AJ31">
            <v>17500</v>
          </cell>
          <cell r="AK31">
            <v>20000</v>
          </cell>
          <cell r="AL31">
            <v>15000</v>
          </cell>
          <cell r="AM31">
            <v>0</v>
          </cell>
          <cell r="AN31">
            <v>0</v>
          </cell>
          <cell r="AO31">
            <v>0</v>
          </cell>
          <cell r="AP31">
            <v>0</v>
          </cell>
          <cell r="AQ31">
            <v>28026</v>
          </cell>
          <cell r="AR31">
            <v>282726</v>
          </cell>
          <cell r="AS31">
            <v>0</v>
          </cell>
        </row>
        <row r="32">
          <cell r="P32">
            <v>7</v>
          </cell>
          <cell r="S32" t="str">
            <v xml:space="preserve"> </v>
          </cell>
          <cell r="U32" t="str">
            <v>DIFF.</v>
          </cell>
          <cell r="W32">
            <v>650</v>
          </cell>
          <cell r="X32">
            <v>500</v>
          </cell>
          <cell r="Z32">
            <v>0</v>
          </cell>
          <cell r="AA32">
            <v>0</v>
          </cell>
          <cell r="AB32">
            <v>0</v>
          </cell>
          <cell r="AC32">
            <v>0</v>
          </cell>
          <cell r="AE32">
            <v>0</v>
          </cell>
          <cell r="AF32">
            <v>0</v>
          </cell>
          <cell r="AG32">
            <v>0</v>
          </cell>
          <cell r="AH32">
            <v>1150</v>
          </cell>
          <cell r="AI32">
            <v>13800</v>
          </cell>
          <cell r="AJ32">
            <v>0</v>
          </cell>
          <cell r="AK32">
            <v>0</v>
          </cell>
          <cell r="AL32">
            <v>5000</v>
          </cell>
          <cell r="AM32">
            <v>0</v>
          </cell>
          <cell r="AN32">
            <v>0</v>
          </cell>
          <cell r="AO32">
            <v>0</v>
          </cell>
          <cell r="AP32">
            <v>0</v>
          </cell>
          <cell r="AQ32">
            <v>2106</v>
          </cell>
          <cell r="AR32">
            <v>20906</v>
          </cell>
          <cell r="AS32">
            <v>7.98</v>
          </cell>
        </row>
        <row r="33">
          <cell r="P33">
            <v>7</v>
          </cell>
          <cell r="S33" t="str">
            <v xml:space="preserve"> </v>
          </cell>
        </row>
        <row r="34">
          <cell r="G34">
            <v>1696</v>
          </cell>
          <cell r="H34" t="str">
            <v>MR NANAVATI D J</v>
          </cell>
          <cell r="I34">
            <v>20657</v>
          </cell>
          <cell r="J34">
            <v>31565</v>
          </cell>
          <cell r="K34">
            <v>16621</v>
          </cell>
          <cell r="L34" t="str">
            <v>MA</v>
          </cell>
          <cell r="M34">
            <v>21</v>
          </cell>
          <cell r="N34" t="str">
            <v>A2</v>
          </cell>
          <cell r="O34" t="str">
            <v>MAM</v>
          </cell>
          <cell r="P34">
            <v>7</v>
          </cell>
          <cell r="Q34" t="str">
            <v>Other Locations</v>
          </cell>
          <cell r="R34" t="str">
            <v>Junagadh (Guj)</v>
          </cell>
          <cell r="S34" t="str">
            <v xml:space="preserve"> </v>
          </cell>
          <cell r="T34" t="str">
            <v>BL</v>
          </cell>
          <cell r="U34">
            <v>2001</v>
          </cell>
          <cell r="V34">
            <v>21150</v>
          </cell>
          <cell r="W34">
            <v>8628</v>
          </cell>
          <cell r="X34">
            <v>3500</v>
          </cell>
          <cell r="AA34">
            <v>500</v>
          </cell>
          <cell r="AB34">
            <v>150</v>
          </cell>
          <cell r="AC34">
            <v>0</v>
          </cell>
          <cell r="AD34" t="str">
            <v>CV</v>
          </cell>
          <cell r="AE34">
            <v>0</v>
          </cell>
          <cell r="AF34">
            <v>500</v>
          </cell>
          <cell r="AG34">
            <v>2750</v>
          </cell>
          <cell r="AH34">
            <v>16028</v>
          </cell>
          <cell r="AI34">
            <v>192336</v>
          </cell>
          <cell r="AJ34">
            <v>17500</v>
          </cell>
          <cell r="AK34">
            <v>20000</v>
          </cell>
          <cell r="AL34">
            <v>10000</v>
          </cell>
          <cell r="AM34">
            <v>0</v>
          </cell>
          <cell r="AN34">
            <v>0</v>
          </cell>
          <cell r="AO34">
            <v>0</v>
          </cell>
          <cell r="AP34">
            <v>0</v>
          </cell>
          <cell r="AQ34">
            <v>27955</v>
          </cell>
          <cell r="AR34">
            <v>267791</v>
          </cell>
          <cell r="AS34">
            <v>0</v>
          </cell>
        </row>
        <row r="35">
          <cell r="M35">
            <v>21</v>
          </cell>
          <cell r="N35" t="str">
            <v>A2</v>
          </cell>
          <cell r="P35">
            <v>7</v>
          </cell>
          <cell r="S35" t="str">
            <v xml:space="preserve"> </v>
          </cell>
          <cell r="U35">
            <v>2002</v>
          </cell>
          <cell r="W35">
            <v>9578</v>
          </cell>
          <cell r="X35">
            <v>4000</v>
          </cell>
          <cell r="Z35">
            <v>0</v>
          </cell>
          <cell r="AA35">
            <v>500</v>
          </cell>
          <cell r="AB35">
            <v>150</v>
          </cell>
          <cell r="AC35">
            <v>0</v>
          </cell>
          <cell r="AF35">
            <v>500</v>
          </cell>
          <cell r="AG35">
            <v>2750</v>
          </cell>
          <cell r="AH35">
            <v>17478</v>
          </cell>
          <cell r="AI35">
            <v>209736</v>
          </cell>
          <cell r="AJ35">
            <v>17500</v>
          </cell>
          <cell r="AK35">
            <v>20000</v>
          </cell>
          <cell r="AL35">
            <v>15000</v>
          </cell>
          <cell r="AM35">
            <v>0</v>
          </cell>
          <cell r="AN35">
            <v>0</v>
          </cell>
          <cell r="AO35">
            <v>0</v>
          </cell>
          <cell r="AP35">
            <v>0</v>
          </cell>
          <cell r="AQ35">
            <v>31033</v>
          </cell>
          <cell r="AR35">
            <v>293269</v>
          </cell>
          <cell r="AS35">
            <v>0</v>
          </cell>
        </row>
        <row r="36">
          <cell r="P36">
            <v>7</v>
          </cell>
          <cell r="S36" t="str">
            <v xml:space="preserve"> </v>
          </cell>
          <cell r="U36" t="str">
            <v>DIFF.</v>
          </cell>
          <cell r="W36">
            <v>950</v>
          </cell>
          <cell r="X36">
            <v>500</v>
          </cell>
          <cell r="Z36">
            <v>0</v>
          </cell>
          <cell r="AA36">
            <v>0</v>
          </cell>
          <cell r="AB36">
            <v>0</v>
          </cell>
          <cell r="AC36">
            <v>0</v>
          </cell>
          <cell r="AE36">
            <v>0</v>
          </cell>
          <cell r="AF36">
            <v>0</v>
          </cell>
          <cell r="AG36">
            <v>0</v>
          </cell>
          <cell r="AH36">
            <v>1450</v>
          </cell>
          <cell r="AI36">
            <v>17400</v>
          </cell>
          <cell r="AJ36">
            <v>0</v>
          </cell>
          <cell r="AK36">
            <v>0</v>
          </cell>
          <cell r="AL36">
            <v>5000</v>
          </cell>
          <cell r="AM36">
            <v>0</v>
          </cell>
          <cell r="AN36">
            <v>0</v>
          </cell>
          <cell r="AO36">
            <v>0</v>
          </cell>
          <cell r="AP36">
            <v>0</v>
          </cell>
          <cell r="AQ36">
            <v>3078</v>
          </cell>
          <cell r="AR36">
            <v>25478</v>
          </cell>
          <cell r="AS36">
            <v>9.51</v>
          </cell>
        </row>
        <row r="37">
          <cell r="P37">
            <v>7</v>
          </cell>
          <cell r="S37" t="str">
            <v xml:space="preserve"> </v>
          </cell>
        </row>
        <row r="38">
          <cell r="G38">
            <v>1701</v>
          </cell>
          <cell r="H38" t="str">
            <v>MR RAHIM A K</v>
          </cell>
          <cell r="I38">
            <v>21662</v>
          </cell>
          <cell r="J38">
            <v>31565</v>
          </cell>
          <cell r="K38">
            <v>15616</v>
          </cell>
          <cell r="L38" t="str">
            <v>MA</v>
          </cell>
          <cell r="M38">
            <v>21</v>
          </cell>
          <cell r="N38" t="str">
            <v>A2</v>
          </cell>
          <cell r="O38" t="str">
            <v>MAM</v>
          </cell>
          <cell r="P38">
            <v>7</v>
          </cell>
          <cell r="Q38" t="str">
            <v>Other Locations</v>
          </cell>
          <cell r="R38" t="str">
            <v>Madurai (Tn)</v>
          </cell>
          <cell r="S38" t="str">
            <v xml:space="preserve"> </v>
          </cell>
          <cell r="T38" t="str">
            <v>CA</v>
          </cell>
          <cell r="U38">
            <v>2001</v>
          </cell>
          <cell r="V38">
            <v>18000</v>
          </cell>
          <cell r="W38">
            <v>8465</v>
          </cell>
          <cell r="X38">
            <v>3500</v>
          </cell>
          <cell r="AA38">
            <v>500</v>
          </cell>
          <cell r="AB38">
            <v>150</v>
          </cell>
          <cell r="AC38">
            <v>0</v>
          </cell>
          <cell r="AD38" t="str">
            <v>CV</v>
          </cell>
          <cell r="AE38">
            <v>0</v>
          </cell>
          <cell r="AF38">
            <v>500</v>
          </cell>
          <cell r="AG38">
            <v>2750</v>
          </cell>
          <cell r="AH38">
            <v>15865</v>
          </cell>
          <cell r="AI38">
            <v>190380</v>
          </cell>
          <cell r="AJ38">
            <v>17500</v>
          </cell>
          <cell r="AK38">
            <v>20000</v>
          </cell>
          <cell r="AL38">
            <v>10000</v>
          </cell>
          <cell r="AM38">
            <v>0</v>
          </cell>
          <cell r="AN38">
            <v>0</v>
          </cell>
          <cell r="AO38">
            <v>0</v>
          </cell>
          <cell r="AP38">
            <v>0</v>
          </cell>
          <cell r="AQ38">
            <v>27427</v>
          </cell>
          <cell r="AR38">
            <v>265307</v>
          </cell>
          <cell r="AS38">
            <v>0</v>
          </cell>
        </row>
        <row r="39">
          <cell r="M39">
            <v>21</v>
          </cell>
          <cell r="N39" t="str">
            <v>A2</v>
          </cell>
          <cell r="P39">
            <v>7</v>
          </cell>
          <cell r="S39" t="str">
            <v xml:space="preserve"> </v>
          </cell>
          <cell r="U39">
            <v>2002</v>
          </cell>
          <cell r="W39">
            <v>9215</v>
          </cell>
          <cell r="X39">
            <v>4000</v>
          </cell>
          <cell r="Z39">
            <v>0</v>
          </cell>
          <cell r="AA39">
            <v>500</v>
          </cell>
          <cell r="AB39">
            <v>150</v>
          </cell>
          <cell r="AC39">
            <v>0</v>
          </cell>
          <cell r="AF39">
            <v>500</v>
          </cell>
          <cell r="AG39">
            <v>2750</v>
          </cell>
          <cell r="AH39">
            <v>17115</v>
          </cell>
          <cell r="AI39">
            <v>205380</v>
          </cell>
          <cell r="AJ39">
            <v>17500</v>
          </cell>
          <cell r="AK39">
            <v>20000</v>
          </cell>
          <cell r="AL39">
            <v>15000</v>
          </cell>
          <cell r="AM39">
            <v>0</v>
          </cell>
          <cell r="AN39">
            <v>0</v>
          </cell>
          <cell r="AO39">
            <v>0</v>
          </cell>
          <cell r="AP39">
            <v>0</v>
          </cell>
          <cell r="AQ39">
            <v>29857</v>
          </cell>
          <cell r="AR39">
            <v>287737</v>
          </cell>
          <cell r="AS39">
            <v>0</v>
          </cell>
        </row>
        <row r="40">
          <cell r="P40">
            <v>7</v>
          </cell>
          <cell r="S40" t="str">
            <v xml:space="preserve"> </v>
          </cell>
          <cell r="U40" t="str">
            <v>DIFF.</v>
          </cell>
          <cell r="W40">
            <v>750</v>
          </cell>
          <cell r="X40">
            <v>500</v>
          </cell>
          <cell r="Z40">
            <v>0</v>
          </cell>
          <cell r="AA40">
            <v>0</v>
          </cell>
          <cell r="AB40">
            <v>0</v>
          </cell>
          <cell r="AC40">
            <v>0</v>
          </cell>
          <cell r="AE40">
            <v>0</v>
          </cell>
          <cell r="AF40">
            <v>0</v>
          </cell>
          <cell r="AG40">
            <v>0</v>
          </cell>
          <cell r="AH40">
            <v>1250</v>
          </cell>
          <cell r="AI40">
            <v>15000</v>
          </cell>
          <cell r="AJ40">
            <v>0</v>
          </cell>
          <cell r="AK40">
            <v>0</v>
          </cell>
          <cell r="AL40">
            <v>5000</v>
          </cell>
          <cell r="AM40">
            <v>0</v>
          </cell>
          <cell r="AN40">
            <v>0</v>
          </cell>
          <cell r="AO40">
            <v>0</v>
          </cell>
          <cell r="AP40">
            <v>0</v>
          </cell>
          <cell r="AQ40">
            <v>2430</v>
          </cell>
          <cell r="AR40">
            <v>22430</v>
          </cell>
          <cell r="AS40">
            <v>8.4499999999999993</v>
          </cell>
        </row>
        <row r="41">
          <cell r="P41">
            <v>7</v>
          </cell>
          <cell r="S41" t="str">
            <v xml:space="preserve"> </v>
          </cell>
        </row>
        <row r="42">
          <cell r="G42">
            <v>1765</v>
          </cell>
          <cell r="H42" t="str">
            <v>MR RAVEENDRAN M A</v>
          </cell>
          <cell r="I42">
            <v>19694</v>
          </cell>
          <cell r="J42">
            <v>32419</v>
          </cell>
          <cell r="K42">
            <v>17584</v>
          </cell>
          <cell r="L42" t="str">
            <v>MA</v>
          </cell>
          <cell r="M42">
            <v>21</v>
          </cell>
          <cell r="N42" t="str">
            <v>A2</v>
          </cell>
          <cell r="O42" t="str">
            <v>MAM</v>
          </cell>
          <cell r="P42">
            <v>7</v>
          </cell>
          <cell r="Q42" t="str">
            <v>Other Locations</v>
          </cell>
          <cell r="R42" t="str">
            <v>Anantpur (Ap)</v>
          </cell>
          <cell r="S42" t="str">
            <v xml:space="preserve"> </v>
          </cell>
          <cell r="T42" t="str">
            <v>CA</v>
          </cell>
          <cell r="U42">
            <v>2001</v>
          </cell>
          <cell r="V42">
            <v>18000</v>
          </cell>
          <cell r="W42">
            <v>8178</v>
          </cell>
          <cell r="X42">
            <v>3500</v>
          </cell>
          <cell r="AA42">
            <v>500</v>
          </cell>
          <cell r="AB42">
            <v>150</v>
          </cell>
          <cell r="AC42">
            <v>0</v>
          </cell>
          <cell r="AD42" t="str">
            <v>CV</v>
          </cell>
          <cell r="AE42">
            <v>0</v>
          </cell>
          <cell r="AF42">
            <v>500</v>
          </cell>
          <cell r="AG42">
            <v>2750</v>
          </cell>
          <cell r="AH42">
            <v>15578</v>
          </cell>
          <cell r="AI42">
            <v>186936</v>
          </cell>
          <cell r="AJ42">
            <v>17500</v>
          </cell>
          <cell r="AK42">
            <v>20000</v>
          </cell>
          <cell r="AL42">
            <v>10000</v>
          </cell>
          <cell r="AM42">
            <v>0</v>
          </cell>
          <cell r="AN42">
            <v>0</v>
          </cell>
          <cell r="AO42">
            <v>0</v>
          </cell>
          <cell r="AP42">
            <v>0</v>
          </cell>
          <cell r="AQ42">
            <v>26497</v>
          </cell>
          <cell r="AR42">
            <v>260933</v>
          </cell>
          <cell r="AS42">
            <v>0</v>
          </cell>
        </row>
        <row r="43">
          <cell r="M43">
            <v>21</v>
          </cell>
          <cell r="N43" t="str">
            <v>A2</v>
          </cell>
          <cell r="P43">
            <v>7</v>
          </cell>
          <cell r="S43" t="str">
            <v xml:space="preserve"> </v>
          </cell>
          <cell r="U43">
            <v>2002</v>
          </cell>
          <cell r="W43">
            <v>8928</v>
          </cell>
          <cell r="X43">
            <v>4000</v>
          </cell>
          <cell r="Z43">
            <v>0</v>
          </cell>
          <cell r="AA43">
            <v>500</v>
          </cell>
          <cell r="AB43">
            <v>150</v>
          </cell>
          <cell r="AC43">
            <v>0</v>
          </cell>
          <cell r="AF43">
            <v>500</v>
          </cell>
          <cell r="AG43">
            <v>2750</v>
          </cell>
          <cell r="AH43">
            <v>16828</v>
          </cell>
          <cell r="AI43">
            <v>201936</v>
          </cell>
          <cell r="AJ43">
            <v>17500</v>
          </cell>
          <cell r="AK43">
            <v>20000</v>
          </cell>
          <cell r="AL43">
            <v>15000</v>
          </cell>
          <cell r="AM43">
            <v>0</v>
          </cell>
          <cell r="AN43">
            <v>0</v>
          </cell>
          <cell r="AO43">
            <v>0</v>
          </cell>
          <cell r="AP43">
            <v>0</v>
          </cell>
          <cell r="AQ43">
            <v>28927</v>
          </cell>
          <cell r="AR43">
            <v>283363</v>
          </cell>
          <cell r="AS43">
            <v>0</v>
          </cell>
        </row>
        <row r="44">
          <cell r="P44">
            <v>7</v>
          </cell>
          <cell r="S44" t="str">
            <v xml:space="preserve"> </v>
          </cell>
          <cell r="U44" t="str">
            <v>DIFF.</v>
          </cell>
          <cell r="W44">
            <v>750</v>
          </cell>
          <cell r="X44">
            <v>500</v>
          </cell>
          <cell r="Z44">
            <v>0</v>
          </cell>
          <cell r="AA44">
            <v>0</v>
          </cell>
          <cell r="AB44">
            <v>0</v>
          </cell>
          <cell r="AC44">
            <v>0</v>
          </cell>
          <cell r="AE44">
            <v>0</v>
          </cell>
          <cell r="AF44">
            <v>0</v>
          </cell>
          <cell r="AG44">
            <v>0</v>
          </cell>
          <cell r="AH44">
            <v>1250</v>
          </cell>
          <cell r="AI44">
            <v>15000</v>
          </cell>
          <cell r="AJ44">
            <v>0</v>
          </cell>
          <cell r="AK44">
            <v>0</v>
          </cell>
          <cell r="AL44">
            <v>5000</v>
          </cell>
          <cell r="AM44">
            <v>0</v>
          </cell>
          <cell r="AN44">
            <v>0</v>
          </cell>
          <cell r="AO44">
            <v>0</v>
          </cell>
          <cell r="AP44">
            <v>0</v>
          </cell>
          <cell r="AQ44">
            <v>2430</v>
          </cell>
          <cell r="AR44">
            <v>22430</v>
          </cell>
          <cell r="AS44">
            <v>8.6</v>
          </cell>
        </row>
        <row r="45">
          <cell r="P45">
            <v>7</v>
          </cell>
          <cell r="S45" t="str">
            <v xml:space="preserve"> </v>
          </cell>
        </row>
        <row r="46">
          <cell r="G46">
            <v>1790</v>
          </cell>
          <cell r="H46" t="str">
            <v>MR KULKARNI V H</v>
          </cell>
          <cell r="I46">
            <v>22215</v>
          </cell>
          <cell r="J46">
            <v>32736</v>
          </cell>
          <cell r="K46">
            <v>15063</v>
          </cell>
          <cell r="L46" t="str">
            <v>MA</v>
          </cell>
          <cell r="M46">
            <v>21</v>
          </cell>
          <cell r="N46" t="str">
            <v>A2</v>
          </cell>
          <cell r="O46" t="str">
            <v>MAM</v>
          </cell>
          <cell r="P46">
            <v>7</v>
          </cell>
          <cell r="Q46" t="str">
            <v>Other Locations</v>
          </cell>
          <cell r="R46" t="str">
            <v>Jalgaon (Maharashtra)</v>
          </cell>
          <cell r="S46" t="str">
            <v xml:space="preserve"> </v>
          </cell>
          <cell r="T46" t="str">
            <v>CA</v>
          </cell>
          <cell r="U46">
            <v>2001</v>
          </cell>
          <cell r="V46">
            <v>18000</v>
          </cell>
          <cell r="W46">
            <v>8090</v>
          </cell>
          <cell r="X46">
            <v>3500</v>
          </cell>
          <cell r="AA46">
            <v>500</v>
          </cell>
          <cell r="AB46">
            <v>150</v>
          </cell>
          <cell r="AC46">
            <v>0</v>
          </cell>
          <cell r="AD46" t="str">
            <v>CV</v>
          </cell>
          <cell r="AE46">
            <v>0</v>
          </cell>
          <cell r="AF46">
            <v>500</v>
          </cell>
          <cell r="AG46">
            <v>2750</v>
          </cell>
          <cell r="AH46">
            <v>15490</v>
          </cell>
          <cell r="AI46">
            <v>185880</v>
          </cell>
          <cell r="AJ46">
            <v>17500</v>
          </cell>
          <cell r="AK46">
            <v>20000</v>
          </cell>
          <cell r="AL46">
            <v>10000</v>
          </cell>
          <cell r="AM46">
            <v>0</v>
          </cell>
          <cell r="AN46">
            <v>0</v>
          </cell>
          <cell r="AO46">
            <v>0</v>
          </cell>
          <cell r="AP46">
            <v>0</v>
          </cell>
          <cell r="AQ46">
            <v>26212</v>
          </cell>
          <cell r="AR46">
            <v>259592</v>
          </cell>
          <cell r="AS46">
            <v>0</v>
          </cell>
        </row>
        <row r="47">
          <cell r="M47">
            <v>21</v>
          </cell>
          <cell r="N47" t="str">
            <v>A2</v>
          </cell>
          <cell r="P47">
            <v>7</v>
          </cell>
          <cell r="S47" t="str">
            <v xml:space="preserve"> </v>
          </cell>
          <cell r="U47">
            <v>2002</v>
          </cell>
          <cell r="W47">
            <v>8840</v>
          </cell>
          <cell r="X47">
            <v>4000</v>
          </cell>
          <cell r="Z47">
            <v>0</v>
          </cell>
          <cell r="AA47">
            <v>500</v>
          </cell>
          <cell r="AB47">
            <v>150</v>
          </cell>
          <cell r="AC47">
            <v>0</v>
          </cell>
          <cell r="AF47">
            <v>500</v>
          </cell>
          <cell r="AG47">
            <v>2750</v>
          </cell>
          <cell r="AH47">
            <v>16740</v>
          </cell>
          <cell r="AI47">
            <v>200880</v>
          </cell>
          <cell r="AJ47">
            <v>17500</v>
          </cell>
          <cell r="AK47">
            <v>20000</v>
          </cell>
          <cell r="AL47">
            <v>15000</v>
          </cell>
          <cell r="AM47">
            <v>0</v>
          </cell>
          <cell r="AN47">
            <v>0</v>
          </cell>
          <cell r="AO47">
            <v>0</v>
          </cell>
          <cell r="AP47">
            <v>0</v>
          </cell>
          <cell r="AQ47">
            <v>28642</v>
          </cell>
          <cell r="AR47">
            <v>282022</v>
          </cell>
          <cell r="AS47">
            <v>0</v>
          </cell>
        </row>
        <row r="48">
          <cell r="P48">
            <v>7</v>
          </cell>
          <cell r="S48" t="str">
            <v xml:space="preserve"> </v>
          </cell>
          <cell r="U48" t="str">
            <v>DIFF.</v>
          </cell>
          <cell r="W48">
            <v>750</v>
          </cell>
          <cell r="X48">
            <v>500</v>
          </cell>
          <cell r="Z48">
            <v>0</v>
          </cell>
          <cell r="AA48">
            <v>0</v>
          </cell>
          <cell r="AB48">
            <v>0</v>
          </cell>
          <cell r="AC48">
            <v>0</v>
          </cell>
          <cell r="AE48">
            <v>0</v>
          </cell>
          <cell r="AF48">
            <v>0</v>
          </cell>
          <cell r="AG48">
            <v>0</v>
          </cell>
          <cell r="AH48">
            <v>1250</v>
          </cell>
          <cell r="AI48">
            <v>15000</v>
          </cell>
          <cell r="AJ48">
            <v>0</v>
          </cell>
          <cell r="AK48">
            <v>0</v>
          </cell>
          <cell r="AL48">
            <v>5000</v>
          </cell>
          <cell r="AM48">
            <v>0</v>
          </cell>
          <cell r="AN48">
            <v>0</v>
          </cell>
          <cell r="AO48">
            <v>0</v>
          </cell>
          <cell r="AP48">
            <v>0</v>
          </cell>
          <cell r="AQ48">
            <v>2430</v>
          </cell>
          <cell r="AR48">
            <v>22430</v>
          </cell>
          <cell r="AS48">
            <v>8.64</v>
          </cell>
        </row>
        <row r="49">
          <cell r="P49">
            <v>7</v>
          </cell>
          <cell r="S49" t="str">
            <v xml:space="preserve"> </v>
          </cell>
        </row>
        <row r="50">
          <cell r="G50">
            <v>1876</v>
          </cell>
          <cell r="H50" t="str">
            <v>MR BEHERE B</v>
          </cell>
          <cell r="I50">
            <v>20118</v>
          </cell>
          <cell r="J50">
            <v>33604</v>
          </cell>
          <cell r="K50">
            <v>17160</v>
          </cell>
          <cell r="L50" t="str">
            <v>MA</v>
          </cell>
          <cell r="M50">
            <v>21</v>
          </cell>
          <cell r="N50" t="str">
            <v>A2</v>
          </cell>
          <cell r="O50" t="str">
            <v>MAM</v>
          </cell>
          <cell r="P50">
            <v>7</v>
          </cell>
          <cell r="Q50" t="str">
            <v>Other Locations</v>
          </cell>
          <cell r="R50" t="str">
            <v>Cuttack  (  )</v>
          </cell>
          <cell r="S50" t="str">
            <v xml:space="preserve"> </v>
          </cell>
          <cell r="T50" t="str">
            <v>CL</v>
          </cell>
          <cell r="U50">
            <v>2001</v>
          </cell>
          <cell r="V50">
            <v>18000</v>
          </cell>
          <cell r="W50">
            <v>8927</v>
          </cell>
          <cell r="X50">
            <v>3500</v>
          </cell>
          <cell r="AA50">
            <v>500</v>
          </cell>
          <cell r="AB50">
            <v>150</v>
          </cell>
          <cell r="AC50">
            <v>0</v>
          </cell>
          <cell r="AD50" t="str">
            <v>CV</v>
          </cell>
          <cell r="AE50">
            <v>0</v>
          </cell>
          <cell r="AF50">
            <v>500</v>
          </cell>
          <cell r="AG50">
            <v>2750</v>
          </cell>
          <cell r="AH50">
            <v>16327</v>
          </cell>
          <cell r="AI50">
            <v>195924</v>
          </cell>
          <cell r="AJ50">
            <v>17500</v>
          </cell>
          <cell r="AK50">
            <v>20000</v>
          </cell>
          <cell r="AL50">
            <v>10000</v>
          </cell>
          <cell r="AM50">
            <v>0</v>
          </cell>
          <cell r="AN50">
            <v>0</v>
          </cell>
          <cell r="AO50">
            <v>0</v>
          </cell>
          <cell r="AP50">
            <v>0</v>
          </cell>
          <cell r="AQ50">
            <v>28923</v>
          </cell>
          <cell r="AR50">
            <v>272347</v>
          </cell>
          <cell r="AS50">
            <v>0</v>
          </cell>
        </row>
        <row r="51">
          <cell r="M51">
            <v>21</v>
          </cell>
          <cell r="N51" t="str">
            <v>A2</v>
          </cell>
          <cell r="P51">
            <v>7</v>
          </cell>
          <cell r="S51" t="str">
            <v xml:space="preserve"> </v>
          </cell>
          <cell r="U51">
            <v>2002</v>
          </cell>
          <cell r="W51">
            <v>9577</v>
          </cell>
          <cell r="X51">
            <v>4000</v>
          </cell>
          <cell r="Z51">
            <v>0</v>
          </cell>
          <cell r="AA51">
            <v>500</v>
          </cell>
          <cell r="AB51">
            <v>150</v>
          </cell>
          <cell r="AC51">
            <v>0</v>
          </cell>
          <cell r="AF51">
            <v>500</v>
          </cell>
          <cell r="AG51">
            <v>2750</v>
          </cell>
          <cell r="AH51">
            <v>17477</v>
          </cell>
          <cell r="AI51">
            <v>209724</v>
          </cell>
          <cell r="AJ51">
            <v>17500</v>
          </cell>
          <cell r="AK51">
            <v>20000</v>
          </cell>
          <cell r="AL51">
            <v>15000</v>
          </cell>
          <cell r="AM51">
            <v>0</v>
          </cell>
          <cell r="AN51">
            <v>0</v>
          </cell>
          <cell r="AO51">
            <v>0</v>
          </cell>
          <cell r="AP51">
            <v>0</v>
          </cell>
          <cell r="AQ51">
            <v>31029</v>
          </cell>
          <cell r="AR51">
            <v>293253</v>
          </cell>
          <cell r="AS51">
            <v>0</v>
          </cell>
        </row>
        <row r="52">
          <cell r="P52">
            <v>7</v>
          </cell>
          <cell r="S52" t="str">
            <v xml:space="preserve"> </v>
          </cell>
          <cell r="U52" t="str">
            <v>DIFF.</v>
          </cell>
          <cell r="W52">
            <v>650</v>
          </cell>
          <cell r="X52">
            <v>500</v>
          </cell>
          <cell r="Z52">
            <v>0</v>
          </cell>
          <cell r="AA52">
            <v>0</v>
          </cell>
          <cell r="AB52">
            <v>0</v>
          </cell>
          <cell r="AC52">
            <v>0</v>
          </cell>
          <cell r="AE52">
            <v>0</v>
          </cell>
          <cell r="AF52">
            <v>0</v>
          </cell>
          <cell r="AG52">
            <v>0</v>
          </cell>
          <cell r="AH52">
            <v>1150</v>
          </cell>
          <cell r="AI52">
            <v>13800</v>
          </cell>
          <cell r="AJ52">
            <v>0</v>
          </cell>
          <cell r="AK52">
            <v>0</v>
          </cell>
          <cell r="AL52">
            <v>5000</v>
          </cell>
          <cell r="AM52">
            <v>0</v>
          </cell>
          <cell r="AN52">
            <v>0</v>
          </cell>
          <cell r="AO52">
            <v>0</v>
          </cell>
          <cell r="AP52">
            <v>0</v>
          </cell>
          <cell r="AQ52">
            <v>2106</v>
          </cell>
          <cell r="AR52">
            <v>20906</v>
          </cell>
          <cell r="AS52">
            <v>7.68</v>
          </cell>
        </row>
        <row r="53">
          <cell r="P53">
            <v>7</v>
          </cell>
          <cell r="S53" t="str">
            <v xml:space="preserve"> </v>
          </cell>
        </row>
        <row r="54">
          <cell r="G54">
            <v>1927</v>
          </cell>
          <cell r="H54" t="str">
            <v>MR CHELLAPANDIAN P</v>
          </cell>
          <cell r="I54">
            <v>23793</v>
          </cell>
          <cell r="J54">
            <v>34197</v>
          </cell>
          <cell r="K54">
            <v>13485</v>
          </cell>
          <cell r="L54" t="str">
            <v>MA</v>
          </cell>
          <cell r="M54">
            <v>21</v>
          </cell>
          <cell r="N54" t="str">
            <v>A2</v>
          </cell>
          <cell r="O54" t="str">
            <v>MAM</v>
          </cell>
          <cell r="P54">
            <v>7</v>
          </cell>
          <cell r="Q54" t="str">
            <v>Other Locations</v>
          </cell>
          <cell r="R54" t="str">
            <v>Gangavathi (Karnataka)</v>
          </cell>
          <cell r="S54" t="str">
            <v xml:space="preserve"> </v>
          </cell>
          <cell r="T54" t="str">
            <v>CL</v>
          </cell>
          <cell r="U54">
            <v>2001</v>
          </cell>
          <cell r="V54">
            <v>18000</v>
          </cell>
          <cell r="W54">
            <v>7615</v>
          </cell>
          <cell r="X54">
            <v>3500</v>
          </cell>
          <cell r="AA54">
            <v>500</v>
          </cell>
          <cell r="AB54">
            <v>150</v>
          </cell>
          <cell r="AC54">
            <v>0</v>
          </cell>
          <cell r="AD54" t="str">
            <v>CV</v>
          </cell>
          <cell r="AE54">
            <v>0</v>
          </cell>
          <cell r="AF54">
            <v>500</v>
          </cell>
          <cell r="AG54">
            <v>2750</v>
          </cell>
          <cell r="AH54">
            <v>15015</v>
          </cell>
          <cell r="AI54">
            <v>180180</v>
          </cell>
          <cell r="AJ54">
            <v>17500</v>
          </cell>
          <cell r="AK54">
            <v>20000</v>
          </cell>
          <cell r="AL54">
            <v>10000</v>
          </cell>
          <cell r="AM54">
            <v>0</v>
          </cell>
          <cell r="AN54">
            <v>0</v>
          </cell>
          <cell r="AO54">
            <v>0</v>
          </cell>
          <cell r="AP54">
            <v>0</v>
          </cell>
          <cell r="AQ54">
            <v>24673</v>
          </cell>
          <cell r="AR54">
            <v>252353</v>
          </cell>
          <cell r="AS54">
            <v>0</v>
          </cell>
        </row>
        <row r="55">
          <cell r="M55">
            <v>21</v>
          </cell>
          <cell r="N55" t="str">
            <v>A2</v>
          </cell>
          <cell r="P55">
            <v>7</v>
          </cell>
          <cell r="S55" t="str">
            <v xml:space="preserve"> </v>
          </cell>
          <cell r="U55">
            <v>2002</v>
          </cell>
          <cell r="W55">
            <v>8265</v>
          </cell>
          <cell r="X55">
            <v>4000</v>
          </cell>
          <cell r="Z55">
            <v>0</v>
          </cell>
          <cell r="AA55">
            <v>500</v>
          </cell>
          <cell r="AB55">
            <v>150</v>
          </cell>
          <cell r="AC55">
            <v>0</v>
          </cell>
          <cell r="AF55">
            <v>500</v>
          </cell>
          <cell r="AG55">
            <v>2750</v>
          </cell>
          <cell r="AH55">
            <v>16165</v>
          </cell>
          <cell r="AI55">
            <v>193980</v>
          </cell>
          <cell r="AJ55">
            <v>17500</v>
          </cell>
          <cell r="AK55">
            <v>20000</v>
          </cell>
          <cell r="AL55">
            <v>15000</v>
          </cell>
          <cell r="AM55">
            <v>0</v>
          </cell>
          <cell r="AN55">
            <v>0</v>
          </cell>
          <cell r="AO55">
            <v>0</v>
          </cell>
          <cell r="AP55">
            <v>0</v>
          </cell>
          <cell r="AQ55">
            <v>26779</v>
          </cell>
          <cell r="AR55">
            <v>273259</v>
          </cell>
          <cell r="AS55">
            <v>0</v>
          </cell>
        </row>
        <row r="56">
          <cell r="P56">
            <v>7</v>
          </cell>
          <cell r="S56" t="str">
            <v xml:space="preserve"> </v>
          </cell>
          <cell r="U56" t="str">
            <v>DIFF.</v>
          </cell>
          <cell r="W56">
            <v>650</v>
          </cell>
          <cell r="X56">
            <v>500</v>
          </cell>
          <cell r="Z56">
            <v>0</v>
          </cell>
          <cell r="AA56">
            <v>0</v>
          </cell>
          <cell r="AB56">
            <v>0</v>
          </cell>
          <cell r="AC56">
            <v>0</v>
          </cell>
          <cell r="AE56">
            <v>0</v>
          </cell>
          <cell r="AF56">
            <v>0</v>
          </cell>
          <cell r="AG56">
            <v>0</v>
          </cell>
          <cell r="AH56">
            <v>1150</v>
          </cell>
          <cell r="AI56">
            <v>13800</v>
          </cell>
          <cell r="AJ56">
            <v>0</v>
          </cell>
          <cell r="AK56">
            <v>0</v>
          </cell>
          <cell r="AL56">
            <v>5000</v>
          </cell>
          <cell r="AM56">
            <v>0</v>
          </cell>
          <cell r="AN56">
            <v>0</v>
          </cell>
          <cell r="AO56">
            <v>0</v>
          </cell>
          <cell r="AP56">
            <v>0</v>
          </cell>
          <cell r="AQ56">
            <v>2106</v>
          </cell>
          <cell r="AR56">
            <v>20906</v>
          </cell>
          <cell r="AS56">
            <v>8.2799999999999994</v>
          </cell>
        </row>
        <row r="57">
          <cell r="P57">
            <v>7</v>
          </cell>
          <cell r="S57" t="str">
            <v xml:space="preserve"> </v>
          </cell>
        </row>
        <row r="58">
          <cell r="G58">
            <v>1970</v>
          </cell>
          <cell r="H58" t="str">
            <v>MR PATEL P M</v>
          </cell>
          <cell r="I58">
            <v>25294</v>
          </cell>
          <cell r="J58">
            <v>34512</v>
          </cell>
          <cell r="K58">
            <v>11984</v>
          </cell>
          <cell r="L58" t="str">
            <v>MA</v>
          </cell>
          <cell r="M58">
            <v>21</v>
          </cell>
          <cell r="N58" t="str">
            <v>A2</v>
          </cell>
          <cell r="O58" t="str">
            <v>MAM</v>
          </cell>
          <cell r="P58">
            <v>7</v>
          </cell>
          <cell r="Q58" t="str">
            <v>Other Locations</v>
          </cell>
          <cell r="R58" t="str">
            <v>Bhavnagar (Guj)</v>
          </cell>
          <cell r="S58" t="str">
            <v xml:space="preserve"> </v>
          </cell>
          <cell r="T58" t="str">
            <v>BA</v>
          </cell>
          <cell r="U58">
            <v>2001</v>
          </cell>
          <cell r="V58">
            <v>21150</v>
          </cell>
          <cell r="W58">
            <v>7628</v>
          </cell>
          <cell r="X58">
            <v>3500</v>
          </cell>
          <cell r="AA58">
            <v>500</v>
          </cell>
          <cell r="AB58">
            <v>150</v>
          </cell>
          <cell r="AC58">
            <v>0</v>
          </cell>
          <cell r="AD58" t="str">
            <v>CV</v>
          </cell>
          <cell r="AE58">
            <v>0</v>
          </cell>
          <cell r="AF58">
            <v>500</v>
          </cell>
          <cell r="AG58">
            <v>2750</v>
          </cell>
          <cell r="AH58">
            <v>15028</v>
          </cell>
          <cell r="AI58">
            <v>180336</v>
          </cell>
          <cell r="AJ58">
            <v>17500</v>
          </cell>
          <cell r="AK58">
            <v>20000</v>
          </cell>
          <cell r="AL58">
            <v>10000</v>
          </cell>
          <cell r="AM58">
            <v>0</v>
          </cell>
          <cell r="AN58">
            <v>0</v>
          </cell>
          <cell r="AO58">
            <v>0</v>
          </cell>
          <cell r="AP58">
            <v>0</v>
          </cell>
          <cell r="AQ58">
            <v>24715</v>
          </cell>
          <cell r="AR58">
            <v>252551</v>
          </cell>
          <cell r="AS58">
            <v>0</v>
          </cell>
        </row>
        <row r="59">
          <cell r="M59">
            <v>21</v>
          </cell>
          <cell r="N59" t="str">
            <v>A2</v>
          </cell>
          <cell r="P59">
            <v>7</v>
          </cell>
          <cell r="S59" t="str">
            <v xml:space="preserve"> </v>
          </cell>
          <cell r="U59">
            <v>2002</v>
          </cell>
          <cell r="W59">
            <v>8728</v>
          </cell>
          <cell r="X59">
            <v>4000</v>
          </cell>
          <cell r="Z59">
            <v>0</v>
          </cell>
          <cell r="AA59">
            <v>500</v>
          </cell>
          <cell r="AB59">
            <v>150</v>
          </cell>
          <cell r="AC59">
            <v>0</v>
          </cell>
          <cell r="AF59">
            <v>500</v>
          </cell>
          <cell r="AG59">
            <v>2750</v>
          </cell>
          <cell r="AH59">
            <v>16628</v>
          </cell>
          <cell r="AI59">
            <v>199536</v>
          </cell>
          <cell r="AJ59">
            <v>17500</v>
          </cell>
          <cell r="AK59">
            <v>20000</v>
          </cell>
          <cell r="AL59">
            <v>15000</v>
          </cell>
          <cell r="AM59">
            <v>0</v>
          </cell>
          <cell r="AN59">
            <v>0</v>
          </cell>
          <cell r="AO59">
            <v>0</v>
          </cell>
          <cell r="AP59">
            <v>0</v>
          </cell>
          <cell r="AQ59">
            <v>28279</v>
          </cell>
          <cell r="AR59">
            <v>280315</v>
          </cell>
          <cell r="AS59">
            <v>0</v>
          </cell>
        </row>
        <row r="60">
          <cell r="P60">
            <v>7</v>
          </cell>
          <cell r="S60" t="str">
            <v xml:space="preserve"> </v>
          </cell>
          <cell r="U60" t="str">
            <v>DIFF.</v>
          </cell>
          <cell r="W60">
            <v>1100</v>
          </cell>
          <cell r="X60">
            <v>500</v>
          </cell>
          <cell r="Z60">
            <v>0</v>
          </cell>
          <cell r="AA60">
            <v>0</v>
          </cell>
          <cell r="AB60">
            <v>0</v>
          </cell>
          <cell r="AC60">
            <v>0</v>
          </cell>
          <cell r="AE60">
            <v>0</v>
          </cell>
          <cell r="AF60">
            <v>0</v>
          </cell>
          <cell r="AG60">
            <v>0</v>
          </cell>
          <cell r="AH60">
            <v>1600</v>
          </cell>
          <cell r="AI60">
            <v>19200</v>
          </cell>
          <cell r="AJ60">
            <v>0</v>
          </cell>
          <cell r="AK60">
            <v>0</v>
          </cell>
          <cell r="AL60">
            <v>5000</v>
          </cell>
          <cell r="AM60">
            <v>0</v>
          </cell>
          <cell r="AN60">
            <v>0</v>
          </cell>
          <cell r="AO60">
            <v>0</v>
          </cell>
          <cell r="AP60">
            <v>0</v>
          </cell>
          <cell r="AQ60">
            <v>3564</v>
          </cell>
          <cell r="AR60">
            <v>27764</v>
          </cell>
          <cell r="AS60">
            <v>10.99</v>
          </cell>
        </row>
        <row r="61">
          <cell r="P61">
            <v>7</v>
          </cell>
          <cell r="S61" t="str">
            <v xml:space="preserve"> </v>
          </cell>
        </row>
        <row r="62">
          <cell r="G62">
            <v>2026</v>
          </cell>
          <cell r="H62" t="str">
            <v>MR SUBRAMANYA K G</v>
          </cell>
          <cell r="I62">
            <v>25733</v>
          </cell>
          <cell r="J62">
            <v>35034</v>
          </cell>
          <cell r="K62">
            <v>11545</v>
          </cell>
          <cell r="L62" t="str">
            <v>MA</v>
          </cell>
          <cell r="M62">
            <v>21</v>
          </cell>
          <cell r="N62" t="str">
            <v>A1</v>
          </cell>
          <cell r="O62" t="str">
            <v>MAM</v>
          </cell>
          <cell r="P62">
            <v>2</v>
          </cell>
          <cell r="Q62" t="str">
            <v>Chennai</v>
          </cell>
          <cell r="R62" t="str">
            <v>Chennai</v>
          </cell>
          <cell r="S62" t="str">
            <v xml:space="preserve"> </v>
          </cell>
          <cell r="T62" t="str">
            <v>BA</v>
          </cell>
          <cell r="U62">
            <v>2001</v>
          </cell>
          <cell r="V62">
            <v>21150</v>
          </cell>
          <cell r="W62">
            <v>7000</v>
          </cell>
          <cell r="X62">
            <v>3500</v>
          </cell>
          <cell r="AA62">
            <v>500</v>
          </cell>
          <cell r="AB62">
            <v>150</v>
          </cell>
          <cell r="AC62">
            <v>800</v>
          </cell>
          <cell r="AE62">
            <v>450</v>
          </cell>
          <cell r="AG62">
            <v>2750</v>
          </cell>
          <cell r="AH62">
            <v>15150</v>
          </cell>
          <cell r="AI62">
            <v>181800</v>
          </cell>
          <cell r="AJ62">
            <v>17500</v>
          </cell>
          <cell r="AK62">
            <v>20000</v>
          </cell>
          <cell r="AL62">
            <v>10000</v>
          </cell>
          <cell r="AQ62">
            <v>22680</v>
          </cell>
          <cell r="AR62">
            <v>251980</v>
          </cell>
        </row>
        <row r="63">
          <cell r="M63">
            <v>21</v>
          </cell>
          <cell r="N63" t="str">
            <v>A1</v>
          </cell>
          <cell r="P63">
            <v>2</v>
          </cell>
          <cell r="S63" t="str">
            <v xml:space="preserve"> </v>
          </cell>
          <cell r="U63">
            <v>2002</v>
          </cell>
          <cell r="W63">
            <v>8100</v>
          </cell>
          <cell r="X63">
            <v>4500</v>
          </cell>
          <cell r="Z63">
            <v>0</v>
          </cell>
          <cell r="AA63">
            <v>500</v>
          </cell>
          <cell r="AB63">
            <v>150</v>
          </cell>
          <cell r="AC63">
            <v>800</v>
          </cell>
          <cell r="AF63">
            <v>0</v>
          </cell>
          <cell r="AG63">
            <v>2750</v>
          </cell>
          <cell r="AH63">
            <v>16800</v>
          </cell>
          <cell r="AI63">
            <v>201600</v>
          </cell>
          <cell r="AJ63">
            <v>17500</v>
          </cell>
          <cell r="AK63">
            <v>20000</v>
          </cell>
          <cell r="AL63">
            <v>15000</v>
          </cell>
          <cell r="AM63">
            <v>0</v>
          </cell>
          <cell r="AN63">
            <v>0</v>
          </cell>
          <cell r="AO63">
            <v>0</v>
          </cell>
          <cell r="AP63">
            <v>0</v>
          </cell>
          <cell r="AQ63">
            <v>26244</v>
          </cell>
          <cell r="AR63">
            <v>280344</v>
          </cell>
          <cell r="AS63">
            <v>0</v>
          </cell>
        </row>
        <row r="64">
          <cell r="P64">
            <v>2</v>
          </cell>
          <cell r="S64" t="str">
            <v xml:space="preserve"> </v>
          </cell>
          <cell r="U64" t="str">
            <v>DIFF.</v>
          </cell>
          <cell r="W64">
            <v>1100</v>
          </cell>
          <cell r="X64">
            <v>1000</v>
          </cell>
          <cell r="Z64">
            <v>0</v>
          </cell>
          <cell r="AA64">
            <v>0</v>
          </cell>
          <cell r="AB64">
            <v>0</v>
          </cell>
          <cell r="AC64">
            <v>0</v>
          </cell>
          <cell r="AE64">
            <v>-450</v>
          </cell>
          <cell r="AF64">
            <v>0</v>
          </cell>
          <cell r="AG64">
            <v>0</v>
          </cell>
          <cell r="AH64">
            <v>1650</v>
          </cell>
          <cell r="AI64">
            <v>19800</v>
          </cell>
          <cell r="AJ64">
            <v>0</v>
          </cell>
          <cell r="AK64">
            <v>0</v>
          </cell>
          <cell r="AL64">
            <v>5000</v>
          </cell>
          <cell r="AM64">
            <v>0</v>
          </cell>
          <cell r="AN64">
            <v>0</v>
          </cell>
          <cell r="AO64">
            <v>0</v>
          </cell>
          <cell r="AP64">
            <v>0</v>
          </cell>
          <cell r="AQ64">
            <v>3564</v>
          </cell>
          <cell r="AR64">
            <v>28364</v>
          </cell>
          <cell r="AS64">
            <v>11.26</v>
          </cell>
        </row>
        <row r="65">
          <cell r="P65">
            <v>2</v>
          </cell>
          <cell r="S65" t="str">
            <v xml:space="preserve"> </v>
          </cell>
        </row>
        <row r="66">
          <cell r="G66">
            <v>2124</v>
          </cell>
          <cell r="H66" t="str">
            <v>MR ARYA R K</v>
          </cell>
          <cell r="I66">
            <v>23818</v>
          </cell>
          <cell r="J66">
            <v>35590</v>
          </cell>
          <cell r="K66">
            <v>13460</v>
          </cell>
          <cell r="L66" t="str">
            <v>MA</v>
          </cell>
          <cell r="M66">
            <v>21</v>
          </cell>
          <cell r="N66" t="str">
            <v>A2</v>
          </cell>
          <cell r="O66" t="str">
            <v>MAM</v>
          </cell>
          <cell r="P66">
            <v>7</v>
          </cell>
          <cell r="Q66" t="str">
            <v>Other Locations</v>
          </cell>
          <cell r="R66" t="str">
            <v>Meerut (Up)</v>
          </cell>
          <cell r="S66" t="str">
            <v xml:space="preserve"> </v>
          </cell>
          <cell r="T66" t="str">
            <v>CL</v>
          </cell>
          <cell r="U66">
            <v>2001</v>
          </cell>
          <cell r="V66">
            <v>18000</v>
          </cell>
          <cell r="W66">
            <v>7678</v>
          </cell>
          <cell r="X66">
            <v>3500</v>
          </cell>
          <cell r="AA66">
            <v>500</v>
          </cell>
          <cell r="AB66">
            <v>150</v>
          </cell>
          <cell r="AC66">
            <v>0</v>
          </cell>
          <cell r="AD66" t="str">
            <v>CV</v>
          </cell>
          <cell r="AE66">
            <v>0</v>
          </cell>
          <cell r="AF66">
            <v>500</v>
          </cell>
          <cell r="AG66">
            <v>2750</v>
          </cell>
          <cell r="AH66">
            <v>15078</v>
          </cell>
          <cell r="AI66">
            <v>180936</v>
          </cell>
          <cell r="AJ66">
            <v>17500</v>
          </cell>
          <cell r="AK66">
            <v>20000</v>
          </cell>
          <cell r="AL66">
            <v>10000</v>
          </cell>
          <cell r="AM66">
            <v>0</v>
          </cell>
          <cell r="AN66">
            <v>0</v>
          </cell>
          <cell r="AO66">
            <v>0</v>
          </cell>
          <cell r="AP66">
            <v>0</v>
          </cell>
          <cell r="AQ66">
            <v>24877</v>
          </cell>
          <cell r="AR66">
            <v>253313</v>
          </cell>
          <cell r="AS66">
            <v>0</v>
          </cell>
        </row>
        <row r="67">
          <cell r="M67">
            <v>21</v>
          </cell>
          <cell r="N67" t="str">
            <v>A2</v>
          </cell>
          <cell r="P67">
            <v>7</v>
          </cell>
          <cell r="S67" t="str">
            <v xml:space="preserve"> </v>
          </cell>
          <cell r="U67">
            <v>2002</v>
          </cell>
          <cell r="W67">
            <v>8328</v>
          </cell>
          <cell r="X67">
            <v>4000</v>
          </cell>
          <cell r="Z67">
            <v>0</v>
          </cell>
          <cell r="AA67">
            <v>500</v>
          </cell>
          <cell r="AB67">
            <v>150</v>
          </cell>
          <cell r="AC67">
            <v>0</v>
          </cell>
          <cell r="AF67">
            <v>500</v>
          </cell>
          <cell r="AG67">
            <v>2750</v>
          </cell>
          <cell r="AH67">
            <v>16228</v>
          </cell>
          <cell r="AI67">
            <v>194736</v>
          </cell>
          <cell r="AJ67">
            <v>17500</v>
          </cell>
          <cell r="AK67">
            <v>20000</v>
          </cell>
          <cell r="AL67">
            <v>15000</v>
          </cell>
          <cell r="AM67">
            <v>0</v>
          </cell>
          <cell r="AN67">
            <v>0</v>
          </cell>
          <cell r="AO67">
            <v>0</v>
          </cell>
          <cell r="AP67">
            <v>0</v>
          </cell>
          <cell r="AQ67">
            <v>26983</v>
          </cell>
          <cell r="AR67">
            <v>274219</v>
          </cell>
          <cell r="AS67">
            <v>0</v>
          </cell>
        </row>
        <row r="68">
          <cell r="P68">
            <v>7</v>
          </cell>
          <cell r="S68" t="str">
            <v xml:space="preserve"> </v>
          </cell>
          <cell r="U68" t="str">
            <v>DIFF.</v>
          </cell>
          <cell r="W68">
            <v>650</v>
          </cell>
          <cell r="X68">
            <v>500</v>
          </cell>
          <cell r="Z68">
            <v>0</v>
          </cell>
          <cell r="AA68">
            <v>0</v>
          </cell>
          <cell r="AB68">
            <v>0</v>
          </cell>
          <cell r="AC68">
            <v>0</v>
          </cell>
          <cell r="AE68">
            <v>0</v>
          </cell>
          <cell r="AF68">
            <v>0</v>
          </cell>
          <cell r="AG68">
            <v>0</v>
          </cell>
          <cell r="AH68">
            <v>1150</v>
          </cell>
          <cell r="AI68">
            <v>13800</v>
          </cell>
          <cell r="AJ68">
            <v>0</v>
          </cell>
          <cell r="AK68">
            <v>0</v>
          </cell>
          <cell r="AL68">
            <v>5000</v>
          </cell>
          <cell r="AM68">
            <v>0</v>
          </cell>
          <cell r="AN68">
            <v>0</v>
          </cell>
          <cell r="AO68">
            <v>0</v>
          </cell>
          <cell r="AP68">
            <v>0</v>
          </cell>
          <cell r="AQ68">
            <v>2106</v>
          </cell>
          <cell r="AR68">
            <v>20906</v>
          </cell>
          <cell r="AS68">
            <v>8.25</v>
          </cell>
        </row>
        <row r="69">
          <cell r="P69">
            <v>7</v>
          </cell>
          <cell r="S69" t="str">
            <v xml:space="preserve"> </v>
          </cell>
        </row>
        <row r="70">
          <cell r="G70">
            <v>2129</v>
          </cell>
          <cell r="H70" t="str">
            <v>MR KWATRA M</v>
          </cell>
          <cell r="I70">
            <v>25353</v>
          </cell>
          <cell r="J70">
            <v>35612</v>
          </cell>
          <cell r="K70">
            <v>11925</v>
          </cell>
          <cell r="L70" t="str">
            <v>MA</v>
          </cell>
          <cell r="M70">
            <v>21</v>
          </cell>
          <cell r="N70" t="str">
            <v>A2</v>
          </cell>
          <cell r="O70" t="str">
            <v>MAM</v>
          </cell>
          <cell r="P70">
            <v>3</v>
          </cell>
          <cell r="Q70" t="str">
            <v>Delhi</v>
          </cell>
          <cell r="R70" t="str">
            <v>Delhi</v>
          </cell>
          <cell r="S70" t="str">
            <v xml:space="preserve"> </v>
          </cell>
          <cell r="T70" t="str">
            <v>CA</v>
          </cell>
          <cell r="U70">
            <v>2001</v>
          </cell>
          <cell r="V70">
            <v>18000</v>
          </cell>
          <cell r="W70">
            <v>8754</v>
          </cell>
          <cell r="X70">
            <v>3500</v>
          </cell>
          <cell r="AA70">
            <v>500</v>
          </cell>
          <cell r="AB70">
            <v>150</v>
          </cell>
          <cell r="AC70">
            <v>800</v>
          </cell>
          <cell r="AE70">
            <v>450</v>
          </cell>
          <cell r="AF70">
            <v>500</v>
          </cell>
          <cell r="AG70">
            <v>2750</v>
          </cell>
          <cell r="AH70">
            <v>17404</v>
          </cell>
          <cell r="AI70">
            <v>208848</v>
          </cell>
          <cell r="AJ70">
            <v>17500</v>
          </cell>
          <cell r="AK70">
            <v>20000</v>
          </cell>
          <cell r="AL70">
            <v>10000</v>
          </cell>
          <cell r="AM70">
            <v>0</v>
          </cell>
          <cell r="AN70">
            <v>0</v>
          </cell>
          <cell r="AO70">
            <v>0</v>
          </cell>
          <cell r="AP70">
            <v>0</v>
          </cell>
          <cell r="AQ70">
            <v>28363</v>
          </cell>
          <cell r="AR70">
            <v>284711</v>
          </cell>
          <cell r="AS70">
            <v>0</v>
          </cell>
        </row>
        <row r="71">
          <cell r="M71">
            <v>21</v>
          </cell>
          <cell r="N71" t="str">
            <v>A2</v>
          </cell>
          <cell r="P71">
            <v>3</v>
          </cell>
          <cell r="S71" t="str">
            <v xml:space="preserve"> </v>
          </cell>
          <cell r="U71">
            <v>2002</v>
          </cell>
          <cell r="W71">
            <v>9504</v>
          </cell>
          <cell r="X71">
            <v>4500</v>
          </cell>
          <cell r="Z71">
            <v>0</v>
          </cell>
          <cell r="AA71">
            <v>500</v>
          </cell>
          <cell r="AB71">
            <v>150</v>
          </cell>
          <cell r="AC71">
            <v>800</v>
          </cell>
          <cell r="AF71">
            <v>500</v>
          </cell>
          <cell r="AG71">
            <v>2750</v>
          </cell>
          <cell r="AH71">
            <v>18704</v>
          </cell>
          <cell r="AI71">
            <v>224448</v>
          </cell>
          <cell r="AJ71">
            <v>17500</v>
          </cell>
          <cell r="AK71">
            <v>20000</v>
          </cell>
          <cell r="AL71">
            <v>15000</v>
          </cell>
          <cell r="AM71">
            <v>0</v>
          </cell>
          <cell r="AN71">
            <v>0</v>
          </cell>
          <cell r="AO71">
            <v>0</v>
          </cell>
          <cell r="AP71">
            <v>0</v>
          </cell>
          <cell r="AQ71">
            <v>30793</v>
          </cell>
          <cell r="AR71">
            <v>307741</v>
          </cell>
          <cell r="AS71">
            <v>0</v>
          </cell>
        </row>
        <row r="72">
          <cell r="P72">
            <v>3</v>
          </cell>
          <cell r="S72" t="str">
            <v xml:space="preserve"> </v>
          </cell>
          <cell r="U72" t="str">
            <v>DIFF.</v>
          </cell>
          <cell r="W72">
            <v>750</v>
          </cell>
          <cell r="X72">
            <v>1000</v>
          </cell>
          <cell r="Z72">
            <v>0</v>
          </cell>
          <cell r="AA72">
            <v>0</v>
          </cell>
          <cell r="AB72">
            <v>0</v>
          </cell>
          <cell r="AC72">
            <v>0</v>
          </cell>
          <cell r="AE72">
            <v>-450</v>
          </cell>
          <cell r="AF72">
            <v>0</v>
          </cell>
          <cell r="AG72">
            <v>0</v>
          </cell>
          <cell r="AH72">
            <v>1300</v>
          </cell>
          <cell r="AI72">
            <v>15600</v>
          </cell>
          <cell r="AJ72">
            <v>0</v>
          </cell>
          <cell r="AK72">
            <v>0</v>
          </cell>
          <cell r="AL72">
            <v>5000</v>
          </cell>
          <cell r="AM72">
            <v>0</v>
          </cell>
          <cell r="AN72">
            <v>0</v>
          </cell>
          <cell r="AO72">
            <v>0</v>
          </cell>
          <cell r="AP72">
            <v>0</v>
          </cell>
          <cell r="AQ72">
            <v>2430</v>
          </cell>
          <cell r="AR72">
            <v>23030</v>
          </cell>
          <cell r="AS72">
            <v>8.09</v>
          </cell>
        </row>
        <row r="73">
          <cell r="P73">
            <v>3</v>
          </cell>
          <cell r="S73" t="str">
            <v xml:space="preserve"> </v>
          </cell>
        </row>
        <row r="74">
          <cell r="G74">
            <v>2143</v>
          </cell>
          <cell r="H74" t="str">
            <v xml:space="preserve">MR CHANDRASHEKAR G                                  </v>
          </cell>
          <cell r="I74">
            <v>24259</v>
          </cell>
          <cell r="J74">
            <v>35658</v>
          </cell>
          <cell r="K74">
            <v>13019</v>
          </cell>
          <cell r="L74" t="str">
            <v>MA</v>
          </cell>
          <cell r="M74">
            <v>21</v>
          </cell>
          <cell r="N74" t="str">
            <v>A2</v>
          </cell>
          <cell r="O74" t="str">
            <v>MAM</v>
          </cell>
          <cell r="P74">
            <v>7</v>
          </cell>
          <cell r="Q74" t="str">
            <v>Other Locations</v>
          </cell>
          <cell r="R74" t="str">
            <v>Dharawar (Karnataka)</v>
          </cell>
          <cell r="S74" t="str">
            <v xml:space="preserve"> </v>
          </cell>
          <cell r="T74" t="str">
            <v>CL</v>
          </cell>
          <cell r="U74">
            <v>2001</v>
          </cell>
          <cell r="V74">
            <v>18000</v>
          </cell>
          <cell r="W74">
            <v>7150</v>
          </cell>
          <cell r="X74">
            <v>3500</v>
          </cell>
          <cell r="AA74">
            <v>500</v>
          </cell>
          <cell r="AB74">
            <v>150</v>
          </cell>
          <cell r="AC74">
            <v>0</v>
          </cell>
          <cell r="AD74" t="str">
            <v>CV</v>
          </cell>
          <cell r="AE74">
            <v>0</v>
          </cell>
          <cell r="AF74">
            <v>500</v>
          </cell>
          <cell r="AG74">
            <v>2750</v>
          </cell>
          <cell r="AH74">
            <v>14550</v>
          </cell>
          <cell r="AI74">
            <v>174600</v>
          </cell>
          <cell r="AJ74">
            <v>17500</v>
          </cell>
          <cell r="AK74">
            <v>20000</v>
          </cell>
          <cell r="AL74">
            <v>10000</v>
          </cell>
          <cell r="AM74">
            <v>0</v>
          </cell>
          <cell r="AN74">
            <v>0</v>
          </cell>
          <cell r="AO74">
            <v>0</v>
          </cell>
          <cell r="AP74">
            <v>0</v>
          </cell>
          <cell r="AQ74">
            <v>23166</v>
          </cell>
          <cell r="AR74">
            <v>245266</v>
          </cell>
          <cell r="AS74">
            <v>0</v>
          </cell>
        </row>
        <row r="75">
          <cell r="M75">
            <v>21</v>
          </cell>
          <cell r="N75" t="str">
            <v>A2</v>
          </cell>
          <cell r="P75">
            <v>7</v>
          </cell>
          <cell r="S75" t="str">
            <v xml:space="preserve"> </v>
          </cell>
          <cell r="U75">
            <v>2002</v>
          </cell>
          <cell r="W75">
            <v>7800</v>
          </cell>
          <cell r="X75">
            <v>4000</v>
          </cell>
          <cell r="Z75">
            <v>0</v>
          </cell>
          <cell r="AA75">
            <v>500</v>
          </cell>
          <cell r="AB75">
            <v>150</v>
          </cell>
          <cell r="AC75">
            <v>0</v>
          </cell>
          <cell r="AF75">
            <v>500</v>
          </cell>
          <cell r="AG75">
            <v>2750</v>
          </cell>
          <cell r="AH75">
            <v>15700</v>
          </cell>
          <cell r="AI75">
            <v>188400</v>
          </cell>
          <cell r="AJ75">
            <v>17500</v>
          </cell>
          <cell r="AK75">
            <v>20000</v>
          </cell>
          <cell r="AL75">
            <v>15000</v>
          </cell>
          <cell r="AM75">
            <v>0</v>
          </cell>
          <cell r="AN75">
            <v>0</v>
          </cell>
          <cell r="AO75">
            <v>0</v>
          </cell>
          <cell r="AP75">
            <v>0</v>
          </cell>
          <cell r="AQ75">
            <v>25272</v>
          </cell>
          <cell r="AR75">
            <v>266172</v>
          </cell>
          <cell r="AS75">
            <v>0</v>
          </cell>
        </row>
        <row r="76">
          <cell r="P76">
            <v>7</v>
          </cell>
          <cell r="S76" t="str">
            <v xml:space="preserve"> </v>
          </cell>
          <cell r="U76" t="str">
            <v>DIFF.</v>
          </cell>
          <cell r="W76">
            <v>650</v>
          </cell>
          <cell r="X76">
            <v>500</v>
          </cell>
          <cell r="Z76">
            <v>0</v>
          </cell>
          <cell r="AA76">
            <v>0</v>
          </cell>
          <cell r="AB76">
            <v>0</v>
          </cell>
          <cell r="AC76">
            <v>0</v>
          </cell>
          <cell r="AE76">
            <v>0</v>
          </cell>
          <cell r="AF76">
            <v>0</v>
          </cell>
          <cell r="AG76">
            <v>0</v>
          </cell>
          <cell r="AH76">
            <v>1150</v>
          </cell>
          <cell r="AI76">
            <v>13800</v>
          </cell>
          <cell r="AJ76">
            <v>0</v>
          </cell>
          <cell r="AK76">
            <v>0</v>
          </cell>
          <cell r="AL76">
            <v>5000</v>
          </cell>
          <cell r="AM76">
            <v>0</v>
          </cell>
          <cell r="AN76">
            <v>0</v>
          </cell>
          <cell r="AO76">
            <v>0</v>
          </cell>
          <cell r="AP76">
            <v>0</v>
          </cell>
          <cell r="AQ76">
            <v>2106</v>
          </cell>
          <cell r="AR76">
            <v>20906</v>
          </cell>
          <cell r="AS76">
            <v>8.52</v>
          </cell>
        </row>
        <row r="77">
          <cell r="P77">
            <v>7</v>
          </cell>
          <cell r="S77" t="str">
            <v xml:space="preserve"> </v>
          </cell>
        </row>
        <row r="78">
          <cell r="G78">
            <v>2181</v>
          </cell>
          <cell r="H78" t="str">
            <v>MR PANCHAL A</v>
          </cell>
          <cell r="I78">
            <v>25529</v>
          </cell>
          <cell r="J78">
            <v>36007</v>
          </cell>
          <cell r="K78">
            <v>11749</v>
          </cell>
          <cell r="L78" t="str">
            <v>MA</v>
          </cell>
          <cell r="M78">
            <v>21</v>
          </cell>
          <cell r="N78" t="str">
            <v>A2</v>
          </cell>
          <cell r="O78" t="str">
            <v>MAM</v>
          </cell>
          <cell r="P78">
            <v>7</v>
          </cell>
          <cell r="Q78" t="str">
            <v>Other Locations</v>
          </cell>
          <cell r="R78" t="str">
            <v>Amd</v>
          </cell>
          <cell r="S78" t="str">
            <v xml:space="preserve"> </v>
          </cell>
          <cell r="T78" t="str">
            <v>CA</v>
          </cell>
          <cell r="U78">
            <v>2001</v>
          </cell>
          <cell r="V78">
            <v>18000</v>
          </cell>
          <cell r="W78">
            <v>7765</v>
          </cell>
          <cell r="X78">
            <v>3500</v>
          </cell>
          <cell r="AA78">
            <v>500</v>
          </cell>
          <cell r="AB78">
            <v>150</v>
          </cell>
          <cell r="AC78">
            <v>800</v>
          </cell>
          <cell r="AE78">
            <v>0</v>
          </cell>
          <cell r="AF78">
            <v>500</v>
          </cell>
          <cell r="AG78">
            <v>2750</v>
          </cell>
          <cell r="AH78">
            <v>15965</v>
          </cell>
          <cell r="AI78">
            <v>191580</v>
          </cell>
          <cell r="AJ78">
            <v>17500</v>
          </cell>
          <cell r="AK78">
            <v>20000</v>
          </cell>
          <cell r="AL78">
            <v>10000</v>
          </cell>
          <cell r="AM78">
            <v>0</v>
          </cell>
          <cell r="AN78">
            <v>0</v>
          </cell>
          <cell r="AO78">
            <v>0</v>
          </cell>
          <cell r="AP78">
            <v>0</v>
          </cell>
          <cell r="AQ78">
            <v>25159</v>
          </cell>
          <cell r="AR78">
            <v>264239</v>
          </cell>
          <cell r="AS78">
            <v>0</v>
          </cell>
        </row>
        <row r="79">
          <cell r="M79">
            <v>21</v>
          </cell>
          <cell r="N79" t="str">
            <v>A2</v>
          </cell>
          <cell r="P79">
            <v>7</v>
          </cell>
          <cell r="S79" t="str">
            <v xml:space="preserve"> </v>
          </cell>
          <cell r="U79">
            <v>2002</v>
          </cell>
          <cell r="W79">
            <v>8515</v>
          </cell>
          <cell r="X79">
            <v>4000</v>
          </cell>
          <cell r="Z79">
            <v>0</v>
          </cell>
          <cell r="AA79">
            <v>500</v>
          </cell>
          <cell r="AB79">
            <v>150</v>
          </cell>
          <cell r="AC79">
            <v>800</v>
          </cell>
          <cell r="AF79">
            <v>500</v>
          </cell>
          <cell r="AG79">
            <v>2750</v>
          </cell>
          <cell r="AH79">
            <v>17215</v>
          </cell>
          <cell r="AI79">
            <v>206580</v>
          </cell>
          <cell r="AJ79">
            <v>17500</v>
          </cell>
          <cell r="AK79">
            <v>20000</v>
          </cell>
          <cell r="AL79">
            <v>15000</v>
          </cell>
          <cell r="AM79">
            <v>0</v>
          </cell>
          <cell r="AN79">
            <v>0</v>
          </cell>
          <cell r="AO79">
            <v>0</v>
          </cell>
          <cell r="AP79">
            <v>0</v>
          </cell>
          <cell r="AQ79">
            <v>27589</v>
          </cell>
          <cell r="AR79">
            <v>286669</v>
          </cell>
          <cell r="AS79">
            <v>0</v>
          </cell>
        </row>
        <row r="80">
          <cell r="P80">
            <v>7</v>
          </cell>
          <cell r="S80" t="str">
            <v xml:space="preserve"> </v>
          </cell>
          <cell r="U80" t="str">
            <v>DIFF.</v>
          </cell>
          <cell r="W80">
            <v>750</v>
          </cell>
          <cell r="X80">
            <v>500</v>
          </cell>
          <cell r="Z80">
            <v>0</v>
          </cell>
          <cell r="AA80">
            <v>0</v>
          </cell>
          <cell r="AB80">
            <v>0</v>
          </cell>
          <cell r="AC80">
            <v>0</v>
          </cell>
          <cell r="AE80">
            <v>0</v>
          </cell>
          <cell r="AF80">
            <v>0</v>
          </cell>
          <cell r="AG80">
            <v>0</v>
          </cell>
          <cell r="AH80">
            <v>1250</v>
          </cell>
          <cell r="AI80">
            <v>15000</v>
          </cell>
          <cell r="AJ80">
            <v>0</v>
          </cell>
          <cell r="AK80">
            <v>0</v>
          </cell>
          <cell r="AL80">
            <v>5000</v>
          </cell>
          <cell r="AM80">
            <v>0</v>
          </cell>
          <cell r="AN80">
            <v>0</v>
          </cell>
          <cell r="AO80">
            <v>0</v>
          </cell>
          <cell r="AP80">
            <v>0</v>
          </cell>
          <cell r="AQ80">
            <v>2430</v>
          </cell>
          <cell r="AR80">
            <v>22430</v>
          </cell>
          <cell r="AS80">
            <v>8.49</v>
          </cell>
        </row>
        <row r="81">
          <cell r="P81">
            <v>7</v>
          </cell>
          <cell r="S81" t="str">
            <v xml:space="preserve"> </v>
          </cell>
        </row>
        <row r="82">
          <cell r="G82">
            <v>2196</v>
          </cell>
          <cell r="H82" t="str">
            <v>MR REDDY P N</v>
          </cell>
          <cell r="I82">
            <v>26124</v>
          </cell>
          <cell r="J82">
            <v>36179</v>
          </cell>
          <cell r="K82">
            <v>11154</v>
          </cell>
          <cell r="L82" t="str">
            <v>MA</v>
          </cell>
          <cell r="M82">
            <v>21</v>
          </cell>
          <cell r="N82" t="str">
            <v>A2</v>
          </cell>
          <cell r="O82" t="str">
            <v>MAM</v>
          </cell>
          <cell r="P82">
            <v>7</v>
          </cell>
          <cell r="Q82" t="str">
            <v>Other Locations</v>
          </cell>
          <cell r="R82" t="str">
            <v>Khammam (Ap)</v>
          </cell>
          <cell r="S82" t="str">
            <v xml:space="preserve"> </v>
          </cell>
          <cell r="T82" t="str">
            <v>BL</v>
          </cell>
          <cell r="U82">
            <v>2001</v>
          </cell>
          <cell r="V82">
            <v>21150</v>
          </cell>
          <cell r="W82">
            <v>7640</v>
          </cell>
          <cell r="X82">
            <v>3500</v>
          </cell>
          <cell r="AA82">
            <v>500</v>
          </cell>
          <cell r="AB82">
            <v>150</v>
          </cell>
          <cell r="AC82">
            <v>0</v>
          </cell>
          <cell r="AD82" t="str">
            <v>CV</v>
          </cell>
          <cell r="AE82">
            <v>0</v>
          </cell>
          <cell r="AF82">
            <v>500</v>
          </cell>
          <cell r="AG82">
            <v>2750</v>
          </cell>
          <cell r="AH82">
            <v>15040</v>
          </cell>
          <cell r="AI82">
            <v>180480</v>
          </cell>
          <cell r="AJ82">
            <v>17500</v>
          </cell>
          <cell r="AK82">
            <v>20000</v>
          </cell>
          <cell r="AL82">
            <v>10000</v>
          </cell>
          <cell r="AM82">
            <v>0</v>
          </cell>
          <cell r="AN82">
            <v>0</v>
          </cell>
          <cell r="AO82">
            <v>0</v>
          </cell>
          <cell r="AP82">
            <v>0</v>
          </cell>
          <cell r="AQ82">
            <v>24754</v>
          </cell>
          <cell r="AR82">
            <v>252734</v>
          </cell>
          <cell r="AS82">
            <v>0</v>
          </cell>
        </row>
        <row r="83">
          <cell r="M83">
            <v>21</v>
          </cell>
          <cell r="N83" t="str">
            <v>A2</v>
          </cell>
          <cell r="P83">
            <v>7</v>
          </cell>
          <cell r="S83" t="str">
            <v xml:space="preserve"> </v>
          </cell>
          <cell r="U83">
            <v>2002</v>
          </cell>
          <cell r="W83">
            <v>8590</v>
          </cell>
          <cell r="X83">
            <v>4000</v>
          </cell>
          <cell r="Z83">
            <v>0</v>
          </cell>
          <cell r="AA83">
            <v>500</v>
          </cell>
          <cell r="AB83">
            <v>150</v>
          </cell>
          <cell r="AC83">
            <v>0</v>
          </cell>
          <cell r="AF83">
            <v>500</v>
          </cell>
          <cell r="AG83">
            <v>2750</v>
          </cell>
          <cell r="AH83">
            <v>16490</v>
          </cell>
          <cell r="AI83">
            <v>197880</v>
          </cell>
          <cell r="AJ83">
            <v>17500</v>
          </cell>
          <cell r="AK83">
            <v>20000</v>
          </cell>
          <cell r="AL83">
            <v>15000</v>
          </cell>
          <cell r="AM83">
            <v>0</v>
          </cell>
          <cell r="AN83">
            <v>0</v>
          </cell>
          <cell r="AO83">
            <v>0</v>
          </cell>
          <cell r="AP83">
            <v>0</v>
          </cell>
          <cell r="AQ83">
            <v>27832</v>
          </cell>
          <cell r="AR83">
            <v>278212</v>
          </cell>
          <cell r="AS83">
            <v>0</v>
          </cell>
        </row>
        <row r="84">
          <cell r="P84">
            <v>7</v>
          </cell>
          <cell r="S84" t="str">
            <v xml:space="preserve"> </v>
          </cell>
          <cell r="U84" t="str">
            <v>DIFF.</v>
          </cell>
          <cell r="W84">
            <v>950</v>
          </cell>
          <cell r="X84">
            <v>500</v>
          </cell>
          <cell r="Z84">
            <v>0</v>
          </cell>
          <cell r="AA84">
            <v>0</v>
          </cell>
          <cell r="AB84">
            <v>0</v>
          </cell>
          <cell r="AC84">
            <v>0</v>
          </cell>
          <cell r="AE84">
            <v>0</v>
          </cell>
          <cell r="AF84">
            <v>0</v>
          </cell>
          <cell r="AG84">
            <v>0</v>
          </cell>
          <cell r="AH84">
            <v>1450</v>
          </cell>
          <cell r="AI84">
            <v>17400</v>
          </cell>
          <cell r="AJ84">
            <v>0</v>
          </cell>
          <cell r="AK84">
            <v>0</v>
          </cell>
          <cell r="AL84">
            <v>5000</v>
          </cell>
          <cell r="AM84">
            <v>0</v>
          </cell>
          <cell r="AN84">
            <v>0</v>
          </cell>
          <cell r="AO84">
            <v>0</v>
          </cell>
          <cell r="AP84">
            <v>0</v>
          </cell>
          <cell r="AQ84">
            <v>3078</v>
          </cell>
          <cell r="AR84">
            <v>25478</v>
          </cell>
          <cell r="AS84">
            <v>10.08</v>
          </cell>
        </row>
        <row r="85">
          <cell r="P85">
            <v>7</v>
          </cell>
          <cell r="S85" t="str">
            <v xml:space="preserve"> </v>
          </cell>
        </row>
        <row r="86">
          <cell r="G86">
            <v>2200</v>
          </cell>
          <cell r="H86" t="str">
            <v>MR RAO G U</v>
          </cell>
          <cell r="I86">
            <v>26526</v>
          </cell>
          <cell r="J86">
            <v>36269</v>
          </cell>
          <cell r="K86">
            <v>10752</v>
          </cell>
          <cell r="L86" t="str">
            <v>MA</v>
          </cell>
          <cell r="M86">
            <v>21</v>
          </cell>
          <cell r="N86" t="str">
            <v>A2</v>
          </cell>
          <cell r="O86" t="str">
            <v>MAM</v>
          </cell>
          <cell r="P86">
            <v>7</v>
          </cell>
          <cell r="Q86" t="str">
            <v>Other Locations</v>
          </cell>
          <cell r="R86" t="str">
            <v>Narasaraopet (Ap)</v>
          </cell>
          <cell r="S86" t="str">
            <v xml:space="preserve"> </v>
          </cell>
          <cell r="T86" t="str">
            <v>BA</v>
          </cell>
          <cell r="U86">
            <v>2001</v>
          </cell>
          <cell r="V86">
            <v>21150</v>
          </cell>
          <cell r="W86">
            <v>8240</v>
          </cell>
          <cell r="X86">
            <v>3500</v>
          </cell>
          <cell r="AA86">
            <v>500</v>
          </cell>
          <cell r="AB86">
            <v>150</v>
          </cell>
          <cell r="AC86">
            <v>0</v>
          </cell>
          <cell r="AD86" t="str">
            <v>CV</v>
          </cell>
          <cell r="AE86">
            <v>0</v>
          </cell>
          <cell r="AF86">
            <v>500</v>
          </cell>
          <cell r="AG86">
            <v>2750</v>
          </cell>
          <cell r="AH86">
            <v>15640</v>
          </cell>
          <cell r="AI86">
            <v>187680</v>
          </cell>
          <cell r="AJ86">
            <v>17500</v>
          </cell>
          <cell r="AK86">
            <v>20000</v>
          </cell>
          <cell r="AL86">
            <v>10000</v>
          </cell>
          <cell r="AM86">
            <v>0</v>
          </cell>
          <cell r="AN86">
            <v>0</v>
          </cell>
          <cell r="AO86">
            <v>0</v>
          </cell>
          <cell r="AP86">
            <v>0</v>
          </cell>
          <cell r="AQ86">
            <v>26698</v>
          </cell>
          <cell r="AR86">
            <v>261878</v>
          </cell>
          <cell r="AS86">
            <v>0</v>
          </cell>
        </row>
        <row r="87">
          <cell r="M87">
            <v>21</v>
          </cell>
          <cell r="N87" t="str">
            <v>A2</v>
          </cell>
          <cell r="P87">
            <v>7</v>
          </cell>
          <cell r="S87" t="str">
            <v xml:space="preserve"> </v>
          </cell>
          <cell r="U87">
            <v>2002</v>
          </cell>
          <cell r="W87">
            <v>9340</v>
          </cell>
          <cell r="X87">
            <v>4000</v>
          </cell>
          <cell r="Z87">
            <v>0</v>
          </cell>
          <cell r="AA87">
            <v>500</v>
          </cell>
          <cell r="AB87">
            <v>150</v>
          </cell>
          <cell r="AC87">
            <v>0</v>
          </cell>
          <cell r="AF87">
            <v>500</v>
          </cell>
          <cell r="AG87">
            <v>2750</v>
          </cell>
          <cell r="AH87">
            <v>17240</v>
          </cell>
          <cell r="AI87">
            <v>206880</v>
          </cell>
          <cell r="AJ87">
            <v>17500</v>
          </cell>
          <cell r="AK87">
            <v>20000</v>
          </cell>
          <cell r="AL87">
            <v>15000</v>
          </cell>
          <cell r="AM87">
            <v>0</v>
          </cell>
          <cell r="AN87">
            <v>0</v>
          </cell>
          <cell r="AO87">
            <v>0</v>
          </cell>
          <cell r="AP87">
            <v>0</v>
          </cell>
          <cell r="AQ87">
            <v>30262</v>
          </cell>
          <cell r="AR87">
            <v>289642</v>
          </cell>
          <cell r="AS87">
            <v>0</v>
          </cell>
        </row>
        <row r="88">
          <cell r="P88">
            <v>7</v>
          </cell>
          <cell r="S88" t="str">
            <v xml:space="preserve"> </v>
          </cell>
          <cell r="U88" t="str">
            <v>DIFF.</v>
          </cell>
          <cell r="W88">
            <v>1100</v>
          </cell>
          <cell r="X88">
            <v>500</v>
          </cell>
          <cell r="Z88">
            <v>0</v>
          </cell>
          <cell r="AA88">
            <v>0</v>
          </cell>
          <cell r="AB88">
            <v>0</v>
          </cell>
          <cell r="AC88">
            <v>0</v>
          </cell>
          <cell r="AE88">
            <v>0</v>
          </cell>
          <cell r="AF88">
            <v>0</v>
          </cell>
          <cell r="AG88">
            <v>0</v>
          </cell>
          <cell r="AH88">
            <v>1600</v>
          </cell>
          <cell r="AI88">
            <v>19200</v>
          </cell>
          <cell r="AJ88">
            <v>0</v>
          </cell>
          <cell r="AK88">
            <v>0</v>
          </cell>
          <cell r="AL88">
            <v>5000</v>
          </cell>
          <cell r="AM88">
            <v>0</v>
          </cell>
          <cell r="AN88">
            <v>0</v>
          </cell>
          <cell r="AO88">
            <v>0</v>
          </cell>
          <cell r="AP88">
            <v>0</v>
          </cell>
          <cell r="AQ88">
            <v>3564</v>
          </cell>
          <cell r="AR88">
            <v>27764</v>
          </cell>
          <cell r="AS88">
            <v>10.6</v>
          </cell>
        </row>
        <row r="89">
          <cell r="P89">
            <v>7</v>
          </cell>
          <cell r="S89" t="str">
            <v xml:space="preserve"> </v>
          </cell>
        </row>
        <row r="90">
          <cell r="G90">
            <v>2208</v>
          </cell>
          <cell r="H90" t="str">
            <v>MR SAINI S K</v>
          </cell>
          <cell r="I90">
            <v>26643</v>
          </cell>
          <cell r="J90">
            <v>36327</v>
          </cell>
          <cell r="K90">
            <v>10635</v>
          </cell>
          <cell r="L90" t="str">
            <v>MA</v>
          </cell>
          <cell r="M90">
            <v>21</v>
          </cell>
          <cell r="N90" t="str">
            <v>A2</v>
          </cell>
          <cell r="O90" t="str">
            <v>MAM</v>
          </cell>
          <cell r="P90">
            <v>7</v>
          </cell>
          <cell r="Q90" t="str">
            <v>Other Locations</v>
          </cell>
          <cell r="R90" t="str">
            <v>Sirsa (  )</v>
          </cell>
          <cell r="S90" t="str">
            <v xml:space="preserve"> </v>
          </cell>
          <cell r="T90" t="str">
            <v>BA</v>
          </cell>
          <cell r="U90">
            <v>2001</v>
          </cell>
          <cell r="V90">
            <v>21150</v>
          </cell>
          <cell r="W90">
            <v>7553</v>
          </cell>
          <cell r="X90">
            <v>3500</v>
          </cell>
          <cell r="AA90">
            <v>500</v>
          </cell>
          <cell r="AB90">
            <v>150</v>
          </cell>
          <cell r="AC90">
            <v>0</v>
          </cell>
          <cell r="AD90" t="str">
            <v>CV</v>
          </cell>
          <cell r="AE90">
            <v>0</v>
          </cell>
          <cell r="AF90">
            <v>500</v>
          </cell>
          <cell r="AG90">
            <v>2750</v>
          </cell>
          <cell r="AH90">
            <v>14953</v>
          </cell>
          <cell r="AI90">
            <v>179436</v>
          </cell>
          <cell r="AJ90">
            <v>17500</v>
          </cell>
          <cell r="AK90">
            <v>20000</v>
          </cell>
          <cell r="AL90">
            <v>10000</v>
          </cell>
          <cell r="AM90">
            <v>0</v>
          </cell>
          <cell r="AN90">
            <v>0</v>
          </cell>
          <cell r="AO90">
            <v>0</v>
          </cell>
          <cell r="AP90">
            <v>0</v>
          </cell>
          <cell r="AQ90">
            <v>24472</v>
          </cell>
          <cell r="AR90">
            <v>251408</v>
          </cell>
          <cell r="AS90">
            <v>0</v>
          </cell>
        </row>
        <row r="91">
          <cell r="M91">
            <v>21</v>
          </cell>
          <cell r="N91" t="str">
            <v>A2</v>
          </cell>
          <cell r="P91">
            <v>7</v>
          </cell>
          <cell r="S91" t="str">
            <v xml:space="preserve"> </v>
          </cell>
          <cell r="U91">
            <v>2002</v>
          </cell>
          <cell r="W91">
            <v>8653</v>
          </cell>
          <cell r="X91">
            <v>4000</v>
          </cell>
          <cell r="Z91">
            <v>0</v>
          </cell>
          <cell r="AA91">
            <v>500</v>
          </cell>
          <cell r="AB91">
            <v>150</v>
          </cell>
          <cell r="AC91">
            <v>0</v>
          </cell>
          <cell r="AF91">
            <v>500</v>
          </cell>
          <cell r="AG91">
            <v>2750</v>
          </cell>
          <cell r="AH91">
            <v>16553</v>
          </cell>
          <cell r="AI91">
            <v>198636</v>
          </cell>
          <cell r="AJ91">
            <v>17500</v>
          </cell>
          <cell r="AK91">
            <v>20000</v>
          </cell>
          <cell r="AL91">
            <v>15000</v>
          </cell>
          <cell r="AM91">
            <v>0</v>
          </cell>
          <cell r="AN91">
            <v>0</v>
          </cell>
          <cell r="AO91">
            <v>0</v>
          </cell>
          <cell r="AP91">
            <v>0</v>
          </cell>
          <cell r="AQ91">
            <v>28036</v>
          </cell>
          <cell r="AR91">
            <v>279172</v>
          </cell>
          <cell r="AS91">
            <v>0</v>
          </cell>
        </row>
        <row r="92">
          <cell r="P92">
            <v>7</v>
          </cell>
          <cell r="S92" t="str">
            <v xml:space="preserve"> </v>
          </cell>
          <cell r="U92" t="str">
            <v>DIFF.</v>
          </cell>
          <cell r="W92">
            <v>1100</v>
          </cell>
          <cell r="X92">
            <v>500</v>
          </cell>
          <cell r="Z92">
            <v>0</v>
          </cell>
          <cell r="AA92">
            <v>0</v>
          </cell>
          <cell r="AB92">
            <v>0</v>
          </cell>
          <cell r="AC92">
            <v>0</v>
          </cell>
          <cell r="AE92">
            <v>0</v>
          </cell>
          <cell r="AF92">
            <v>0</v>
          </cell>
          <cell r="AG92">
            <v>0</v>
          </cell>
          <cell r="AH92">
            <v>1600</v>
          </cell>
          <cell r="AI92">
            <v>19200</v>
          </cell>
          <cell r="AJ92">
            <v>0</v>
          </cell>
          <cell r="AK92">
            <v>0</v>
          </cell>
          <cell r="AL92">
            <v>5000</v>
          </cell>
          <cell r="AM92">
            <v>0</v>
          </cell>
          <cell r="AN92">
            <v>0</v>
          </cell>
          <cell r="AO92">
            <v>0</v>
          </cell>
          <cell r="AP92">
            <v>0</v>
          </cell>
          <cell r="AQ92">
            <v>3564</v>
          </cell>
          <cell r="AR92">
            <v>27764</v>
          </cell>
          <cell r="AS92">
            <v>11.04</v>
          </cell>
        </row>
        <row r="93">
          <cell r="P93">
            <v>7</v>
          </cell>
          <cell r="S93" t="str">
            <v xml:space="preserve"> </v>
          </cell>
        </row>
        <row r="94">
          <cell r="G94">
            <v>2232</v>
          </cell>
          <cell r="H94" t="str">
            <v>MR APPANNA G</v>
          </cell>
          <cell r="I94">
            <v>25420</v>
          </cell>
          <cell r="J94">
            <v>36586</v>
          </cell>
          <cell r="K94">
            <v>11858</v>
          </cell>
          <cell r="L94" t="str">
            <v>MA</v>
          </cell>
          <cell r="M94">
            <v>21</v>
          </cell>
          <cell r="N94" t="str">
            <v>A2</v>
          </cell>
          <cell r="O94" t="str">
            <v>MAM</v>
          </cell>
          <cell r="P94">
            <v>7</v>
          </cell>
          <cell r="Q94" t="str">
            <v>Other Locations</v>
          </cell>
          <cell r="R94" t="str">
            <v>Nellore (Ap)</v>
          </cell>
          <cell r="S94" t="str">
            <v xml:space="preserve"> </v>
          </cell>
          <cell r="T94" t="str">
            <v>BA</v>
          </cell>
          <cell r="U94">
            <v>2001</v>
          </cell>
          <cell r="V94">
            <v>21150</v>
          </cell>
          <cell r="W94">
            <v>7150</v>
          </cell>
          <cell r="X94">
            <v>3500</v>
          </cell>
          <cell r="AA94">
            <v>500</v>
          </cell>
          <cell r="AB94">
            <v>150</v>
          </cell>
          <cell r="AC94">
            <v>0</v>
          </cell>
          <cell r="AD94" t="str">
            <v>CV</v>
          </cell>
          <cell r="AE94">
            <v>0</v>
          </cell>
          <cell r="AF94">
            <v>500</v>
          </cell>
          <cell r="AG94">
            <v>2750</v>
          </cell>
          <cell r="AH94">
            <v>14550</v>
          </cell>
          <cell r="AI94">
            <v>174600</v>
          </cell>
          <cell r="AJ94">
            <v>17500</v>
          </cell>
          <cell r="AK94">
            <v>20000</v>
          </cell>
          <cell r="AL94">
            <v>10000</v>
          </cell>
          <cell r="AM94">
            <v>0</v>
          </cell>
          <cell r="AN94">
            <v>0</v>
          </cell>
          <cell r="AO94">
            <v>0</v>
          </cell>
          <cell r="AP94">
            <v>0</v>
          </cell>
          <cell r="AQ94">
            <v>23166</v>
          </cell>
          <cell r="AR94">
            <v>245266</v>
          </cell>
          <cell r="AS94">
            <v>0</v>
          </cell>
        </row>
        <row r="95">
          <cell r="M95">
            <v>21</v>
          </cell>
          <cell r="N95" t="str">
            <v>A2</v>
          </cell>
          <cell r="P95">
            <v>7</v>
          </cell>
          <cell r="S95" t="str">
            <v xml:space="preserve"> </v>
          </cell>
          <cell r="U95">
            <v>2002</v>
          </cell>
          <cell r="W95">
            <v>8250</v>
          </cell>
          <cell r="X95">
            <v>4000</v>
          </cell>
          <cell r="Z95">
            <v>0</v>
          </cell>
          <cell r="AA95">
            <v>500</v>
          </cell>
          <cell r="AB95">
            <v>150</v>
          </cell>
          <cell r="AC95">
            <v>0</v>
          </cell>
          <cell r="AF95">
            <v>500</v>
          </cell>
          <cell r="AG95">
            <v>2750</v>
          </cell>
          <cell r="AH95">
            <v>16150</v>
          </cell>
          <cell r="AI95">
            <v>193800</v>
          </cell>
          <cell r="AJ95">
            <v>17500</v>
          </cell>
          <cell r="AK95">
            <v>20000</v>
          </cell>
          <cell r="AL95">
            <v>15000</v>
          </cell>
          <cell r="AM95">
            <v>0</v>
          </cell>
          <cell r="AN95">
            <v>0</v>
          </cell>
          <cell r="AO95">
            <v>0</v>
          </cell>
          <cell r="AP95">
            <v>0</v>
          </cell>
          <cell r="AQ95">
            <v>26730</v>
          </cell>
          <cell r="AR95">
            <v>273030</v>
          </cell>
          <cell r="AS95">
            <v>0</v>
          </cell>
        </row>
        <row r="96">
          <cell r="P96">
            <v>7</v>
          </cell>
          <cell r="S96" t="str">
            <v xml:space="preserve"> </v>
          </cell>
          <cell r="U96" t="str">
            <v>DIFF.</v>
          </cell>
          <cell r="W96">
            <v>1100</v>
          </cell>
          <cell r="X96">
            <v>500</v>
          </cell>
          <cell r="Z96">
            <v>0</v>
          </cell>
          <cell r="AA96">
            <v>0</v>
          </cell>
          <cell r="AB96">
            <v>0</v>
          </cell>
          <cell r="AC96">
            <v>0</v>
          </cell>
          <cell r="AE96">
            <v>0</v>
          </cell>
          <cell r="AF96">
            <v>0</v>
          </cell>
          <cell r="AG96">
            <v>0</v>
          </cell>
          <cell r="AH96">
            <v>1600</v>
          </cell>
          <cell r="AI96">
            <v>19200</v>
          </cell>
          <cell r="AJ96">
            <v>0</v>
          </cell>
          <cell r="AK96">
            <v>0</v>
          </cell>
          <cell r="AL96">
            <v>5000</v>
          </cell>
          <cell r="AM96">
            <v>0</v>
          </cell>
          <cell r="AN96">
            <v>0</v>
          </cell>
          <cell r="AO96">
            <v>0</v>
          </cell>
          <cell r="AP96">
            <v>0</v>
          </cell>
          <cell r="AQ96">
            <v>3564</v>
          </cell>
          <cell r="AR96">
            <v>27764</v>
          </cell>
          <cell r="AS96">
            <v>11.32</v>
          </cell>
        </row>
        <row r="97">
          <cell r="P97">
            <v>7</v>
          </cell>
          <cell r="S97" t="str">
            <v xml:space="preserve"> </v>
          </cell>
        </row>
        <row r="98">
          <cell r="G98">
            <v>2234</v>
          </cell>
          <cell r="H98" t="str">
            <v>MR DWIVEDI S K</v>
          </cell>
          <cell r="I98">
            <v>25588</v>
          </cell>
          <cell r="J98">
            <v>36588</v>
          </cell>
          <cell r="K98">
            <v>11690</v>
          </cell>
          <cell r="L98" t="str">
            <v>MA</v>
          </cell>
          <cell r="M98">
            <v>21</v>
          </cell>
          <cell r="N98" t="str">
            <v>A2</v>
          </cell>
          <cell r="O98" t="str">
            <v>MAM</v>
          </cell>
          <cell r="P98">
            <v>7</v>
          </cell>
          <cell r="Q98" t="str">
            <v>Other Locations</v>
          </cell>
          <cell r="R98" t="str">
            <v>Ratlam</v>
          </cell>
          <cell r="S98" t="str">
            <v xml:space="preserve"> </v>
          </cell>
          <cell r="T98" t="str">
            <v>CA</v>
          </cell>
          <cell r="U98">
            <v>2001</v>
          </cell>
          <cell r="V98">
            <v>18000</v>
          </cell>
          <cell r="W98">
            <v>7150</v>
          </cell>
          <cell r="X98">
            <v>3500</v>
          </cell>
          <cell r="AA98">
            <v>500</v>
          </cell>
          <cell r="AB98">
            <v>150</v>
          </cell>
          <cell r="AC98">
            <v>0</v>
          </cell>
          <cell r="AD98" t="str">
            <v>CV</v>
          </cell>
          <cell r="AE98">
            <v>0</v>
          </cell>
          <cell r="AF98">
            <v>500</v>
          </cell>
          <cell r="AG98">
            <v>2750</v>
          </cell>
          <cell r="AH98">
            <v>14550</v>
          </cell>
          <cell r="AI98">
            <v>174600</v>
          </cell>
          <cell r="AJ98">
            <v>17500</v>
          </cell>
          <cell r="AK98">
            <v>20000</v>
          </cell>
          <cell r="AL98">
            <v>10000</v>
          </cell>
          <cell r="AM98">
            <v>0</v>
          </cell>
          <cell r="AN98">
            <v>0</v>
          </cell>
          <cell r="AO98">
            <v>0</v>
          </cell>
          <cell r="AP98">
            <v>0</v>
          </cell>
          <cell r="AQ98">
            <v>23166</v>
          </cell>
          <cell r="AR98">
            <v>245266</v>
          </cell>
          <cell r="AS98">
            <v>0</v>
          </cell>
        </row>
        <row r="99">
          <cell r="M99">
            <v>21</v>
          </cell>
          <cell r="N99" t="str">
            <v>A2</v>
          </cell>
          <cell r="P99">
            <v>7</v>
          </cell>
          <cell r="S99" t="str">
            <v xml:space="preserve"> </v>
          </cell>
          <cell r="U99">
            <v>2002</v>
          </cell>
          <cell r="W99">
            <v>7900</v>
          </cell>
          <cell r="X99">
            <v>4000</v>
          </cell>
          <cell r="Z99">
            <v>0</v>
          </cell>
          <cell r="AA99">
            <v>500</v>
          </cell>
          <cell r="AB99">
            <v>150</v>
          </cell>
          <cell r="AC99">
            <v>0</v>
          </cell>
          <cell r="AF99">
            <v>500</v>
          </cell>
          <cell r="AG99">
            <v>2750</v>
          </cell>
          <cell r="AH99">
            <v>15800</v>
          </cell>
          <cell r="AI99">
            <v>189600</v>
          </cell>
          <cell r="AJ99">
            <v>17500</v>
          </cell>
          <cell r="AK99">
            <v>20000</v>
          </cell>
          <cell r="AL99">
            <v>15000</v>
          </cell>
          <cell r="AM99">
            <v>0</v>
          </cell>
          <cell r="AN99">
            <v>0</v>
          </cell>
          <cell r="AO99">
            <v>0</v>
          </cell>
          <cell r="AP99">
            <v>0</v>
          </cell>
          <cell r="AQ99">
            <v>25596</v>
          </cell>
          <cell r="AR99">
            <v>267696</v>
          </cell>
          <cell r="AS99">
            <v>0</v>
          </cell>
        </row>
        <row r="100">
          <cell r="P100">
            <v>7</v>
          </cell>
          <cell r="S100" t="str">
            <v xml:space="preserve"> </v>
          </cell>
          <cell r="U100" t="str">
            <v>DIFF.</v>
          </cell>
          <cell r="W100">
            <v>750</v>
          </cell>
          <cell r="X100">
            <v>500</v>
          </cell>
          <cell r="Z100">
            <v>0</v>
          </cell>
          <cell r="AA100">
            <v>0</v>
          </cell>
          <cell r="AB100">
            <v>0</v>
          </cell>
          <cell r="AC100">
            <v>0</v>
          </cell>
          <cell r="AE100">
            <v>0</v>
          </cell>
          <cell r="AF100">
            <v>0</v>
          </cell>
          <cell r="AG100">
            <v>0</v>
          </cell>
          <cell r="AH100">
            <v>1250</v>
          </cell>
          <cell r="AI100">
            <v>15000</v>
          </cell>
          <cell r="AJ100">
            <v>0</v>
          </cell>
          <cell r="AK100">
            <v>0</v>
          </cell>
          <cell r="AL100">
            <v>5000</v>
          </cell>
          <cell r="AM100">
            <v>0</v>
          </cell>
          <cell r="AN100">
            <v>0</v>
          </cell>
          <cell r="AO100">
            <v>0</v>
          </cell>
          <cell r="AP100">
            <v>0</v>
          </cell>
          <cell r="AQ100">
            <v>2430</v>
          </cell>
          <cell r="AR100">
            <v>22430</v>
          </cell>
          <cell r="AS100">
            <v>9.15</v>
          </cell>
        </row>
        <row r="101">
          <cell r="P101">
            <v>7</v>
          </cell>
          <cell r="S101" t="str">
            <v xml:space="preserve"> </v>
          </cell>
        </row>
        <row r="102">
          <cell r="G102">
            <v>2238</v>
          </cell>
          <cell r="H102" t="str">
            <v>MR GUPTA A</v>
          </cell>
          <cell r="I102">
            <v>27081</v>
          </cell>
          <cell r="J102">
            <v>36614</v>
          </cell>
          <cell r="K102">
            <v>10197</v>
          </cell>
          <cell r="L102" t="str">
            <v>MA</v>
          </cell>
          <cell r="M102">
            <v>21</v>
          </cell>
          <cell r="N102" t="str">
            <v>A2</v>
          </cell>
          <cell r="O102" t="str">
            <v>MAM</v>
          </cell>
          <cell r="P102">
            <v>7</v>
          </cell>
          <cell r="Q102" t="str">
            <v>Other Locations</v>
          </cell>
          <cell r="R102" t="str">
            <v>Muktsar (Haryana)</v>
          </cell>
          <cell r="S102" t="str">
            <v xml:space="preserve"> </v>
          </cell>
          <cell r="T102" t="str">
            <v>BA</v>
          </cell>
          <cell r="U102">
            <v>2001</v>
          </cell>
          <cell r="V102">
            <v>21150</v>
          </cell>
          <cell r="W102">
            <v>7150</v>
          </cell>
          <cell r="X102">
            <v>3500</v>
          </cell>
          <cell r="AA102">
            <v>500</v>
          </cell>
          <cell r="AB102">
            <v>150</v>
          </cell>
          <cell r="AC102">
            <v>0</v>
          </cell>
          <cell r="AD102" t="str">
            <v>CV</v>
          </cell>
          <cell r="AE102">
            <v>0</v>
          </cell>
          <cell r="AF102">
            <v>500</v>
          </cell>
          <cell r="AG102">
            <v>2750</v>
          </cell>
          <cell r="AH102">
            <v>14550</v>
          </cell>
          <cell r="AI102">
            <v>174600</v>
          </cell>
          <cell r="AJ102">
            <v>17500</v>
          </cell>
          <cell r="AK102">
            <v>20000</v>
          </cell>
          <cell r="AL102">
            <v>10000</v>
          </cell>
          <cell r="AM102">
            <v>0</v>
          </cell>
          <cell r="AN102">
            <v>0</v>
          </cell>
          <cell r="AO102">
            <v>0</v>
          </cell>
          <cell r="AP102">
            <v>0</v>
          </cell>
          <cell r="AQ102">
            <v>23166</v>
          </cell>
          <cell r="AR102">
            <v>245266</v>
          </cell>
          <cell r="AS102">
            <v>0</v>
          </cell>
        </row>
        <row r="103">
          <cell r="M103">
            <v>21</v>
          </cell>
          <cell r="N103" t="str">
            <v>A2</v>
          </cell>
          <cell r="P103">
            <v>7</v>
          </cell>
          <cell r="S103" t="str">
            <v xml:space="preserve"> </v>
          </cell>
          <cell r="U103">
            <v>2002</v>
          </cell>
          <cell r="W103">
            <v>8250</v>
          </cell>
          <cell r="X103">
            <v>4000</v>
          </cell>
          <cell r="Z103">
            <v>0</v>
          </cell>
          <cell r="AA103">
            <v>500</v>
          </cell>
          <cell r="AB103">
            <v>150</v>
          </cell>
          <cell r="AC103">
            <v>0</v>
          </cell>
          <cell r="AF103">
            <v>500</v>
          </cell>
          <cell r="AG103">
            <v>2750</v>
          </cell>
          <cell r="AH103">
            <v>16150</v>
          </cell>
          <cell r="AI103">
            <v>193800</v>
          </cell>
          <cell r="AJ103">
            <v>17500</v>
          </cell>
          <cell r="AK103">
            <v>20000</v>
          </cell>
          <cell r="AL103">
            <v>15000</v>
          </cell>
          <cell r="AM103">
            <v>0</v>
          </cell>
          <cell r="AN103">
            <v>0</v>
          </cell>
          <cell r="AO103">
            <v>0</v>
          </cell>
          <cell r="AP103">
            <v>0</v>
          </cell>
          <cell r="AQ103">
            <v>26730</v>
          </cell>
          <cell r="AR103">
            <v>273030</v>
          </cell>
          <cell r="AS103">
            <v>0</v>
          </cell>
        </row>
        <row r="104">
          <cell r="P104">
            <v>7</v>
          </cell>
          <cell r="S104" t="str">
            <v xml:space="preserve"> </v>
          </cell>
          <cell r="U104" t="str">
            <v>DIFF.</v>
          </cell>
          <cell r="W104">
            <v>1100</v>
          </cell>
          <cell r="X104">
            <v>500</v>
          </cell>
          <cell r="Z104">
            <v>0</v>
          </cell>
          <cell r="AA104">
            <v>0</v>
          </cell>
          <cell r="AB104">
            <v>0</v>
          </cell>
          <cell r="AC104">
            <v>0</v>
          </cell>
          <cell r="AE104">
            <v>0</v>
          </cell>
          <cell r="AF104">
            <v>0</v>
          </cell>
          <cell r="AG104">
            <v>0</v>
          </cell>
          <cell r="AH104">
            <v>1600</v>
          </cell>
          <cell r="AI104">
            <v>19200</v>
          </cell>
          <cell r="AJ104">
            <v>0</v>
          </cell>
          <cell r="AK104">
            <v>0</v>
          </cell>
          <cell r="AL104">
            <v>5000</v>
          </cell>
          <cell r="AM104">
            <v>0</v>
          </cell>
          <cell r="AN104">
            <v>0</v>
          </cell>
          <cell r="AO104">
            <v>0</v>
          </cell>
          <cell r="AP104">
            <v>0</v>
          </cell>
          <cell r="AQ104">
            <v>3564</v>
          </cell>
          <cell r="AR104">
            <v>27764</v>
          </cell>
          <cell r="AS104">
            <v>11.32</v>
          </cell>
        </row>
        <row r="105">
          <cell r="P105">
            <v>7</v>
          </cell>
          <cell r="S105" t="str">
            <v xml:space="preserve"> </v>
          </cell>
        </row>
        <row r="106">
          <cell r="G106">
            <v>2261</v>
          </cell>
          <cell r="H106" t="str">
            <v>MR BEG M S</v>
          </cell>
          <cell r="I106">
            <v>24298</v>
          </cell>
          <cell r="J106">
            <v>36892</v>
          </cell>
          <cell r="K106">
            <v>12980</v>
          </cell>
          <cell r="L106" t="str">
            <v>MA</v>
          </cell>
          <cell r="M106">
            <v>21</v>
          </cell>
          <cell r="N106" t="str">
            <v>A1</v>
          </cell>
          <cell r="O106" t="str">
            <v>MAM</v>
          </cell>
          <cell r="P106">
            <v>7</v>
          </cell>
          <cell r="Q106" t="str">
            <v>Other Locations</v>
          </cell>
          <cell r="R106" t="str">
            <v>Bareilly (Up)</v>
          </cell>
          <cell r="S106" t="str">
            <v xml:space="preserve"> </v>
          </cell>
          <cell r="T106" t="str">
            <v>CL</v>
          </cell>
          <cell r="U106">
            <v>2001</v>
          </cell>
          <cell r="V106">
            <v>18000</v>
          </cell>
          <cell r="W106">
            <v>7150</v>
          </cell>
          <cell r="X106">
            <v>3500</v>
          </cell>
          <cell r="AA106">
            <v>500</v>
          </cell>
          <cell r="AB106">
            <v>150</v>
          </cell>
          <cell r="AD106" t="str">
            <v>CV</v>
          </cell>
          <cell r="AE106">
            <v>0</v>
          </cell>
          <cell r="AG106">
            <v>2750</v>
          </cell>
          <cell r="AH106">
            <v>14050</v>
          </cell>
          <cell r="AI106">
            <v>168600</v>
          </cell>
          <cell r="AJ106">
            <v>17500</v>
          </cell>
          <cell r="AK106">
            <v>20000</v>
          </cell>
          <cell r="AL106">
            <v>10000</v>
          </cell>
          <cell r="AQ106">
            <v>23166</v>
          </cell>
          <cell r="AR106">
            <v>239266</v>
          </cell>
        </row>
        <row r="107">
          <cell r="M107">
            <v>21</v>
          </cell>
          <cell r="N107" t="str">
            <v>A1</v>
          </cell>
          <cell r="P107">
            <v>7</v>
          </cell>
          <cell r="S107" t="str">
            <v xml:space="preserve"> </v>
          </cell>
          <cell r="U107">
            <v>2002</v>
          </cell>
          <cell r="W107">
            <v>7800</v>
          </cell>
          <cell r="X107">
            <v>4000</v>
          </cell>
          <cell r="Z107">
            <v>0</v>
          </cell>
          <cell r="AA107">
            <v>500</v>
          </cell>
          <cell r="AB107">
            <v>150</v>
          </cell>
          <cell r="AC107">
            <v>0</v>
          </cell>
          <cell r="AF107">
            <v>0</v>
          </cell>
          <cell r="AG107">
            <v>2750</v>
          </cell>
          <cell r="AH107">
            <v>15200</v>
          </cell>
          <cell r="AI107">
            <v>182400</v>
          </cell>
          <cell r="AJ107">
            <v>17500</v>
          </cell>
          <cell r="AK107">
            <v>20000</v>
          </cell>
          <cell r="AL107">
            <v>15000</v>
          </cell>
          <cell r="AM107">
            <v>0</v>
          </cell>
          <cell r="AN107">
            <v>0</v>
          </cell>
          <cell r="AO107">
            <v>0</v>
          </cell>
          <cell r="AP107">
            <v>0</v>
          </cell>
          <cell r="AQ107">
            <v>25272</v>
          </cell>
          <cell r="AR107">
            <v>260172</v>
          </cell>
          <cell r="AS107">
            <v>0</v>
          </cell>
        </row>
        <row r="108">
          <cell r="P108">
            <v>7</v>
          </cell>
          <cell r="S108" t="str">
            <v xml:space="preserve"> </v>
          </cell>
          <cell r="U108" t="str">
            <v>DIFF.</v>
          </cell>
          <cell r="W108">
            <v>650</v>
          </cell>
          <cell r="X108">
            <v>500</v>
          </cell>
          <cell r="Z108">
            <v>0</v>
          </cell>
          <cell r="AA108">
            <v>0</v>
          </cell>
          <cell r="AB108">
            <v>0</v>
          </cell>
          <cell r="AC108">
            <v>0</v>
          </cell>
          <cell r="AE108">
            <v>0</v>
          </cell>
          <cell r="AF108">
            <v>0</v>
          </cell>
          <cell r="AG108">
            <v>0</v>
          </cell>
          <cell r="AH108">
            <v>1150</v>
          </cell>
          <cell r="AI108">
            <v>13800</v>
          </cell>
          <cell r="AJ108">
            <v>0</v>
          </cell>
          <cell r="AK108">
            <v>0</v>
          </cell>
          <cell r="AL108">
            <v>5000</v>
          </cell>
          <cell r="AM108">
            <v>0</v>
          </cell>
          <cell r="AN108">
            <v>0</v>
          </cell>
          <cell r="AO108">
            <v>0</v>
          </cell>
          <cell r="AP108">
            <v>0</v>
          </cell>
          <cell r="AQ108">
            <v>2106</v>
          </cell>
          <cell r="AR108">
            <v>20906</v>
          </cell>
          <cell r="AS108">
            <v>8.74</v>
          </cell>
        </row>
        <row r="109">
          <cell r="P109">
            <v>7</v>
          </cell>
          <cell r="S109" t="str">
            <v xml:space="preserve"> </v>
          </cell>
        </row>
        <row r="110">
          <cell r="G110">
            <v>2262</v>
          </cell>
          <cell r="H110" t="str">
            <v>MR CHATTERJEE D S</v>
          </cell>
          <cell r="I110">
            <v>27376</v>
          </cell>
          <cell r="J110">
            <v>36892</v>
          </cell>
          <cell r="K110">
            <v>9902</v>
          </cell>
          <cell r="L110" t="str">
            <v>MA</v>
          </cell>
          <cell r="M110">
            <v>21</v>
          </cell>
          <cell r="N110" t="str">
            <v>A1</v>
          </cell>
          <cell r="O110" t="str">
            <v>MAM</v>
          </cell>
          <cell r="P110">
            <v>7</v>
          </cell>
          <cell r="Q110" t="str">
            <v>Other Locations</v>
          </cell>
          <cell r="R110" t="str">
            <v>Malda (Wb)</v>
          </cell>
          <cell r="S110" t="str">
            <v xml:space="preserve"> </v>
          </cell>
          <cell r="T110" t="str">
            <v>CA</v>
          </cell>
          <cell r="U110">
            <v>2001</v>
          </cell>
          <cell r="V110">
            <v>18000</v>
          </cell>
          <cell r="W110">
            <v>7150</v>
          </cell>
          <cell r="X110">
            <v>3500</v>
          </cell>
          <cell r="AA110">
            <v>500</v>
          </cell>
          <cell r="AB110">
            <v>150</v>
          </cell>
          <cell r="AD110" t="str">
            <v>CV</v>
          </cell>
          <cell r="AE110">
            <v>0</v>
          </cell>
          <cell r="AG110">
            <v>2750</v>
          </cell>
          <cell r="AH110">
            <v>14050</v>
          </cell>
          <cell r="AI110">
            <v>168600</v>
          </cell>
          <cell r="AJ110">
            <v>17500</v>
          </cell>
          <cell r="AK110">
            <v>20000</v>
          </cell>
          <cell r="AL110">
            <v>10000</v>
          </cell>
          <cell r="AQ110">
            <v>23166</v>
          </cell>
          <cell r="AR110">
            <v>239266</v>
          </cell>
        </row>
        <row r="111">
          <cell r="M111">
            <v>21</v>
          </cell>
          <cell r="N111" t="str">
            <v>A1</v>
          </cell>
          <cell r="P111">
            <v>7</v>
          </cell>
          <cell r="S111" t="str">
            <v xml:space="preserve"> </v>
          </cell>
          <cell r="U111">
            <v>2002</v>
          </cell>
          <cell r="W111">
            <v>7900</v>
          </cell>
          <cell r="X111">
            <v>4000</v>
          </cell>
          <cell r="Z111">
            <v>0</v>
          </cell>
          <cell r="AA111">
            <v>500</v>
          </cell>
          <cell r="AB111">
            <v>150</v>
          </cell>
          <cell r="AC111">
            <v>0</v>
          </cell>
          <cell r="AF111">
            <v>0</v>
          </cell>
          <cell r="AG111">
            <v>2750</v>
          </cell>
          <cell r="AH111">
            <v>15300</v>
          </cell>
          <cell r="AI111">
            <v>183600</v>
          </cell>
          <cell r="AJ111">
            <v>17500</v>
          </cell>
          <cell r="AK111">
            <v>20000</v>
          </cell>
          <cell r="AL111">
            <v>15000</v>
          </cell>
          <cell r="AM111">
            <v>0</v>
          </cell>
          <cell r="AN111">
            <v>0</v>
          </cell>
          <cell r="AO111">
            <v>0</v>
          </cell>
          <cell r="AP111">
            <v>0</v>
          </cell>
          <cell r="AQ111">
            <v>25596</v>
          </cell>
          <cell r="AR111">
            <v>261696</v>
          </cell>
          <cell r="AS111">
            <v>0</v>
          </cell>
        </row>
        <row r="112">
          <cell r="P112">
            <v>7</v>
          </cell>
          <cell r="S112" t="str">
            <v xml:space="preserve"> </v>
          </cell>
          <cell r="U112" t="str">
            <v>DIFF.</v>
          </cell>
          <cell r="W112">
            <v>750</v>
          </cell>
          <cell r="X112">
            <v>500</v>
          </cell>
          <cell r="Z112">
            <v>0</v>
          </cell>
          <cell r="AA112">
            <v>0</v>
          </cell>
          <cell r="AB112">
            <v>0</v>
          </cell>
          <cell r="AC112">
            <v>0</v>
          </cell>
          <cell r="AE112">
            <v>0</v>
          </cell>
          <cell r="AF112">
            <v>0</v>
          </cell>
          <cell r="AG112">
            <v>0</v>
          </cell>
          <cell r="AH112">
            <v>1250</v>
          </cell>
          <cell r="AI112">
            <v>15000</v>
          </cell>
          <cell r="AJ112">
            <v>0</v>
          </cell>
          <cell r="AK112">
            <v>0</v>
          </cell>
          <cell r="AL112">
            <v>5000</v>
          </cell>
          <cell r="AM112">
            <v>0</v>
          </cell>
          <cell r="AN112">
            <v>0</v>
          </cell>
          <cell r="AO112">
            <v>0</v>
          </cell>
          <cell r="AP112">
            <v>0</v>
          </cell>
          <cell r="AQ112">
            <v>2430</v>
          </cell>
          <cell r="AR112">
            <v>22430</v>
          </cell>
          <cell r="AS112">
            <v>9.3699999999999992</v>
          </cell>
        </row>
        <row r="113">
          <cell r="P113">
            <v>7</v>
          </cell>
          <cell r="S113" t="str">
            <v xml:space="preserve"> </v>
          </cell>
        </row>
        <row r="114">
          <cell r="G114">
            <v>2263</v>
          </cell>
          <cell r="H114" t="str">
            <v>MR KAUSHIK RAJESH</v>
          </cell>
          <cell r="I114">
            <v>26208</v>
          </cell>
          <cell r="J114">
            <v>36892</v>
          </cell>
          <cell r="K114">
            <v>11070</v>
          </cell>
          <cell r="L114" t="str">
            <v>MA</v>
          </cell>
          <cell r="M114">
            <v>21</v>
          </cell>
          <cell r="N114" t="str">
            <v>A1</v>
          </cell>
          <cell r="O114" t="str">
            <v>MAM</v>
          </cell>
          <cell r="P114">
            <v>7</v>
          </cell>
          <cell r="Q114" t="str">
            <v>Other Locations</v>
          </cell>
          <cell r="R114" t="str">
            <v>Mansa (  )</v>
          </cell>
          <cell r="S114" t="str">
            <v xml:space="preserve"> </v>
          </cell>
          <cell r="T114" t="str">
            <v>BP</v>
          </cell>
          <cell r="U114">
            <v>2001</v>
          </cell>
          <cell r="V114">
            <v>21150</v>
          </cell>
          <cell r="W114">
            <v>7150</v>
          </cell>
          <cell r="X114">
            <v>3500</v>
          </cell>
          <cell r="AA114">
            <v>500</v>
          </cell>
          <cell r="AB114">
            <v>150</v>
          </cell>
          <cell r="AD114" t="str">
            <v>CV</v>
          </cell>
          <cell r="AE114">
            <v>0</v>
          </cell>
          <cell r="AG114">
            <v>2750</v>
          </cell>
          <cell r="AH114">
            <v>14050</v>
          </cell>
          <cell r="AI114">
            <v>168600</v>
          </cell>
          <cell r="AJ114">
            <v>17500</v>
          </cell>
          <cell r="AK114">
            <v>20000</v>
          </cell>
          <cell r="AL114">
            <v>10000</v>
          </cell>
          <cell r="AQ114">
            <v>23166</v>
          </cell>
          <cell r="AR114">
            <v>239266</v>
          </cell>
        </row>
        <row r="115">
          <cell r="M115">
            <v>21</v>
          </cell>
          <cell r="N115" t="str">
            <v>A1</v>
          </cell>
          <cell r="P115">
            <v>7</v>
          </cell>
          <cell r="S115" t="str">
            <v xml:space="preserve"> </v>
          </cell>
          <cell r="U115">
            <v>2002</v>
          </cell>
          <cell r="W115">
            <v>8350</v>
          </cell>
          <cell r="X115">
            <v>4000</v>
          </cell>
          <cell r="Z115">
            <v>0</v>
          </cell>
          <cell r="AA115">
            <v>500</v>
          </cell>
          <cell r="AB115">
            <v>150</v>
          </cell>
          <cell r="AC115">
            <v>0</v>
          </cell>
          <cell r="AF115">
            <v>0</v>
          </cell>
          <cell r="AG115">
            <v>2750</v>
          </cell>
          <cell r="AH115">
            <v>15750</v>
          </cell>
          <cell r="AI115">
            <v>189000</v>
          </cell>
          <cell r="AJ115">
            <v>17500</v>
          </cell>
          <cell r="AK115">
            <v>20000</v>
          </cell>
          <cell r="AL115">
            <v>15000</v>
          </cell>
          <cell r="AM115">
            <v>0</v>
          </cell>
          <cell r="AN115">
            <v>0</v>
          </cell>
          <cell r="AO115">
            <v>0</v>
          </cell>
          <cell r="AP115">
            <v>0</v>
          </cell>
          <cell r="AQ115">
            <v>27054</v>
          </cell>
          <cell r="AR115">
            <v>268554</v>
          </cell>
          <cell r="AS115">
            <v>0</v>
          </cell>
        </row>
        <row r="116">
          <cell r="P116">
            <v>7</v>
          </cell>
          <cell r="S116" t="str">
            <v xml:space="preserve"> </v>
          </cell>
          <cell r="U116" t="str">
            <v>DIFF.</v>
          </cell>
          <cell r="W116">
            <v>1200</v>
          </cell>
          <cell r="X116">
            <v>500</v>
          </cell>
          <cell r="Z116">
            <v>0</v>
          </cell>
          <cell r="AA116">
            <v>0</v>
          </cell>
          <cell r="AB116">
            <v>0</v>
          </cell>
          <cell r="AC116">
            <v>0</v>
          </cell>
          <cell r="AE116">
            <v>0</v>
          </cell>
          <cell r="AF116">
            <v>0</v>
          </cell>
          <cell r="AG116">
            <v>0</v>
          </cell>
          <cell r="AH116">
            <v>1700</v>
          </cell>
          <cell r="AI116">
            <v>20400</v>
          </cell>
          <cell r="AJ116">
            <v>0</v>
          </cell>
          <cell r="AK116">
            <v>0</v>
          </cell>
          <cell r="AL116">
            <v>5000</v>
          </cell>
          <cell r="AM116">
            <v>0</v>
          </cell>
          <cell r="AN116">
            <v>0</v>
          </cell>
          <cell r="AO116">
            <v>0</v>
          </cell>
          <cell r="AP116">
            <v>0</v>
          </cell>
          <cell r="AQ116">
            <v>3888</v>
          </cell>
          <cell r="AR116">
            <v>29288</v>
          </cell>
          <cell r="AS116">
            <v>12.24</v>
          </cell>
        </row>
        <row r="117">
          <cell r="P117">
            <v>7</v>
          </cell>
          <cell r="S117" t="str">
            <v xml:space="preserve"> </v>
          </cell>
        </row>
        <row r="118">
          <cell r="G118">
            <v>2266</v>
          </cell>
          <cell r="H118" t="str">
            <v>MRS JACINTA SIMOES</v>
          </cell>
          <cell r="I118">
            <v>24767</v>
          </cell>
          <cell r="J118">
            <v>36986</v>
          </cell>
          <cell r="K118">
            <v>12511</v>
          </cell>
          <cell r="L118" t="str">
            <v>MA</v>
          </cell>
          <cell r="M118">
            <v>21</v>
          </cell>
          <cell r="O118" t="str">
            <v>MAT</v>
          </cell>
          <cell r="P118">
            <v>1</v>
          </cell>
          <cell r="Q118" t="str">
            <v>Mumbai</v>
          </cell>
          <cell r="R118" t="str">
            <v>Ho</v>
          </cell>
          <cell r="S118" t="str">
            <v xml:space="preserve"> </v>
          </cell>
          <cell r="T118" t="str">
            <v>CL</v>
          </cell>
          <cell r="U118">
            <v>2001</v>
          </cell>
          <cell r="V118">
            <v>13500</v>
          </cell>
          <cell r="W118">
            <v>7000</v>
          </cell>
          <cell r="X118">
            <v>3500</v>
          </cell>
          <cell r="AA118">
            <v>500</v>
          </cell>
          <cell r="AB118">
            <v>150</v>
          </cell>
          <cell r="AC118">
            <v>800</v>
          </cell>
          <cell r="AE118">
            <v>1000</v>
          </cell>
          <cell r="AG118">
            <v>2750</v>
          </cell>
          <cell r="AH118">
            <v>15700</v>
          </cell>
          <cell r="AI118">
            <v>188400</v>
          </cell>
          <cell r="AJ118">
            <v>17500</v>
          </cell>
          <cell r="AK118">
            <v>20000</v>
          </cell>
          <cell r="AL118">
            <v>10000</v>
          </cell>
          <cell r="AQ118">
            <v>22680</v>
          </cell>
          <cell r="AR118">
            <v>258580</v>
          </cell>
        </row>
        <row r="119">
          <cell r="M119">
            <v>21</v>
          </cell>
          <cell r="P119">
            <v>1</v>
          </cell>
          <cell r="S119" t="str">
            <v xml:space="preserve"> </v>
          </cell>
          <cell r="U119">
            <v>2002</v>
          </cell>
          <cell r="W119">
            <v>7650</v>
          </cell>
          <cell r="X119">
            <v>5500</v>
          </cell>
          <cell r="Z119">
            <v>0</v>
          </cell>
          <cell r="AA119">
            <v>500</v>
          </cell>
          <cell r="AB119">
            <v>150</v>
          </cell>
          <cell r="AC119">
            <v>800</v>
          </cell>
          <cell r="AF119">
            <v>0</v>
          </cell>
          <cell r="AG119">
            <v>2750</v>
          </cell>
          <cell r="AH119">
            <v>17350</v>
          </cell>
          <cell r="AI119">
            <v>208200</v>
          </cell>
          <cell r="AJ119">
            <v>17500</v>
          </cell>
          <cell r="AK119">
            <v>20000</v>
          </cell>
          <cell r="AL119">
            <v>15000</v>
          </cell>
          <cell r="AM119">
            <v>0</v>
          </cell>
          <cell r="AN119">
            <v>0</v>
          </cell>
          <cell r="AO119">
            <v>0</v>
          </cell>
          <cell r="AP119">
            <v>0</v>
          </cell>
          <cell r="AQ119">
            <v>24786</v>
          </cell>
          <cell r="AR119">
            <v>285486</v>
          </cell>
          <cell r="AS119">
            <v>0</v>
          </cell>
        </row>
        <row r="120">
          <cell r="P120">
            <v>1</v>
          </cell>
          <cell r="S120" t="str">
            <v xml:space="preserve"> </v>
          </cell>
          <cell r="U120" t="str">
            <v>DIFF.</v>
          </cell>
          <cell r="W120">
            <v>650</v>
          </cell>
          <cell r="X120">
            <v>2000</v>
          </cell>
          <cell r="Z120">
            <v>0</v>
          </cell>
          <cell r="AA120">
            <v>0</v>
          </cell>
          <cell r="AB120">
            <v>0</v>
          </cell>
          <cell r="AC120">
            <v>0</v>
          </cell>
          <cell r="AE120">
            <v>-1000</v>
          </cell>
          <cell r="AF120">
            <v>0</v>
          </cell>
          <cell r="AG120">
            <v>0</v>
          </cell>
          <cell r="AH120">
            <v>1650</v>
          </cell>
          <cell r="AI120">
            <v>19800</v>
          </cell>
          <cell r="AJ120">
            <v>0</v>
          </cell>
          <cell r="AK120">
            <v>0</v>
          </cell>
          <cell r="AL120">
            <v>5000</v>
          </cell>
          <cell r="AM120">
            <v>0</v>
          </cell>
          <cell r="AN120">
            <v>0</v>
          </cell>
          <cell r="AO120">
            <v>0</v>
          </cell>
          <cell r="AP120">
            <v>0</v>
          </cell>
          <cell r="AQ120">
            <v>2106</v>
          </cell>
          <cell r="AR120">
            <v>26906</v>
          </cell>
          <cell r="AS120">
            <v>10.41</v>
          </cell>
        </row>
        <row r="121">
          <cell r="P121">
            <v>1</v>
          </cell>
          <cell r="S121" t="str">
            <v xml:space="preserve"> </v>
          </cell>
        </row>
        <row r="122">
          <cell r="G122">
            <v>2284</v>
          </cell>
          <cell r="H122" t="str">
            <v>MR PATEL N A</v>
          </cell>
          <cell r="I122">
            <v>27277</v>
          </cell>
          <cell r="J122">
            <v>37067</v>
          </cell>
          <cell r="K122">
            <v>10001</v>
          </cell>
          <cell r="L122" t="str">
            <v>MA</v>
          </cell>
          <cell r="M122">
            <v>21</v>
          </cell>
          <cell r="N122" t="str">
            <v>A1</v>
          </cell>
          <cell r="O122" t="str">
            <v>MAM</v>
          </cell>
          <cell r="P122">
            <v>7</v>
          </cell>
          <cell r="Q122" t="str">
            <v>Other Locations</v>
          </cell>
          <cell r="R122" t="str">
            <v>Amd</v>
          </cell>
          <cell r="S122" t="str">
            <v xml:space="preserve"> </v>
          </cell>
          <cell r="T122" t="str">
            <v>CL</v>
          </cell>
          <cell r="U122">
            <v>2001</v>
          </cell>
          <cell r="V122">
            <v>10500</v>
          </cell>
          <cell r="W122">
            <v>6750</v>
          </cell>
          <cell r="X122">
            <v>3500</v>
          </cell>
          <cell r="AA122">
            <v>500</v>
          </cell>
          <cell r="AB122">
            <v>150</v>
          </cell>
          <cell r="AD122" t="str">
            <v>CV</v>
          </cell>
          <cell r="AE122">
            <v>0</v>
          </cell>
          <cell r="AG122">
            <v>2750</v>
          </cell>
          <cell r="AH122">
            <v>13650</v>
          </cell>
          <cell r="AI122">
            <v>163800</v>
          </cell>
          <cell r="AJ122">
            <v>17500</v>
          </cell>
          <cell r="AK122">
            <v>20000</v>
          </cell>
          <cell r="AL122">
            <v>10000</v>
          </cell>
          <cell r="AQ122">
            <v>21870</v>
          </cell>
          <cell r="AR122">
            <v>233170</v>
          </cell>
        </row>
        <row r="123">
          <cell r="M123">
            <v>21</v>
          </cell>
          <cell r="N123" t="str">
            <v>A1</v>
          </cell>
          <cell r="P123">
            <v>7</v>
          </cell>
          <cell r="S123" t="str">
            <v xml:space="preserve"> </v>
          </cell>
          <cell r="U123">
            <v>2002</v>
          </cell>
          <cell r="W123">
            <v>7400</v>
          </cell>
          <cell r="X123">
            <v>4000</v>
          </cell>
          <cell r="Z123">
            <v>0</v>
          </cell>
          <cell r="AA123">
            <v>500</v>
          </cell>
          <cell r="AB123">
            <v>150</v>
          </cell>
          <cell r="AC123">
            <v>0</v>
          </cell>
          <cell r="AF123">
            <v>0</v>
          </cell>
          <cell r="AG123">
            <v>2750</v>
          </cell>
          <cell r="AH123">
            <v>14800</v>
          </cell>
          <cell r="AI123">
            <v>177600</v>
          </cell>
          <cell r="AJ123">
            <v>17500</v>
          </cell>
          <cell r="AK123">
            <v>20000</v>
          </cell>
          <cell r="AL123">
            <v>15000</v>
          </cell>
          <cell r="AM123">
            <v>0</v>
          </cell>
          <cell r="AN123">
            <v>0</v>
          </cell>
          <cell r="AO123">
            <v>0</v>
          </cell>
          <cell r="AP123">
            <v>0</v>
          </cell>
          <cell r="AQ123">
            <v>23976</v>
          </cell>
          <cell r="AR123">
            <v>254076</v>
          </cell>
          <cell r="AS123">
            <v>0</v>
          </cell>
        </row>
        <row r="124">
          <cell r="P124">
            <v>7</v>
          </cell>
          <cell r="S124" t="str">
            <v xml:space="preserve"> </v>
          </cell>
          <cell r="U124" t="str">
            <v>DIFF.</v>
          </cell>
          <cell r="W124">
            <v>650</v>
          </cell>
          <cell r="X124">
            <v>500</v>
          </cell>
          <cell r="Z124">
            <v>0</v>
          </cell>
          <cell r="AA124">
            <v>0</v>
          </cell>
          <cell r="AB124">
            <v>0</v>
          </cell>
          <cell r="AC124">
            <v>0</v>
          </cell>
          <cell r="AE124">
            <v>0</v>
          </cell>
          <cell r="AF124">
            <v>0</v>
          </cell>
          <cell r="AG124">
            <v>0</v>
          </cell>
          <cell r="AH124">
            <v>1150</v>
          </cell>
          <cell r="AI124">
            <v>13800</v>
          </cell>
          <cell r="AJ124">
            <v>0</v>
          </cell>
          <cell r="AK124">
            <v>0</v>
          </cell>
          <cell r="AL124">
            <v>5000</v>
          </cell>
          <cell r="AM124">
            <v>0</v>
          </cell>
          <cell r="AN124">
            <v>0</v>
          </cell>
          <cell r="AO124">
            <v>0</v>
          </cell>
          <cell r="AP124">
            <v>0</v>
          </cell>
          <cell r="AQ124">
            <v>2106</v>
          </cell>
          <cell r="AR124">
            <v>20906</v>
          </cell>
          <cell r="AS124">
            <v>8.9700000000000006</v>
          </cell>
        </row>
        <row r="125">
          <cell r="P125">
            <v>7</v>
          </cell>
          <cell r="S125" t="str">
            <v xml:space="preserve"> </v>
          </cell>
        </row>
        <row r="126">
          <cell r="G126">
            <v>2315</v>
          </cell>
          <cell r="H126" t="str">
            <v>MR RAMKUMAR JHA</v>
          </cell>
          <cell r="I126">
            <v>25530</v>
          </cell>
          <cell r="J126">
            <v>34853</v>
          </cell>
          <cell r="K126">
            <v>11748</v>
          </cell>
          <cell r="L126" t="str">
            <v>MA</v>
          </cell>
          <cell r="M126">
            <v>21</v>
          </cell>
          <cell r="N126" t="str">
            <v>A2</v>
          </cell>
          <cell r="O126" t="str">
            <v>MA</v>
          </cell>
          <cell r="P126">
            <v>7</v>
          </cell>
          <cell r="Q126" t="str">
            <v>Other Locations</v>
          </cell>
          <cell r="R126" t="str">
            <v>Ujjain (Mp)</v>
          </cell>
          <cell r="S126" t="str">
            <v xml:space="preserve"> </v>
          </cell>
          <cell r="T126" t="str">
            <v>CA</v>
          </cell>
          <cell r="U126">
            <v>2001</v>
          </cell>
          <cell r="V126">
            <v>18000</v>
          </cell>
          <cell r="W126">
            <v>7530</v>
          </cell>
          <cell r="X126">
            <v>3500</v>
          </cell>
          <cell r="AA126">
            <v>500</v>
          </cell>
          <cell r="AB126">
            <v>150</v>
          </cell>
          <cell r="AD126" t="str">
            <v>CV</v>
          </cell>
          <cell r="AE126">
            <v>0</v>
          </cell>
          <cell r="AF126">
            <v>500</v>
          </cell>
          <cell r="AG126">
            <v>2750</v>
          </cell>
          <cell r="AH126">
            <v>14930</v>
          </cell>
          <cell r="AI126">
            <v>179160</v>
          </cell>
          <cell r="AJ126">
            <v>17500</v>
          </cell>
          <cell r="AK126">
            <v>20000</v>
          </cell>
          <cell r="AL126">
            <v>10000</v>
          </cell>
          <cell r="AM126">
            <v>0</v>
          </cell>
          <cell r="AN126">
            <v>0</v>
          </cell>
          <cell r="AO126">
            <v>0</v>
          </cell>
          <cell r="AP126">
            <v>0</v>
          </cell>
          <cell r="AQ126">
            <v>24397</v>
          </cell>
          <cell r="AR126">
            <v>251057</v>
          </cell>
          <cell r="AS126">
            <v>0</v>
          </cell>
        </row>
        <row r="127">
          <cell r="M127">
            <v>21</v>
          </cell>
          <cell r="N127" t="str">
            <v>A2</v>
          </cell>
          <cell r="P127">
            <v>7</v>
          </cell>
          <cell r="S127" t="str">
            <v xml:space="preserve"> </v>
          </cell>
          <cell r="U127">
            <v>2002</v>
          </cell>
          <cell r="W127">
            <v>8280</v>
          </cell>
          <cell r="X127">
            <v>4000</v>
          </cell>
          <cell r="Z127">
            <v>0</v>
          </cell>
          <cell r="AA127">
            <v>500</v>
          </cell>
          <cell r="AB127">
            <v>150</v>
          </cell>
          <cell r="AC127">
            <v>0</v>
          </cell>
          <cell r="AF127">
            <v>500</v>
          </cell>
          <cell r="AG127">
            <v>2750</v>
          </cell>
          <cell r="AH127">
            <v>16180</v>
          </cell>
          <cell r="AI127">
            <v>194160</v>
          </cell>
          <cell r="AJ127">
            <v>17500</v>
          </cell>
          <cell r="AK127">
            <v>20000</v>
          </cell>
          <cell r="AL127">
            <v>15000</v>
          </cell>
          <cell r="AM127">
            <v>0</v>
          </cell>
          <cell r="AN127">
            <v>0</v>
          </cell>
          <cell r="AO127">
            <v>0</v>
          </cell>
          <cell r="AP127">
            <v>0</v>
          </cell>
          <cell r="AQ127">
            <v>26827</v>
          </cell>
          <cell r="AR127">
            <v>273487</v>
          </cell>
          <cell r="AS127">
            <v>0</v>
          </cell>
        </row>
        <row r="128">
          <cell r="P128">
            <v>7</v>
          </cell>
          <cell r="S128" t="str">
            <v xml:space="preserve"> </v>
          </cell>
          <cell r="U128" t="str">
            <v>DIFF.</v>
          </cell>
          <cell r="W128">
            <v>750</v>
          </cell>
          <cell r="X128">
            <v>500</v>
          </cell>
          <cell r="Z128">
            <v>0</v>
          </cell>
          <cell r="AA128">
            <v>0</v>
          </cell>
          <cell r="AB128">
            <v>0</v>
          </cell>
          <cell r="AC128">
            <v>0</v>
          </cell>
          <cell r="AE128">
            <v>0</v>
          </cell>
          <cell r="AF128">
            <v>0</v>
          </cell>
          <cell r="AG128">
            <v>0</v>
          </cell>
          <cell r="AH128">
            <v>1250</v>
          </cell>
          <cell r="AI128">
            <v>15000</v>
          </cell>
          <cell r="AJ128">
            <v>0</v>
          </cell>
          <cell r="AK128">
            <v>0</v>
          </cell>
          <cell r="AL128">
            <v>5000</v>
          </cell>
          <cell r="AM128">
            <v>0</v>
          </cell>
          <cell r="AN128">
            <v>0</v>
          </cell>
          <cell r="AO128">
            <v>0</v>
          </cell>
          <cell r="AP128">
            <v>0</v>
          </cell>
          <cell r="AQ128">
            <v>2430</v>
          </cell>
          <cell r="AR128">
            <v>22430</v>
          </cell>
          <cell r="AS128">
            <v>8.93</v>
          </cell>
        </row>
        <row r="129">
          <cell r="P129">
            <v>7</v>
          </cell>
          <cell r="S129" t="str">
            <v xml:space="preserve"> </v>
          </cell>
        </row>
        <row r="130">
          <cell r="G130">
            <v>2316</v>
          </cell>
          <cell r="H130" t="str">
            <v>MR RAGHUNANDAN S.V.</v>
          </cell>
          <cell r="I130">
            <v>24367</v>
          </cell>
          <cell r="J130">
            <v>34907</v>
          </cell>
          <cell r="K130">
            <v>12911</v>
          </cell>
          <cell r="L130" t="str">
            <v>MA</v>
          </cell>
          <cell r="M130">
            <v>21</v>
          </cell>
          <cell r="N130" t="str">
            <v>A1</v>
          </cell>
          <cell r="O130" t="str">
            <v>MA</v>
          </cell>
          <cell r="P130">
            <v>7</v>
          </cell>
          <cell r="Q130" t="str">
            <v>Other Locations</v>
          </cell>
          <cell r="R130" t="str">
            <v>Karim Nagar (Ap)</v>
          </cell>
          <cell r="S130" t="str">
            <v xml:space="preserve"> </v>
          </cell>
          <cell r="T130" t="str">
            <v>CA</v>
          </cell>
          <cell r="U130">
            <v>2001</v>
          </cell>
          <cell r="V130">
            <v>18000</v>
          </cell>
          <cell r="W130">
            <v>6020</v>
          </cell>
          <cell r="X130">
            <v>3500</v>
          </cell>
          <cell r="AA130">
            <v>500</v>
          </cell>
          <cell r="AB130">
            <v>150</v>
          </cell>
          <cell r="AD130" t="str">
            <v>CV</v>
          </cell>
          <cell r="AE130">
            <v>0</v>
          </cell>
          <cell r="AG130">
            <v>2750</v>
          </cell>
          <cell r="AH130">
            <v>12920</v>
          </cell>
          <cell r="AI130">
            <v>155040</v>
          </cell>
          <cell r="AJ130">
            <v>17500</v>
          </cell>
          <cell r="AK130">
            <v>20000</v>
          </cell>
          <cell r="AL130">
            <v>10000</v>
          </cell>
          <cell r="AQ130">
            <v>19505</v>
          </cell>
          <cell r="AR130">
            <v>222045</v>
          </cell>
        </row>
        <row r="131">
          <cell r="M131">
            <v>21</v>
          </cell>
          <cell r="N131" t="str">
            <v>A1</v>
          </cell>
          <cell r="P131">
            <v>7</v>
          </cell>
          <cell r="S131" t="str">
            <v xml:space="preserve"> </v>
          </cell>
          <cell r="U131">
            <v>2002</v>
          </cell>
          <cell r="W131">
            <v>6770</v>
          </cell>
          <cell r="X131">
            <v>4000</v>
          </cell>
          <cell r="Z131">
            <v>0</v>
          </cell>
          <cell r="AA131">
            <v>500</v>
          </cell>
          <cell r="AB131">
            <v>150</v>
          </cell>
          <cell r="AC131">
            <v>0</v>
          </cell>
          <cell r="AF131">
            <v>0</v>
          </cell>
          <cell r="AG131">
            <v>2750</v>
          </cell>
          <cell r="AH131">
            <v>14170</v>
          </cell>
          <cell r="AI131">
            <v>170040</v>
          </cell>
          <cell r="AJ131">
            <v>17500</v>
          </cell>
          <cell r="AK131">
            <v>20000</v>
          </cell>
          <cell r="AL131">
            <v>15000</v>
          </cell>
          <cell r="AM131">
            <v>0</v>
          </cell>
          <cell r="AN131">
            <v>0</v>
          </cell>
          <cell r="AO131">
            <v>0</v>
          </cell>
          <cell r="AP131">
            <v>0</v>
          </cell>
          <cell r="AQ131">
            <v>21935</v>
          </cell>
          <cell r="AR131">
            <v>244475</v>
          </cell>
          <cell r="AS131">
            <v>0</v>
          </cell>
        </row>
        <row r="132">
          <cell r="P132">
            <v>7</v>
          </cell>
          <cell r="S132" t="str">
            <v xml:space="preserve"> </v>
          </cell>
          <cell r="U132" t="str">
            <v>DIFF.</v>
          </cell>
          <cell r="W132">
            <v>750</v>
          </cell>
          <cell r="X132">
            <v>500</v>
          </cell>
          <cell r="Z132">
            <v>0</v>
          </cell>
          <cell r="AA132">
            <v>0</v>
          </cell>
          <cell r="AB132">
            <v>0</v>
          </cell>
          <cell r="AC132">
            <v>0</v>
          </cell>
          <cell r="AE132">
            <v>0</v>
          </cell>
          <cell r="AF132">
            <v>0</v>
          </cell>
          <cell r="AG132">
            <v>0</v>
          </cell>
          <cell r="AH132">
            <v>1250</v>
          </cell>
          <cell r="AI132">
            <v>15000</v>
          </cell>
          <cell r="AJ132">
            <v>0</v>
          </cell>
          <cell r="AK132">
            <v>0</v>
          </cell>
          <cell r="AL132">
            <v>5000</v>
          </cell>
          <cell r="AM132">
            <v>0</v>
          </cell>
          <cell r="AN132">
            <v>0</v>
          </cell>
          <cell r="AO132">
            <v>0</v>
          </cell>
          <cell r="AP132">
            <v>0</v>
          </cell>
          <cell r="AQ132">
            <v>2430</v>
          </cell>
          <cell r="AR132">
            <v>22430</v>
          </cell>
          <cell r="AS132">
            <v>10.1</v>
          </cell>
        </row>
        <row r="133">
          <cell r="P133">
            <v>7</v>
          </cell>
          <cell r="S133" t="str">
            <v xml:space="preserve"> </v>
          </cell>
        </row>
        <row r="134">
          <cell r="G134">
            <v>2318</v>
          </cell>
          <cell r="H134" t="str">
            <v>MR VISHWANATHAN P BHAT</v>
          </cell>
          <cell r="I134">
            <v>25203</v>
          </cell>
          <cell r="J134">
            <v>34939</v>
          </cell>
          <cell r="K134">
            <v>12075</v>
          </cell>
          <cell r="L134" t="str">
            <v>MA</v>
          </cell>
          <cell r="M134">
            <v>21</v>
          </cell>
          <cell r="N134" t="str">
            <v>A2</v>
          </cell>
          <cell r="O134" t="str">
            <v>MA</v>
          </cell>
          <cell r="P134">
            <v>7</v>
          </cell>
          <cell r="Q134" t="str">
            <v>Other Locations</v>
          </cell>
          <cell r="R134" t="str">
            <v>Bellari (Karnataka)</v>
          </cell>
          <cell r="S134" t="str">
            <v xml:space="preserve"> </v>
          </cell>
          <cell r="T134" t="str">
            <v>CA</v>
          </cell>
          <cell r="U134">
            <v>2001</v>
          </cell>
          <cell r="V134">
            <v>18000</v>
          </cell>
          <cell r="W134">
            <v>6935</v>
          </cell>
          <cell r="X134">
            <v>3500</v>
          </cell>
          <cell r="AA134">
            <v>500</v>
          </cell>
          <cell r="AB134">
            <v>150</v>
          </cell>
          <cell r="AD134" t="str">
            <v>CV</v>
          </cell>
          <cell r="AE134">
            <v>0</v>
          </cell>
          <cell r="AF134">
            <v>500</v>
          </cell>
          <cell r="AG134">
            <v>2750</v>
          </cell>
          <cell r="AH134">
            <v>14335</v>
          </cell>
          <cell r="AI134">
            <v>172020</v>
          </cell>
          <cell r="AJ134">
            <v>17500</v>
          </cell>
          <cell r="AK134">
            <v>20000</v>
          </cell>
          <cell r="AL134">
            <v>10000</v>
          </cell>
          <cell r="AM134">
            <v>0</v>
          </cell>
          <cell r="AN134">
            <v>0</v>
          </cell>
          <cell r="AO134">
            <v>0</v>
          </cell>
          <cell r="AP134">
            <v>0</v>
          </cell>
          <cell r="AQ134">
            <v>22469</v>
          </cell>
          <cell r="AR134">
            <v>241989</v>
          </cell>
          <cell r="AS134">
            <v>0</v>
          </cell>
        </row>
        <row r="135">
          <cell r="M135">
            <v>21</v>
          </cell>
          <cell r="N135" t="str">
            <v>A2</v>
          </cell>
          <cell r="P135">
            <v>7</v>
          </cell>
          <cell r="S135" t="str">
            <v xml:space="preserve"> </v>
          </cell>
          <cell r="U135">
            <v>2002</v>
          </cell>
          <cell r="W135">
            <v>7685</v>
          </cell>
          <cell r="X135">
            <v>4000</v>
          </cell>
          <cell r="Z135">
            <v>0</v>
          </cell>
          <cell r="AA135">
            <v>500</v>
          </cell>
          <cell r="AB135">
            <v>150</v>
          </cell>
          <cell r="AC135">
            <v>0</v>
          </cell>
          <cell r="AF135">
            <v>500</v>
          </cell>
          <cell r="AG135">
            <v>2750</v>
          </cell>
          <cell r="AH135">
            <v>15585</v>
          </cell>
          <cell r="AI135">
            <v>187020</v>
          </cell>
          <cell r="AJ135">
            <v>17500</v>
          </cell>
          <cell r="AK135">
            <v>20000</v>
          </cell>
          <cell r="AL135">
            <v>15000</v>
          </cell>
          <cell r="AM135">
            <v>0</v>
          </cell>
          <cell r="AN135">
            <v>0</v>
          </cell>
          <cell r="AO135">
            <v>0</v>
          </cell>
          <cell r="AP135">
            <v>0</v>
          </cell>
          <cell r="AQ135">
            <v>24899</v>
          </cell>
          <cell r="AR135">
            <v>264419</v>
          </cell>
          <cell r="AS135">
            <v>0</v>
          </cell>
        </row>
        <row r="136">
          <cell r="P136">
            <v>7</v>
          </cell>
          <cell r="S136" t="str">
            <v xml:space="preserve"> </v>
          </cell>
          <cell r="U136" t="str">
            <v>DIFF.</v>
          </cell>
          <cell r="W136">
            <v>750</v>
          </cell>
          <cell r="X136">
            <v>500</v>
          </cell>
          <cell r="Z136">
            <v>0</v>
          </cell>
          <cell r="AA136">
            <v>0</v>
          </cell>
          <cell r="AB136">
            <v>0</v>
          </cell>
          <cell r="AC136">
            <v>0</v>
          </cell>
          <cell r="AE136">
            <v>0</v>
          </cell>
          <cell r="AF136">
            <v>0</v>
          </cell>
          <cell r="AG136">
            <v>0</v>
          </cell>
          <cell r="AH136">
            <v>1250</v>
          </cell>
          <cell r="AI136">
            <v>15000</v>
          </cell>
          <cell r="AJ136">
            <v>0</v>
          </cell>
          <cell r="AK136">
            <v>0</v>
          </cell>
          <cell r="AL136">
            <v>5000</v>
          </cell>
          <cell r="AM136">
            <v>0</v>
          </cell>
          <cell r="AN136">
            <v>0</v>
          </cell>
          <cell r="AO136">
            <v>0</v>
          </cell>
          <cell r="AP136">
            <v>0</v>
          </cell>
          <cell r="AQ136">
            <v>2430</v>
          </cell>
          <cell r="AR136">
            <v>22430</v>
          </cell>
          <cell r="AS136">
            <v>9.27</v>
          </cell>
        </row>
        <row r="137">
          <cell r="P137">
            <v>7</v>
          </cell>
          <cell r="S137" t="str">
            <v xml:space="preserve"> </v>
          </cell>
        </row>
        <row r="138">
          <cell r="G138">
            <v>2320</v>
          </cell>
          <cell r="H138" t="str">
            <v>MR JOYDEB PAL</v>
          </cell>
          <cell r="I138">
            <v>25408</v>
          </cell>
          <cell r="J138">
            <v>34968</v>
          </cell>
          <cell r="K138">
            <v>11870</v>
          </cell>
          <cell r="L138" t="str">
            <v>MA</v>
          </cell>
          <cell r="M138">
            <v>21</v>
          </cell>
          <cell r="N138" t="str">
            <v>A2</v>
          </cell>
          <cell r="O138" t="str">
            <v>MA</v>
          </cell>
          <cell r="P138">
            <v>7</v>
          </cell>
          <cell r="Q138" t="str">
            <v>Other Locations</v>
          </cell>
          <cell r="R138" t="str">
            <v>Jorhat (Assam)</v>
          </cell>
          <cell r="S138" t="str">
            <v xml:space="preserve"> </v>
          </cell>
          <cell r="T138" t="str">
            <v>BA</v>
          </cell>
          <cell r="U138">
            <v>2001</v>
          </cell>
          <cell r="V138">
            <v>21150</v>
          </cell>
          <cell r="W138">
            <v>8265</v>
          </cell>
          <cell r="X138">
            <v>3500</v>
          </cell>
          <cell r="AA138">
            <v>500</v>
          </cell>
          <cell r="AB138">
            <v>150</v>
          </cell>
          <cell r="AC138">
            <v>800</v>
          </cell>
          <cell r="AD138" t="str">
            <v>CV</v>
          </cell>
          <cell r="AE138">
            <v>0</v>
          </cell>
          <cell r="AF138">
            <v>500</v>
          </cell>
          <cell r="AG138">
            <v>2750</v>
          </cell>
          <cell r="AH138">
            <v>16465</v>
          </cell>
          <cell r="AI138">
            <v>197580</v>
          </cell>
          <cell r="AJ138">
            <v>17500</v>
          </cell>
          <cell r="AK138">
            <v>20000</v>
          </cell>
          <cell r="AL138">
            <v>10000</v>
          </cell>
          <cell r="AM138">
            <v>0</v>
          </cell>
          <cell r="AN138">
            <v>0</v>
          </cell>
          <cell r="AO138">
            <v>0</v>
          </cell>
          <cell r="AP138">
            <v>0</v>
          </cell>
          <cell r="AQ138">
            <v>26779</v>
          </cell>
          <cell r="AR138">
            <v>271859</v>
          </cell>
          <cell r="AS138">
            <v>0</v>
          </cell>
        </row>
        <row r="139">
          <cell r="M139">
            <v>21</v>
          </cell>
          <cell r="N139" t="str">
            <v>A2</v>
          </cell>
          <cell r="P139">
            <v>7</v>
          </cell>
          <cell r="S139" t="str">
            <v xml:space="preserve"> </v>
          </cell>
          <cell r="U139">
            <v>2002</v>
          </cell>
          <cell r="W139">
            <v>9365</v>
          </cell>
          <cell r="X139">
            <v>4000</v>
          </cell>
          <cell r="Z139">
            <v>0</v>
          </cell>
          <cell r="AA139">
            <v>500</v>
          </cell>
          <cell r="AB139">
            <v>150</v>
          </cell>
          <cell r="AC139">
            <v>800</v>
          </cell>
          <cell r="AF139">
            <v>500</v>
          </cell>
          <cell r="AG139">
            <v>2750</v>
          </cell>
          <cell r="AH139">
            <v>18065</v>
          </cell>
          <cell r="AI139">
            <v>216780</v>
          </cell>
          <cell r="AJ139">
            <v>17500</v>
          </cell>
          <cell r="AK139">
            <v>20000</v>
          </cell>
          <cell r="AL139">
            <v>15000</v>
          </cell>
          <cell r="AM139">
            <v>0</v>
          </cell>
          <cell r="AN139">
            <v>0</v>
          </cell>
          <cell r="AO139">
            <v>0</v>
          </cell>
          <cell r="AP139">
            <v>0</v>
          </cell>
          <cell r="AQ139">
            <v>30343</v>
          </cell>
          <cell r="AR139">
            <v>299623</v>
          </cell>
          <cell r="AS139">
            <v>0</v>
          </cell>
        </row>
        <row r="140">
          <cell r="P140">
            <v>7</v>
          </cell>
          <cell r="S140" t="str">
            <v xml:space="preserve"> </v>
          </cell>
          <cell r="U140" t="str">
            <v>DIFF.</v>
          </cell>
          <cell r="W140">
            <v>1100</v>
          </cell>
          <cell r="X140">
            <v>500</v>
          </cell>
          <cell r="Z140">
            <v>0</v>
          </cell>
          <cell r="AA140">
            <v>0</v>
          </cell>
          <cell r="AB140">
            <v>0</v>
          </cell>
          <cell r="AC140">
            <v>0</v>
          </cell>
          <cell r="AE140">
            <v>0</v>
          </cell>
          <cell r="AF140">
            <v>0</v>
          </cell>
          <cell r="AG140">
            <v>0</v>
          </cell>
          <cell r="AH140">
            <v>1600</v>
          </cell>
          <cell r="AI140">
            <v>19200</v>
          </cell>
          <cell r="AJ140">
            <v>0</v>
          </cell>
          <cell r="AK140">
            <v>0</v>
          </cell>
          <cell r="AL140">
            <v>5000</v>
          </cell>
          <cell r="AM140">
            <v>0</v>
          </cell>
          <cell r="AN140">
            <v>0</v>
          </cell>
          <cell r="AO140">
            <v>0</v>
          </cell>
          <cell r="AP140">
            <v>0</v>
          </cell>
          <cell r="AQ140">
            <v>3564</v>
          </cell>
          <cell r="AR140">
            <v>27764</v>
          </cell>
          <cell r="AS140">
            <v>10.210000000000001</v>
          </cell>
        </row>
        <row r="141">
          <cell r="P141">
            <v>7</v>
          </cell>
          <cell r="S141" t="str">
            <v xml:space="preserve"> </v>
          </cell>
        </row>
        <row r="142">
          <cell r="G142">
            <v>2321</v>
          </cell>
          <cell r="H142" t="str">
            <v>MR SUMAN DAS BISWAS</v>
          </cell>
          <cell r="I142">
            <v>24807</v>
          </cell>
          <cell r="J142">
            <v>35018</v>
          </cell>
          <cell r="K142">
            <v>12471</v>
          </cell>
          <cell r="L142" t="str">
            <v>MA</v>
          </cell>
          <cell r="M142">
            <v>21</v>
          </cell>
          <cell r="N142" t="str">
            <v>A1</v>
          </cell>
          <cell r="O142" t="str">
            <v>MA</v>
          </cell>
          <cell r="P142">
            <v>4</v>
          </cell>
          <cell r="Q142" t="str">
            <v>Kolkatta</v>
          </cell>
          <cell r="R142" t="str">
            <v>Kolkatta</v>
          </cell>
          <cell r="S142" t="str">
            <v xml:space="preserve"> </v>
          </cell>
          <cell r="T142" t="str">
            <v>CL</v>
          </cell>
          <cell r="U142">
            <v>2001</v>
          </cell>
          <cell r="V142">
            <v>18000</v>
          </cell>
          <cell r="W142">
            <v>5350</v>
          </cell>
          <cell r="X142">
            <v>3500</v>
          </cell>
          <cell r="AA142">
            <v>500</v>
          </cell>
          <cell r="AB142">
            <v>150</v>
          </cell>
          <cell r="AD142" t="str">
            <v>CV</v>
          </cell>
          <cell r="AE142">
            <v>450</v>
          </cell>
          <cell r="AG142">
            <v>2750</v>
          </cell>
          <cell r="AH142">
            <v>12700</v>
          </cell>
          <cell r="AI142">
            <v>152400</v>
          </cell>
          <cell r="AJ142">
            <v>17500</v>
          </cell>
          <cell r="AK142">
            <v>20000</v>
          </cell>
          <cell r="AL142">
            <v>10000</v>
          </cell>
          <cell r="AQ142">
            <v>17334</v>
          </cell>
          <cell r="AR142">
            <v>217234</v>
          </cell>
        </row>
        <row r="143">
          <cell r="M143">
            <v>21</v>
          </cell>
          <cell r="N143" t="str">
            <v>A1</v>
          </cell>
          <cell r="P143">
            <v>4</v>
          </cell>
          <cell r="S143" t="str">
            <v xml:space="preserve"> </v>
          </cell>
          <cell r="U143">
            <v>2002</v>
          </cell>
          <cell r="W143">
            <v>6000</v>
          </cell>
          <cell r="X143">
            <v>4500</v>
          </cell>
          <cell r="Z143">
            <v>0</v>
          </cell>
          <cell r="AA143">
            <v>500</v>
          </cell>
          <cell r="AB143">
            <v>150</v>
          </cell>
          <cell r="AC143">
            <v>0</v>
          </cell>
          <cell r="AF143">
            <v>0</v>
          </cell>
          <cell r="AG143">
            <v>2750</v>
          </cell>
          <cell r="AH143">
            <v>13900</v>
          </cell>
          <cell r="AI143">
            <v>166800</v>
          </cell>
          <cell r="AJ143">
            <v>17500</v>
          </cell>
          <cell r="AK143">
            <v>20000</v>
          </cell>
          <cell r="AL143">
            <v>15000</v>
          </cell>
          <cell r="AM143">
            <v>0</v>
          </cell>
          <cell r="AN143">
            <v>0</v>
          </cell>
          <cell r="AO143">
            <v>0</v>
          </cell>
          <cell r="AP143">
            <v>0</v>
          </cell>
          <cell r="AQ143">
            <v>19440</v>
          </cell>
          <cell r="AR143">
            <v>238740</v>
          </cell>
          <cell r="AS143">
            <v>0</v>
          </cell>
        </row>
        <row r="144">
          <cell r="P144">
            <v>4</v>
          </cell>
          <cell r="S144" t="str">
            <v xml:space="preserve"> </v>
          </cell>
          <cell r="U144" t="str">
            <v>DIFF.</v>
          </cell>
          <cell r="W144">
            <v>650</v>
          </cell>
          <cell r="X144">
            <v>1000</v>
          </cell>
          <cell r="Z144">
            <v>0</v>
          </cell>
          <cell r="AA144">
            <v>0</v>
          </cell>
          <cell r="AB144">
            <v>0</v>
          </cell>
          <cell r="AC144">
            <v>0</v>
          </cell>
          <cell r="AE144">
            <v>-450</v>
          </cell>
          <cell r="AF144">
            <v>0</v>
          </cell>
          <cell r="AG144">
            <v>0</v>
          </cell>
          <cell r="AH144">
            <v>1200</v>
          </cell>
          <cell r="AI144">
            <v>14400</v>
          </cell>
          <cell r="AJ144">
            <v>0</v>
          </cell>
          <cell r="AK144">
            <v>0</v>
          </cell>
          <cell r="AL144">
            <v>5000</v>
          </cell>
          <cell r="AM144">
            <v>0</v>
          </cell>
          <cell r="AN144">
            <v>0</v>
          </cell>
          <cell r="AO144">
            <v>0</v>
          </cell>
          <cell r="AP144">
            <v>0</v>
          </cell>
          <cell r="AQ144">
            <v>2106</v>
          </cell>
          <cell r="AR144">
            <v>21506</v>
          </cell>
          <cell r="AS144">
            <v>9.9</v>
          </cell>
        </row>
        <row r="145">
          <cell r="P145">
            <v>4</v>
          </cell>
          <cell r="S145" t="str">
            <v xml:space="preserve"> </v>
          </cell>
        </row>
        <row r="146">
          <cell r="G146">
            <v>2322</v>
          </cell>
          <cell r="H146" t="str">
            <v>MR SAMBHUNATH DE</v>
          </cell>
          <cell r="I146">
            <v>25574</v>
          </cell>
          <cell r="J146">
            <v>35018</v>
          </cell>
          <cell r="K146">
            <v>11704</v>
          </cell>
          <cell r="L146" t="str">
            <v>MA</v>
          </cell>
          <cell r="M146">
            <v>21</v>
          </cell>
          <cell r="N146" t="str">
            <v>A2</v>
          </cell>
          <cell r="O146" t="str">
            <v>MA</v>
          </cell>
          <cell r="P146">
            <v>7</v>
          </cell>
          <cell r="Q146" t="str">
            <v>Other Locations</v>
          </cell>
          <cell r="R146" t="str">
            <v>Patna (Bihar)</v>
          </cell>
          <cell r="S146" t="str">
            <v xml:space="preserve"> </v>
          </cell>
          <cell r="T146" t="str">
            <v>CA</v>
          </cell>
          <cell r="U146">
            <v>2001</v>
          </cell>
          <cell r="V146">
            <v>18000</v>
          </cell>
          <cell r="W146">
            <v>6500</v>
          </cell>
          <cell r="X146">
            <v>3500</v>
          </cell>
          <cell r="AA146">
            <v>500</v>
          </cell>
          <cell r="AB146">
            <v>150</v>
          </cell>
          <cell r="AD146" t="str">
            <v>CV</v>
          </cell>
          <cell r="AE146">
            <v>0</v>
          </cell>
          <cell r="AF146">
            <v>500</v>
          </cell>
          <cell r="AG146">
            <v>2750</v>
          </cell>
          <cell r="AH146">
            <v>13900</v>
          </cell>
          <cell r="AI146">
            <v>166800</v>
          </cell>
          <cell r="AJ146">
            <v>17500</v>
          </cell>
          <cell r="AK146">
            <v>20000</v>
          </cell>
          <cell r="AL146">
            <v>10000</v>
          </cell>
          <cell r="AM146">
            <v>0</v>
          </cell>
          <cell r="AN146">
            <v>0</v>
          </cell>
          <cell r="AO146">
            <v>0</v>
          </cell>
          <cell r="AP146">
            <v>0</v>
          </cell>
          <cell r="AQ146">
            <v>21060</v>
          </cell>
          <cell r="AR146">
            <v>235360</v>
          </cell>
          <cell r="AS146">
            <v>0</v>
          </cell>
        </row>
        <row r="147">
          <cell r="M147">
            <v>21</v>
          </cell>
          <cell r="N147" t="str">
            <v>A2</v>
          </cell>
          <cell r="P147">
            <v>7</v>
          </cell>
          <cell r="S147" t="str">
            <v xml:space="preserve"> </v>
          </cell>
          <cell r="U147">
            <v>2002</v>
          </cell>
          <cell r="W147">
            <v>7250</v>
          </cell>
          <cell r="X147">
            <v>4000</v>
          </cell>
          <cell r="Z147">
            <v>0</v>
          </cell>
          <cell r="AA147">
            <v>500</v>
          </cell>
          <cell r="AB147">
            <v>150</v>
          </cell>
          <cell r="AC147">
            <v>0</v>
          </cell>
          <cell r="AF147">
            <v>500</v>
          </cell>
          <cell r="AG147">
            <v>2750</v>
          </cell>
          <cell r="AH147">
            <v>15150</v>
          </cell>
          <cell r="AI147">
            <v>181800</v>
          </cell>
          <cell r="AJ147">
            <v>17500</v>
          </cell>
          <cell r="AK147">
            <v>20000</v>
          </cell>
          <cell r="AL147">
            <v>15000</v>
          </cell>
          <cell r="AM147">
            <v>0</v>
          </cell>
          <cell r="AN147">
            <v>0</v>
          </cell>
          <cell r="AO147">
            <v>0</v>
          </cell>
          <cell r="AP147">
            <v>0</v>
          </cell>
          <cell r="AQ147">
            <v>23490</v>
          </cell>
          <cell r="AR147">
            <v>257790</v>
          </cell>
          <cell r="AS147">
            <v>0</v>
          </cell>
        </row>
        <row r="148">
          <cell r="P148">
            <v>7</v>
          </cell>
          <cell r="S148" t="str">
            <v xml:space="preserve"> </v>
          </cell>
          <cell r="U148" t="str">
            <v>DIFF.</v>
          </cell>
          <cell r="W148">
            <v>750</v>
          </cell>
          <cell r="X148">
            <v>500</v>
          </cell>
          <cell r="Z148">
            <v>0</v>
          </cell>
          <cell r="AA148">
            <v>0</v>
          </cell>
          <cell r="AB148">
            <v>0</v>
          </cell>
          <cell r="AC148">
            <v>0</v>
          </cell>
          <cell r="AE148">
            <v>0</v>
          </cell>
          <cell r="AF148">
            <v>0</v>
          </cell>
          <cell r="AG148">
            <v>0</v>
          </cell>
          <cell r="AH148">
            <v>1250</v>
          </cell>
          <cell r="AI148">
            <v>15000</v>
          </cell>
          <cell r="AJ148">
            <v>0</v>
          </cell>
          <cell r="AK148">
            <v>0</v>
          </cell>
          <cell r="AL148">
            <v>5000</v>
          </cell>
          <cell r="AM148">
            <v>0</v>
          </cell>
          <cell r="AN148">
            <v>0</v>
          </cell>
          <cell r="AO148">
            <v>0</v>
          </cell>
          <cell r="AP148">
            <v>0</v>
          </cell>
          <cell r="AQ148">
            <v>2430</v>
          </cell>
          <cell r="AR148">
            <v>22430</v>
          </cell>
          <cell r="AS148">
            <v>9.5299999999999994</v>
          </cell>
        </row>
        <row r="149">
          <cell r="P149">
            <v>7</v>
          </cell>
          <cell r="S149" t="str">
            <v xml:space="preserve"> </v>
          </cell>
        </row>
        <row r="150">
          <cell r="G150">
            <v>2324</v>
          </cell>
          <cell r="H150" t="str">
            <v xml:space="preserve">MS SWATI S. MAYEKAR </v>
          </cell>
          <cell r="I150">
            <v>25711</v>
          </cell>
          <cell r="J150">
            <v>35110</v>
          </cell>
          <cell r="K150">
            <v>11567</v>
          </cell>
          <cell r="L150" t="str">
            <v>MA</v>
          </cell>
          <cell r="M150">
            <v>21</v>
          </cell>
          <cell r="O150" t="str">
            <v>MA</v>
          </cell>
          <cell r="P150">
            <v>1</v>
          </cell>
          <cell r="Q150" t="str">
            <v>Mumbai</v>
          </cell>
          <cell r="R150" t="str">
            <v>Ho</v>
          </cell>
          <cell r="S150" t="str">
            <v xml:space="preserve"> </v>
          </cell>
          <cell r="T150" t="str">
            <v>CA</v>
          </cell>
          <cell r="U150">
            <v>2001</v>
          </cell>
          <cell r="V150">
            <v>18000</v>
          </cell>
          <cell r="W150">
            <v>6380</v>
          </cell>
          <cell r="X150">
            <v>3500</v>
          </cell>
          <cell r="AA150">
            <v>500</v>
          </cell>
          <cell r="AB150">
            <v>150</v>
          </cell>
          <cell r="AC150">
            <v>800</v>
          </cell>
          <cell r="AE150">
            <v>1000</v>
          </cell>
          <cell r="AG150">
            <v>2750</v>
          </cell>
          <cell r="AH150">
            <v>15080</v>
          </cell>
          <cell r="AI150">
            <v>180960</v>
          </cell>
          <cell r="AJ150">
            <v>17500</v>
          </cell>
          <cell r="AK150">
            <v>20000</v>
          </cell>
          <cell r="AL150">
            <v>10000</v>
          </cell>
          <cell r="AQ150">
            <v>20671</v>
          </cell>
          <cell r="AR150">
            <v>249131</v>
          </cell>
        </row>
        <row r="151">
          <cell r="M151">
            <v>21</v>
          </cell>
          <cell r="P151">
            <v>1</v>
          </cell>
          <cell r="S151" t="str">
            <v xml:space="preserve"> </v>
          </cell>
          <cell r="U151">
            <v>2002</v>
          </cell>
          <cell r="W151">
            <v>7130</v>
          </cell>
          <cell r="X151">
            <v>5500</v>
          </cell>
          <cell r="Z151">
            <v>0</v>
          </cell>
          <cell r="AA151">
            <v>500</v>
          </cell>
          <cell r="AB151">
            <v>150</v>
          </cell>
          <cell r="AC151">
            <v>800</v>
          </cell>
          <cell r="AF151">
            <v>0</v>
          </cell>
          <cell r="AG151">
            <v>2750</v>
          </cell>
          <cell r="AH151">
            <v>16830</v>
          </cell>
          <cell r="AI151">
            <v>201960</v>
          </cell>
          <cell r="AJ151">
            <v>17500</v>
          </cell>
          <cell r="AK151">
            <v>20000</v>
          </cell>
          <cell r="AL151">
            <v>15000</v>
          </cell>
          <cell r="AM151">
            <v>0</v>
          </cell>
          <cell r="AN151">
            <v>0</v>
          </cell>
          <cell r="AO151">
            <v>0</v>
          </cell>
          <cell r="AP151">
            <v>0</v>
          </cell>
          <cell r="AQ151">
            <v>23101</v>
          </cell>
          <cell r="AR151">
            <v>277561</v>
          </cell>
          <cell r="AS151">
            <v>0</v>
          </cell>
        </row>
        <row r="152">
          <cell r="P152">
            <v>1</v>
          </cell>
          <cell r="S152" t="str">
            <v xml:space="preserve"> </v>
          </cell>
          <cell r="U152" t="str">
            <v>DIFF.</v>
          </cell>
          <cell r="W152">
            <v>750</v>
          </cell>
          <cell r="X152">
            <v>2000</v>
          </cell>
          <cell r="Z152">
            <v>0</v>
          </cell>
          <cell r="AA152">
            <v>0</v>
          </cell>
          <cell r="AB152">
            <v>0</v>
          </cell>
          <cell r="AC152">
            <v>0</v>
          </cell>
          <cell r="AE152">
            <v>-1000</v>
          </cell>
          <cell r="AF152">
            <v>0</v>
          </cell>
          <cell r="AG152">
            <v>0</v>
          </cell>
          <cell r="AH152">
            <v>1750</v>
          </cell>
          <cell r="AI152">
            <v>21000</v>
          </cell>
          <cell r="AJ152">
            <v>0</v>
          </cell>
          <cell r="AK152">
            <v>0</v>
          </cell>
          <cell r="AL152">
            <v>5000</v>
          </cell>
          <cell r="AM152">
            <v>0</v>
          </cell>
          <cell r="AN152">
            <v>0</v>
          </cell>
          <cell r="AO152">
            <v>0</v>
          </cell>
          <cell r="AP152">
            <v>0</v>
          </cell>
          <cell r="AQ152">
            <v>2430</v>
          </cell>
          <cell r="AR152">
            <v>28430</v>
          </cell>
          <cell r="AS152">
            <v>11.41</v>
          </cell>
        </row>
        <row r="153">
          <cell r="P153">
            <v>1</v>
          </cell>
          <cell r="S153" t="str">
            <v xml:space="preserve"> </v>
          </cell>
        </row>
        <row r="154">
          <cell r="G154">
            <v>2325</v>
          </cell>
          <cell r="H154" t="str">
            <v>MR RAJEEV KUMAR MISHRA</v>
          </cell>
          <cell r="I154">
            <v>24473</v>
          </cell>
          <cell r="J154">
            <v>35157</v>
          </cell>
          <cell r="K154">
            <v>12805</v>
          </cell>
          <cell r="L154" t="str">
            <v>MA</v>
          </cell>
          <cell r="M154">
            <v>21</v>
          </cell>
          <cell r="N154" t="str">
            <v>A2</v>
          </cell>
          <cell r="O154" t="str">
            <v>MA</v>
          </cell>
          <cell r="P154">
            <v>3</v>
          </cell>
          <cell r="Q154" t="str">
            <v>Delhi</v>
          </cell>
          <cell r="R154" t="str">
            <v>Delhi</v>
          </cell>
          <cell r="S154" t="str">
            <v xml:space="preserve"> </v>
          </cell>
          <cell r="T154" t="str">
            <v>CA</v>
          </cell>
          <cell r="U154">
            <v>2001</v>
          </cell>
          <cell r="V154">
            <v>18000</v>
          </cell>
          <cell r="W154">
            <v>5780</v>
          </cell>
          <cell r="X154">
            <v>3500</v>
          </cell>
          <cell r="AA154">
            <v>500</v>
          </cell>
          <cell r="AB154">
            <v>150</v>
          </cell>
          <cell r="AC154">
            <v>800</v>
          </cell>
          <cell r="AE154">
            <v>450</v>
          </cell>
          <cell r="AF154">
            <v>500</v>
          </cell>
          <cell r="AG154">
            <v>2750</v>
          </cell>
          <cell r="AH154">
            <v>14430</v>
          </cell>
          <cell r="AI154">
            <v>173160</v>
          </cell>
          <cell r="AJ154">
            <v>17500</v>
          </cell>
          <cell r="AK154">
            <v>20000</v>
          </cell>
          <cell r="AL154">
            <v>10000</v>
          </cell>
          <cell r="AM154">
            <v>0</v>
          </cell>
          <cell r="AN154">
            <v>0</v>
          </cell>
          <cell r="AO154">
            <v>0</v>
          </cell>
          <cell r="AP154">
            <v>0</v>
          </cell>
          <cell r="AQ154">
            <v>18727</v>
          </cell>
          <cell r="AR154">
            <v>239387</v>
          </cell>
          <cell r="AS154">
            <v>0</v>
          </cell>
        </row>
        <row r="155">
          <cell r="M155">
            <v>21</v>
          </cell>
          <cell r="N155" t="str">
            <v>A2</v>
          </cell>
          <cell r="P155">
            <v>3</v>
          </cell>
          <cell r="S155" t="str">
            <v xml:space="preserve"> </v>
          </cell>
          <cell r="U155">
            <v>2002</v>
          </cell>
          <cell r="W155">
            <v>6530</v>
          </cell>
          <cell r="X155">
            <v>4500</v>
          </cell>
          <cell r="Z155">
            <v>0</v>
          </cell>
          <cell r="AA155">
            <v>500</v>
          </cell>
          <cell r="AB155">
            <v>150</v>
          </cell>
          <cell r="AC155">
            <v>800</v>
          </cell>
          <cell r="AF155">
            <v>500</v>
          </cell>
          <cell r="AG155">
            <v>2750</v>
          </cell>
          <cell r="AH155">
            <v>15730</v>
          </cell>
          <cell r="AI155">
            <v>188760</v>
          </cell>
          <cell r="AJ155">
            <v>17500</v>
          </cell>
          <cell r="AK155">
            <v>20000</v>
          </cell>
          <cell r="AL155">
            <v>15000</v>
          </cell>
          <cell r="AM155">
            <v>0</v>
          </cell>
          <cell r="AN155">
            <v>0</v>
          </cell>
          <cell r="AO155">
            <v>0</v>
          </cell>
          <cell r="AP155">
            <v>0</v>
          </cell>
          <cell r="AQ155">
            <v>21157</v>
          </cell>
          <cell r="AR155">
            <v>262417</v>
          </cell>
          <cell r="AS155">
            <v>0</v>
          </cell>
        </row>
        <row r="156">
          <cell r="P156">
            <v>3</v>
          </cell>
          <cell r="S156" t="str">
            <v xml:space="preserve"> </v>
          </cell>
          <cell r="U156" t="str">
            <v>DIFF.</v>
          </cell>
          <cell r="W156">
            <v>750</v>
          </cell>
          <cell r="X156">
            <v>1000</v>
          </cell>
          <cell r="Z156">
            <v>0</v>
          </cell>
          <cell r="AA156">
            <v>0</v>
          </cell>
          <cell r="AB156">
            <v>0</v>
          </cell>
          <cell r="AC156">
            <v>0</v>
          </cell>
          <cell r="AE156">
            <v>-450</v>
          </cell>
          <cell r="AF156">
            <v>0</v>
          </cell>
          <cell r="AG156">
            <v>0</v>
          </cell>
          <cell r="AH156">
            <v>1300</v>
          </cell>
          <cell r="AI156">
            <v>15600</v>
          </cell>
          <cell r="AJ156">
            <v>0</v>
          </cell>
          <cell r="AK156">
            <v>0</v>
          </cell>
          <cell r="AL156">
            <v>5000</v>
          </cell>
          <cell r="AM156">
            <v>0</v>
          </cell>
          <cell r="AN156">
            <v>0</v>
          </cell>
          <cell r="AO156">
            <v>0</v>
          </cell>
          <cell r="AP156">
            <v>0</v>
          </cell>
          <cell r="AQ156">
            <v>2430</v>
          </cell>
          <cell r="AR156">
            <v>23030</v>
          </cell>
          <cell r="AS156">
            <v>9.6199999999999992</v>
          </cell>
        </row>
        <row r="157">
          <cell r="P157">
            <v>3</v>
          </cell>
          <cell r="S157" t="str">
            <v xml:space="preserve"> </v>
          </cell>
        </row>
        <row r="158">
          <cell r="G158">
            <v>2326</v>
          </cell>
          <cell r="H158" t="str">
            <v>MR T. VANARAJ</v>
          </cell>
          <cell r="I158">
            <v>25708</v>
          </cell>
          <cell r="J158">
            <v>35180</v>
          </cell>
          <cell r="K158">
            <v>11570</v>
          </cell>
          <cell r="L158" t="str">
            <v>MA</v>
          </cell>
          <cell r="M158">
            <v>21</v>
          </cell>
          <cell r="N158" t="str">
            <v>A2</v>
          </cell>
          <cell r="O158" t="str">
            <v>MA</v>
          </cell>
          <cell r="P158">
            <v>7</v>
          </cell>
          <cell r="Q158" t="str">
            <v>Other Locations</v>
          </cell>
          <cell r="R158" t="str">
            <v>Trichy (Tn)</v>
          </cell>
          <cell r="S158" t="str">
            <v xml:space="preserve"> </v>
          </cell>
          <cell r="T158" t="str">
            <v>CL</v>
          </cell>
          <cell r="U158">
            <v>2001</v>
          </cell>
          <cell r="V158">
            <v>18000</v>
          </cell>
          <cell r="W158">
            <v>6265</v>
          </cell>
          <cell r="X158">
            <v>3500</v>
          </cell>
          <cell r="AA158">
            <v>500</v>
          </cell>
          <cell r="AB158">
            <v>150</v>
          </cell>
          <cell r="AD158" t="str">
            <v>CV</v>
          </cell>
          <cell r="AE158">
            <v>0</v>
          </cell>
          <cell r="AF158">
            <v>500</v>
          </cell>
          <cell r="AG158">
            <v>2750</v>
          </cell>
          <cell r="AH158">
            <v>13665</v>
          </cell>
          <cell r="AI158">
            <v>163980</v>
          </cell>
          <cell r="AJ158">
            <v>17500</v>
          </cell>
          <cell r="AK158">
            <v>20000</v>
          </cell>
          <cell r="AL158">
            <v>10000</v>
          </cell>
          <cell r="AM158">
            <v>0</v>
          </cell>
          <cell r="AN158">
            <v>0</v>
          </cell>
          <cell r="AO158">
            <v>0</v>
          </cell>
          <cell r="AP158">
            <v>0</v>
          </cell>
          <cell r="AQ158">
            <v>20299</v>
          </cell>
          <cell r="AR158">
            <v>231779</v>
          </cell>
          <cell r="AS158">
            <v>0</v>
          </cell>
        </row>
        <row r="159">
          <cell r="M159">
            <v>21</v>
          </cell>
          <cell r="N159" t="str">
            <v>A2</v>
          </cell>
          <cell r="P159">
            <v>7</v>
          </cell>
          <cell r="S159" t="str">
            <v xml:space="preserve"> </v>
          </cell>
          <cell r="U159">
            <v>2002</v>
          </cell>
          <cell r="W159">
            <v>6915</v>
          </cell>
          <cell r="X159">
            <v>4000</v>
          </cell>
          <cell r="Z159">
            <v>0</v>
          </cell>
          <cell r="AA159">
            <v>500</v>
          </cell>
          <cell r="AB159">
            <v>150</v>
          </cell>
          <cell r="AC159">
            <v>0</v>
          </cell>
          <cell r="AF159">
            <v>500</v>
          </cell>
          <cell r="AG159">
            <v>2750</v>
          </cell>
          <cell r="AH159">
            <v>14815</v>
          </cell>
          <cell r="AI159">
            <v>177780</v>
          </cell>
          <cell r="AJ159">
            <v>17500</v>
          </cell>
          <cell r="AK159">
            <v>20000</v>
          </cell>
          <cell r="AL159">
            <v>15000</v>
          </cell>
          <cell r="AM159">
            <v>0</v>
          </cell>
          <cell r="AN159">
            <v>0</v>
          </cell>
          <cell r="AO159">
            <v>0</v>
          </cell>
          <cell r="AP159">
            <v>0</v>
          </cell>
          <cell r="AQ159">
            <v>22405</v>
          </cell>
          <cell r="AR159">
            <v>252685</v>
          </cell>
          <cell r="AS159">
            <v>0</v>
          </cell>
        </row>
        <row r="160">
          <cell r="P160">
            <v>7</v>
          </cell>
          <cell r="S160" t="str">
            <v xml:space="preserve"> </v>
          </cell>
          <cell r="U160" t="str">
            <v>DIFF.</v>
          </cell>
          <cell r="W160">
            <v>650</v>
          </cell>
          <cell r="X160">
            <v>500</v>
          </cell>
          <cell r="Z160">
            <v>0</v>
          </cell>
          <cell r="AA160">
            <v>0</v>
          </cell>
          <cell r="AB160">
            <v>0</v>
          </cell>
          <cell r="AC160">
            <v>0</v>
          </cell>
          <cell r="AE160">
            <v>0</v>
          </cell>
          <cell r="AF160">
            <v>0</v>
          </cell>
          <cell r="AG160">
            <v>0</v>
          </cell>
          <cell r="AH160">
            <v>1150</v>
          </cell>
          <cell r="AI160">
            <v>13800</v>
          </cell>
          <cell r="AJ160">
            <v>0</v>
          </cell>
          <cell r="AK160">
            <v>0</v>
          </cell>
          <cell r="AL160">
            <v>5000</v>
          </cell>
          <cell r="AM160">
            <v>0</v>
          </cell>
          <cell r="AN160">
            <v>0</v>
          </cell>
          <cell r="AO160">
            <v>0</v>
          </cell>
          <cell r="AP160">
            <v>0</v>
          </cell>
          <cell r="AQ160">
            <v>2106</v>
          </cell>
          <cell r="AR160">
            <v>20906</v>
          </cell>
          <cell r="AS160">
            <v>9.02</v>
          </cell>
        </row>
        <row r="161">
          <cell r="P161">
            <v>7</v>
          </cell>
          <cell r="S161" t="str">
            <v xml:space="preserve"> </v>
          </cell>
        </row>
        <row r="162">
          <cell r="G162">
            <v>2327</v>
          </cell>
          <cell r="H162" t="str">
            <v>MR O.A. SUBRAMANIAN</v>
          </cell>
          <cell r="I162">
            <v>24280</v>
          </cell>
          <cell r="J162">
            <v>35188</v>
          </cell>
          <cell r="K162">
            <v>12998</v>
          </cell>
          <cell r="L162" t="str">
            <v>MA</v>
          </cell>
          <cell r="M162">
            <v>21</v>
          </cell>
          <cell r="N162" t="str">
            <v>A2</v>
          </cell>
          <cell r="O162" t="str">
            <v>MA</v>
          </cell>
          <cell r="P162">
            <v>7</v>
          </cell>
          <cell r="Q162" t="str">
            <v>Other Locations</v>
          </cell>
          <cell r="R162" t="str">
            <v>Nandyal (Ap)</v>
          </cell>
          <cell r="S162" t="str">
            <v xml:space="preserve"> </v>
          </cell>
          <cell r="T162" t="str">
            <v>BL</v>
          </cell>
          <cell r="U162">
            <v>2001</v>
          </cell>
          <cell r="V162">
            <v>21150</v>
          </cell>
          <cell r="W162">
            <v>6215</v>
          </cell>
          <cell r="X162">
            <v>3500</v>
          </cell>
          <cell r="AA162">
            <v>500</v>
          </cell>
          <cell r="AB162">
            <v>150</v>
          </cell>
          <cell r="AD162" t="str">
            <v>CV</v>
          </cell>
          <cell r="AE162">
            <v>0</v>
          </cell>
          <cell r="AF162">
            <v>500</v>
          </cell>
          <cell r="AG162">
            <v>2750</v>
          </cell>
          <cell r="AH162">
            <v>13615</v>
          </cell>
          <cell r="AI162">
            <v>163380</v>
          </cell>
          <cell r="AJ162">
            <v>17500</v>
          </cell>
          <cell r="AK162">
            <v>20000</v>
          </cell>
          <cell r="AL162">
            <v>10000</v>
          </cell>
          <cell r="AM162">
            <v>0</v>
          </cell>
          <cell r="AN162">
            <v>0</v>
          </cell>
          <cell r="AO162">
            <v>0</v>
          </cell>
          <cell r="AP162">
            <v>0</v>
          </cell>
          <cell r="AQ162">
            <v>20137</v>
          </cell>
          <cell r="AR162">
            <v>231017</v>
          </cell>
          <cell r="AS162">
            <v>0</v>
          </cell>
        </row>
        <row r="163">
          <cell r="M163">
            <v>21</v>
          </cell>
          <cell r="N163" t="str">
            <v>A2</v>
          </cell>
          <cell r="P163">
            <v>7</v>
          </cell>
          <cell r="S163" t="str">
            <v xml:space="preserve"> </v>
          </cell>
          <cell r="U163">
            <v>2002</v>
          </cell>
          <cell r="W163">
            <v>7165</v>
          </cell>
          <cell r="X163">
            <v>4000</v>
          </cell>
          <cell r="Z163">
            <v>0</v>
          </cell>
          <cell r="AA163">
            <v>500</v>
          </cell>
          <cell r="AB163">
            <v>150</v>
          </cell>
          <cell r="AC163">
            <v>0</v>
          </cell>
          <cell r="AF163">
            <v>500</v>
          </cell>
          <cell r="AG163">
            <v>2750</v>
          </cell>
          <cell r="AH163">
            <v>15065</v>
          </cell>
          <cell r="AI163">
            <v>180780</v>
          </cell>
          <cell r="AJ163">
            <v>17500</v>
          </cell>
          <cell r="AK163">
            <v>20000</v>
          </cell>
          <cell r="AL163">
            <v>15000</v>
          </cell>
          <cell r="AM163">
            <v>0</v>
          </cell>
          <cell r="AN163">
            <v>0</v>
          </cell>
          <cell r="AO163">
            <v>0</v>
          </cell>
          <cell r="AP163">
            <v>0</v>
          </cell>
          <cell r="AQ163">
            <v>23215</v>
          </cell>
          <cell r="AR163">
            <v>256495</v>
          </cell>
          <cell r="AS163">
            <v>0</v>
          </cell>
        </row>
        <row r="164">
          <cell r="P164">
            <v>7</v>
          </cell>
          <cell r="S164" t="str">
            <v xml:space="preserve"> </v>
          </cell>
          <cell r="U164" t="str">
            <v>DIFF.</v>
          </cell>
          <cell r="W164">
            <v>950</v>
          </cell>
          <cell r="X164">
            <v>500</v>
          </cell>
          <cell r="Z164">
            <v>0</v>
          </cell>
          <cell r="AA164">
            <v>0</v>
          </cell>
          <cell r="AB164">
            <v>0</v>
          </cell>
          <cell r="AC164">
            <v>0</v>
          </cell>
          <cell r="AE164">
            <v>0</v>
          </cell>
          <cell r="AF164">
            <v>0</v>
          </cell>
          <cell r="AG164">
            <v>0</v>
          </cell>
          <cell r="AH164">
            <v>1450</v>
          </cell>
          <cell r="AI164">
            <v>17400</v>
          </cell>
          <cell r="AJ164">
            <v>0</v>
          </cell>
          <cell r="AK164">
            <v>0</v>
          </cell>
          <cell r="AL164">
            <v>5000</v>
          </cell>
          <cell r="AM164">
            <v>0</v>
          </cell>
          <cell r="AN164">
            <v>0</v>
          </cell>
          <cell r="AO164">
            <v>0</v>
          </cell>
          <cell r="AP164">
            <v>0</v>
          </cell>
          <cell r="AQ164">
            <v>3078</v>
          </cell>
          <cell r="AR164">
            <v>25478</v>
          </cell>
          <cell r="AS164">
            <v>11.03</v>
          </cell>
        </row>
        <row r="165">
          <cell r="P165">
            <v>7</v>
          </cell>
          <cell r="S165" t="str">
            <v xml:space="preserve"> </v>
          </cell>
        </row>
        <row r="166">
          <cell r="G166">
            <v>2328</v>
          </cell>
          <cell r="H166" t="str">
            <v>MR CHAUDHARI PRADEEP KUMAR</v>
          </cell>
          <cell r="I166">
            <v>25001</v>
          </cell>
          <cell r="J166">
            <v>35328</v>
          </cell>
          <cell r="K166">
            <v>12277</v>
          </cell>
          <cell r="L166" t="str">
            <v>MA</v>
          </cell>
          <cell r="M166">
            <v>21</v>
          </cell>
          <cell r="N166" t="str">
            <v>A1</v>
          </cell>
          <cell r="O166" t="str">
            <v>MA</v>
          </cell>
          <cell r="P166">
            <v>7</v>
          </cell>
          <cell r="Q166" t="str">
            <v>Other Locations</v>
          </cell>
          <cell r="R166" t="str">
            <v>Kanpur</v>
          </cell>
          <cell r="S166" t="str">
            <v xml:space="preserve"> </v>
          </cell>
          <cell r="T166" t="str">
            <v>D</v>
          </cell>
          <cell r="U166">
            <v>2001</v>
          </cell>
          <cell r="V166">
            <v>11000</v>
          </cell>
          <cell r="W166">
            <v>5415</v>
          </cell>
          <cell r="X166">
            <v>3500</v>
          </cell>
          <cell r="AA166">
            <v>500</v>
          </cell>
          <cell r="AB166">
            <v>150</v>
          </cell>
          <cell r="AD166" t="str">
            <v>CV</v>
          </cell>
          <cell r="AE166">
            <v>0</v>
          </cell>
          <cell r="AG166">
            <v>2750</v>
          </cell>
          <cell r="AH166">
            <v>12315</v>
          </cell>
          <cell r="AI166">
            <v>147780</v>
          </cell>
          <cell r="AJ166">
            <v>17500</v>
          </cell>
          <cell r="AK166">
            <v>20000</v>
          </cell>
          <cell r="AL166">
            <v>10000</v>
          </cell>
          <cell r="AQ166">
            <v>17545</v>
          </cell>
          <cell r="AR166">
            <v>212825</v>
          </cell>
        </row>
        <row r="167">
          <cell r="M167">
            <v>21</v>
          </cell>
          <cell r="N167" t="str">
            <v>A1</v>
          </cell>
          <cell r="P167">
            <v>7</v>
          </cell>
          <cell r="S167" t="str">
            <v xml:space="preserve"> </v>
          </cell>
          <cell r="U167">
            <v>2002</v>
          </cell>
          <cell r="W167">
            <v>5765</v>
          </cell>
          <cell r="X167">
            <v>4000</v>
          </cell>
          <cell r="Z167">
            <v>0</v>
          </cell>
          <cell r="AA167">
            <v>500</v>
          </cell>
          <cell r="AB167">
            <v>150</v>
          </cell>
          <cell r="AC167">
            <v>0</v>
          </cell>
          <cell r="AF167">
            <v>0</v>
          </cell>
          <cell r="AG167">
            <v>2750</v>
          </cell>
          <cell r="AH167">
            <v>13165</v>
          </cell>
          <cell r="AI167">
            <v>157980</v>
          </cell>
          <cell r="AJ167">
            <v>17500</v>
          </cell>
          <cell r="AK167">
            <v>20000</v>
          </cell>
          <cell r="AL167">
            <v>15000</v>
          </cell>
          <cell r="AM167">
            <v>0</v>
          </cell>
          <cell r="AN167">
            <v>0</v>
          </cell>
          <cell r="AO167">
            <v>0</v>
          </cell>
          <cell r="AP167">
            <v>0</v>
          </cell>
          <cell r="AQ167">
            <v>18679</v>
          </cell>
          <cell r="AR167">
            <v>229159</v>
          </cell>
          <cell r="AS167">
            <v>0</v>
          </cell>
        </row>
        <row r="168">
          <cell r="P168">
            <v>7</v>
          </cell>
          <cell r="S168" t="str">
            <v xml:space="preserve"> </v>
          </cell>
          <cell r="U168" t="str">
            <v>DIFF.</v>
          </cell>
          <cell r="W168">
            <v>350</v>
          </cell>
          <cell r="X168">
            <v>500</v>
          </cell>
          <cell r="Z168">
            <v>0</v>
          </cell>
          <cell r="AA168">
            <v>0</v>
          </cell>
          <cell r="AB168">
            <v>0</v>
          </cell>
          <cell r="AC168">
            <v>0</v>
          </cell>
          <cell r="AE168">
            <v>0</v>
          </cell>
          <cell r="AF168">
            <v>0</v>
          </cell>
          <cell r="AG168">
            <v>0</v>
          </cell>
          <cell r="AH168">
            <v>850</v>
          </cell>
          <cell r="AI168">
            <v>10200</v>
          </cell>
          <cell r="AJ168">
            <v>0</v>
          </cell>
          <cell r="AK168">
            <v>0</v>
          </cell>
          <cell r="AL168">
            <v>5000</v>
          </cell>
          <cell r="AM168">
            <v>0</v>
          </cell>
          <cell r="AN168">
            <v>0</v>
          </cell>
          <cell r="AO168">
            <v>0</v>
          </cell>
          <cell r="AP168">
            <v>0</v>
          </cell>
          <cell r="AQ168">
            <v>1134</v>
          </cell>
          <cell r="AR168">
            <v>16334</v>
          </cell>
          <cell r="AS168">
            <v>7.67</v>
          </cell>
        </row>
        <row r="169">
          <cell r="P169">
            <v>7</v>
          </cell>
          <cell r="S169" t="str">
            <v xml:space="preserve"> </v>
          </cell>
        </row>
        <row r="170">
          <cell r="G170">
            <v>2329</v>
          </cell>
          <cell r="H170" t="str">
            <v>MR SUDHANSHU SHARMA</v>
          </cell>
          <cell r="I170">
            <v>24531</v>
          </cell>
          <cell r="J170">
            <v>35362</v>
          </cell>
          <cell r="K170">
            <v>12747</v>
          </cell>
          <cell r="L170" t="str">
            <v>MA</v>
          </cell>
          <cell r="M170">
            <v>21</v>
          </cell>
          <cell r="N170" t="str">
            <v>A2</v>
          </cell>
          <cell r="O170" t="str">
            <v>MA</v>
          </cell>
          <cell r="P170">
            <v>7</v>
          </cell>
          <cell r="Q170" t="str">
            <v>Other Locations</v>
          </cell>
          <cell r="R170" t="str">
            <v>Khargaon (Mp)</v>
          </cell>
          <cell r="S170" t="str">
            <v xml:space="preserve"> </v>
          </cell>
          <cell r="T170" t="str">
            <v>CA</v>
          </cell>
          <cell r="U170">
            <v>2001</v>
          </cell>
          <cell r="V170">
            <v>18000</v>
          </cell>
          <cell r="W170">
            <v>5040</v>
          </cell>
          <cell r="X170">
            <v>3500</v>
          </cell>
          <cell r="AA170">
            <v>500</v>
          </cell>
          <cell r="AB170">
            <v>150</v>
          </cell>
          <cell r="AD170" t="str">
            <v>CV</v>
          </cell>
          <cell r="AE170">
            <v>0</v>
          </cell>
          <cell r="AF170">
            <v>500</v>
          </cell>
          <cell r="AG170">
            <v>2750</v>
          </cell>
          <cell r="AH170">
            <v>12440</v>
          </cell>
          <cell r="AI170">
            <v>149280</v>
          </cell>
          <cell r="AJ170">
            <v>17500</v>
          </cell>
          <cell r="AK170">
            <v>20000</v>
          </cell>
          <cell r="AL170">
            <v>10000</v>
          </cell>
          <cell r="AM170">
            <v>0</v>
          </cell>
          <cell r="AN170">
            <v>0</v>
          </cell>
          <cell r="AO170">
            <v>0</v>
          </cell>
          <cell r="AP170">
            <v>0</v>
          </cell>
          <cell r="AQ170">
            <v>16330</v>
          </cell>
          <cell r="AR170">
            <v>213110</v>
          </cell>
          <cell r="AS170">
            <v>0</v>
          </cell>
        </row>
        <row r="171">
          <cell r="M171">
            <v>21</v>
          </cell>
          <cell r="N171" t="str">
            <v>A2</v>
          </cell>
          <cell r="P171">
            <v>7</v>
          </cell>
          <cell r="S171" t="str">
            <v xml:space="preserve"> </v>
          </cell>
          <cell r="U171">
            <v>2002</v>
          </cell>
          <cell r="W171">
            <v>5790</v>
          </cell>
          <cell r="X171">
            <v>4000</v>
          </cell>
          <cell r="Z171">
            <v>0</v>
          </cell>
          <cell r="AA171">
            <v>500</v>
          </cell>
          <cell r="AB171">
            <v>150</v>
          </cell>
          <cell r="AC171">
            <v>0</v>
          </cell>
          <cell r="AF171">
            <v>500</v>
          </cell>
          <cell r="AG171">
            <v>2750</v>
          </cell>
          <cell r="AH171">
            <v>13690</v>
          </cell>
          <cell r="AI171">
            <v>164280</v>
          </cell>
          <cell r="AJ171">
            <v>17500</v>
          </cell>
          <cell r="AK171">
            <v>20000</v>
          </cell>
          <cell r="AL171">
            <v>15000</v>
          </cell>
          <cell r="AM171">
            <v>0</v>
          </cell>
          <cell r="AN171">
            <v>0</v>
          </cell>
          <cell r="AO171">
            <v>0</v>
          </cell>
          <cell r="AP171">
            <v>0</v>
          </cell>
          <cell r="AQ171">
            <v>18760</v>
          </cell>
          <cell r="AR171">
            <v>235540</v>
          </cell>
          <cell r="AS171">
            <v>0</v>
          </cell>
        </row>
        <row r="172">
          <cell r="P172">
            <v>7</v>
          </cell>
          <cell r="S172" t="str">
            <v xml:space="preserve"> </v>
          </cell>
          <cell r="U172" t="str">
            <v>DIFF.</v>
          </cell>
          <cell r="W172">
            <v>750</v>
          </cell>
          <cell r="X172">
            <v>500</v>
          </cell>
          <cell r="Z172">
            <v>0</v>
          </cell>
          <cell r="AA172">
            <v>0</v>
          </cell>
          <cell r="AB172">
            <v>0</v>
          </cell>
          <cell r="AC172">
            <v>0</v>
          </cell>
          <cell r="AE172">
            <v>0</v>
          </cell>
          <cell r="AF172">
            <v>0</v>
          </cell>
          <cell r="AG172">
            <v>0</v>
          </cell>
          <cell r="AH172">
            <v>1250</v>
          </cell>
          <cell r="AI172">
            <v>15000</v>
          </cell>
          <cell r="AJ172">
            <v>0</v>
          </cell>
          <cell r="AK172">
            <v>0</v>
          </cell>
          <cell r="AL172">
            <v>5000</v>
          </cell>
          <cell r="AM172">
            <v>0</v>
          </cell>
          <cell r="AN172">
            <v>0</v>
          </cell>
          <cell r="AO172">
            <v>0</v>
          </cell>
          <cell r="AP172">
            <v>0</v>
          </cell>
          <cell r="AQ172">
            <v>2430</v>
          </cell>
          <cell r="AR172">
            <v>22430</v>
          </cell>
          <cell r="AS172">
            <v>10.53</v>
          </cell>
        </row>
        <row r="173">
          <cell r="P173">
            <v>7</v>
          </cell>
          <cell r="S173" t="str">
            <v xml:space="preserve"> </v>
          </cell>
        </row>
        <row r="174">
          <cell r="G174">
            <v>2332</v>
          </cell>
          <cell r="H174" t="str">
            <v>MR SUDESH KUMAR JAIN</v>
          </cell>
          <cell r="I174">
            <v>25277</v>
          </cell>
          <cell r="J174">
            <v>35476</v>
          </cell>
          <cell r="K174">
            <v>12001</v>
          </cell>
          <cell r="L174" t="str">
            <v>MA</v>
          </cell>
          <cell r="M174">
            <v>21</v>
          </cell>
          <cell r="N174" t="str">
            <v>A1</v>
          </cell>
          <cell r="O174" t="str">
            <v>MA</v>
          </cell>
          <cell r="P174">
            <v>7</v>
          </cell>
          <cell r="Q174" t="str">
            <v>Other Locations</v>
          </cell>
          <cell r="R174" t="str">
            <v>Ujjain (Mp)</v>
          </cell>
          <cell r="S174" t="str">
            <v xml:space="preserve"> </v>
          </cell>
          <cell r="T174" t="str">
            <v>CL</v>
          </cell>
          <cell r="U174">
            <v>2001</v>
          </cell>
          <cell r="V174">
            <v>18000</v>
          </cell>
          <cell r="W174">
            <v>4360</v>
          </cell>
          <cell r="X174">
            <v>3500</v>
          </cell>
          <cell r="AA174">
            <v>500</v>
          </cell>
          <cell r="AB174">
            <v>150</v>
          </cell>
          <cell r="AD174" t="str">
            <v>CV</v>
          </cell>
          <cell r="AE174">
            <v>0</v>
          </cell>
          <cell r="AG174">
            <v>2750</v>
          </cell>
          <cell r="AH174">
            <v>11260</v>
          </cell>
          <cell r="AI174">
            <v>135120</v>
          </cell>
          <cell r="AJ174">
            <v>17500</v>
          </cell>
          <cell r="AK174">
            <v>20000</v>
          </cell>
          <cell r="AL174">
            <v>10000</v>
          </cell>
          <cell r="AQ174">
            <v>14126</v>
          </cell>
          <cell r="AR174">
            <v>196746</v>
          </cell>
        </row>
        <row r="175">
          <cell r="M175">
            <v>21</v>
          </cell>
          <cell r="N175" t="str">
            <v>A1</v>
          </cell>
          <cell r="P175">
            <v>7</v>
          </cell>
          <cell r="S175" t="str">
            <v xml:space="preserve"> </v>
          </cell>
          <cell r="U175">
            <v>2002</v>
          </cell>
          <cell r="W175">
            <v>5010</v>
          </cell>
          <cell r="X175">
            <v>4000</v>
          </cell>
          <cell r="Z175">
            <v>0</v>
          </cell>
          <cell r="AA175">
            <v>500</v>
          </cell>
          <cell r="AB175">
            <v>150</v>
          </cell>
          <cell r="AC175">
            <v>0</v>
          </cell>
          <cell r="AF175">
            <v>0</v>
          </cell>
          <cell r="AG175">
            <v>2750</v>
          </cell>
          <cell r="AH175">
            <v>12410</v>
          </cell>
          <cell r="AI175">
            <v>148920</v>
          </cell>
          <cell r="AJ175">
            <v>17500</v>
          </cell>
          <cell r="AK175">
            <v>20000</v>
          </cell>
          <cell r="AL175">
            <v>15000</v>
          </cell>
          <cell r="AM175">
            <v>0</v>
          </cell>
          <cell r="AN175">
            <v>0</v>
          </cell>
          <cell r="AO175">
            <v>0</v>
          </cell>
          <cell r="AP175">
            <v>0</v>
          </cell>
          <cell r="AQ175">
            <v>16232</v>
          </cell>
          <cell r="AR175">
            <v>217652</v>
          </cell>
          <cell r="AS175">
            <v>0</v>
          </cell>
        </row>
        <row r="176">
          <cell r="P176">
            <v>7</v>
          </cell>
          <cell r="S176" t="str">
            <v xml:space="preserve"> </v>
          </cell>
          <cell r="U176" t="str">
            <v>DIFF.</v>
          </cell>
          <cell r="W176">
            <v>650</v>
          </cell>
          <cell r="X176">
            <v>500</v>
          </cell>
          <cell r="Z176">
            <v>0</v>
          </cell>
          <cell r="AA176">
            <v>0</v>
          </cell>
          <cell r="AB176">
            <v>0</v>
          </cell>
          <cell r="AC176">
            <v>0</v>
          </cell>
          <cell r="AE176">
            <v>0</v>
          </cell>
          <cell r="AF176">
            <v>0</v>
          </cell>
          <cell r="AG176">
            <v>0</v>
          </cell>
          <cell r="AH176">
            <v>1150</v>
          </cell>
          <cell r="AI176">
            <v>13800</v>
          </cell>
          <cell r="AJ176">
            <v>0</v>
          </cell>
          <cell r="AK176">
            <v>0</v>
          </cell>
          <cell r="AL176">
            <v>5000</v>
          </cell>
          <cell r="AM176">
            <v>0</v>
          </cell>
          <cell r="AN176">
            <v>0</v>
          </cell>
          <cell r="AO176">
            <v>0</v>
          </cell>
          <cell r="AP176">
            <v>0</v>
          </cell>
          <cell r="AQ176">
            <v>2106</v>
          </cell>
          <cell r="AR176">
            <v>20906</v>
          </cell>
          <cell r="AS176">
            <v>10.63</v>
          </cell>
        </row>
        <row r="177">
          <cell r="P177">
            <v>7</v>
          </cell>
          <cell r="S177" t="str">
            <v xml:space="preserve"> </v>
          </cell>
        </row>
        <row r="178">
          <cell r="G178">
            <v>2333</v>
          </cell>
          <cell r="H178" t="str">
            <v>MR NIKHIL SOLANKI</v>
          </cell>
          <cell r="I178">
            <v>26692</v>
          </cell>
          <cell r="J178">
            <v>35480</v>
          </cell>
          <cell r="K178">
            <v>10586</v>
          </cell>
          <cell r="L178" t="str">
            <v>MA</v>
          </cell>
          <cell r="M178">
            <v>21</v>
          </cell>
          <cell r="N178" t="str">
            <v>A2</v>
          </cell>
          <cell r="O178" t="str">
            <v>MA</v>
          </cell>
          <cell r="P178">
            <v>7</v>
          </cell>
          <cell r="Q178" t="str">
            <v>Other Locations</v>
          </cell>
          <cell r="R178" t="str">
            <v>Indore</v>
          </cell>
          <cell r="S178" t="str">
            <v xml:space="preserve"> </v>
          </cell>
          <cell r="T178" t="str">
            <v>CA</v>
          </cell>
          <cell r="U178">
            <v>2001</v>
          </cell>
          <cell r="V178">
            <v>18000</v>
          </cell>
          <cell r="W178">
            <v>5485</v>
          </cell>
          <cell r="X178">
            <v>3500</v>
          </cell>
          <cell r="AA178">
            <v>500</v>
          </cell>
          <cell r="AB178">
            <v>150</v>
          </cell>
          <cell r="AD178" t="str">
            <v>CV</v>
          </cell>
          <cell r="AE178">
            <v>0</v>
          </cell>
          <cell r="AF178">
            <v>500</v>
          </cell>
          <cell r="AG178">
            <v>2750</v>
          </cell>
          <cell r="AH178">
            <v>12885</v>
          </cell>
          <cell r="AI178">
            <v>154620</v>
          </cell>
          <cell r="AJ178">
            <v>17500</v>
          </cell>
          <cell r="AK178">
            <v>20000</v>
          </cell>
          <cell r="AL178">
            <v>10000</v>
          </cell>
          <cell r="AM178">
            <v>0</v>
          </cell>
          <cell r="AN178">
            <v>0</v>
          </cell>
          <cell r="AO178">
            <v>0</v>
          </cell>
          <cell r="AP178">
            <v>0</v>
          </cell>
          <cell r="AQ178">
            <v>17771</v>
          </cell>
          <cell r="AR178">
            <v>219891</v>
          </cell>
          <cell r="AS178">
            <v>0</v>
          </cell>
        </row>
        <row r="179">
          <cell r="M179">
            <v>21</v>
          </cell>
          <cell r="N179" t="str">
            <v>A2</v>
          </cell>
          <cell r="P179">
            <v>7</v>
          </cell>
          <cell r="S179" t="str">
            <v xml:space="preserve"> </v>
          </cell>
          <cell r="U179">
            <v>2002</v>
          </cell>
          <cell r="W179">
            <v>6235</v>
          </cell>
          <cell r="X179">
            <v>4000</v>
          </cell>
          <cell r="Z179">
            <v>0</v>
          </cell>
          <cell r="AA179">
            <v>500</v>
          </cell>
          <cell r="AB179">
            <v>150</v>
          </cell>
          <cell r="AC179">
            <v>0</v>
          </cell>
          <cell r="AF179">
            <v>500</v>
          </cell>
          <cell r="AG179">
            <v>2750</v>
          </cell>
          <cell r="AH179">
            <v>14135</v>
          </cell>
          <cell r="AI179">
            <v>169620</v>
          </cell>
          <cell r="AJ179">
            <v>17500</v>
          </cell>
          <cell r="AK179">
            <v>20000</v>
          </cell>
          <cell r="AL179">
            <v>15000</v>
          </cell>
          <cell r="AM179">
            <v>0</v>
          </cell>
          <cell r="AN179">
            <v>0</v>
          </cell>
          <cell r="AO179">
            <v>0</v>
          </cell>
          <cell r="AP179">
            <v>0</v>
          </cell>
          <cell r="AQ179">
            <v>20201</v>
          </cell>
          <cell r="AR179">
            <v>242321</v>
          </cell>
          <cell r="AS179">
            <v>0</v>
          </cell>
        </row>
        <row r="180">
          <cell r="P180">
            <v>7</v>
          </cell>
          <cell r="S180" t="str">
            <v xml:space="preserve"> </v>
          </cell>
          <cell r="U180" t="str">
            <v>DIFF.</v>
          </cell>
          <cell r="W180">
            <v>750</v>
          </cell>
          <cell r="X180">
            <v>500</v>
          </cell>
          <cell r="Z180">
            <v>0</v>
          </cell>
          <cell r="AA180">
            <v>0</v>
          </cell>
          <cell r="AB180">
            <v>0</v>
          </cell>
          <cell r="AC180">
            <v>0</v>
          </cell>
          <cell r="AE180">
            <v>0</v>
          </cell>
          <cell r="AF180">
            <v>0</v>
          </cell>
          <cell r="AG180">
            <v>0</v>
          </cell>
          <cell r="AH180">
            <v>1250</v>
          </cell>
          <cell r="AI180">
            <v>15000</v>
          </cell>
          <cell r="AJ180">
            <v>0</v>
          </cell>
          <cell r="AK180">
            <v>0</v>
          </cell>
          <cell r="AL180">
            <v>5000</v>
          </cell>
          <cell r="AM180">
            <v>0</v>
          </cell>
          <cell r="AN180">
            <v>0</v>
          </cell>
          <cell r="AO180">
            <v>0</v>
          </cell>
          <cell r="AP180">
            <v>0</v>
          </cell>
          <cell r="AQ180">
            <v>2430</v>
          </cell>
          <cell r="AR180">
            <v>22430</v>
          </cell>
          <cell r="AS180">
            <v>10.199999999999999</v>
          </cell>
        </row>
        <row r="181">
          <cell r="P181">
            <v>7</v>
          </cell>
          <cell r="S181" t="str">
            <v xml:space="preserve"> </v>
          </cell>
        </row>
        <row r="182">
          <cell r="G182">
            <v>2335</v>
          </cell>
          <cell r="H182" t="str">
            <v>MR MOHAMMAD SHABBIR AHMED</v>
          </cell>
          <cell r="I182">
            <v>24654</v>
          </cell>
          <cell r="J182">
            <v>35521</v>
          </cell>
          <cell r="K182">
            <v>12624</v>
          </cell>
          <cell r="L182" t="str">
            <v>MA</v>
          </cell>
          <cell r="M182">
            <v>21</v>
          </cell>
          <cell r="N182" t="str">
            <v>A2</v>
          </cell>
          <cell r="O182" t="str">
            <v>MA</v>
          </cell>
          <cell r="P182">
            <v>7</v>
          </cell>
          <cell r="Q182" t="str">
            <v>Other Locations</v>
          </cell>
          <cell r="R182" t="str">
            <v>Hyderabad</v>
          </cell>
          <cell r="S182" t="str">
            <v xml:space="preserve"> </v>
          </cell>
          <cell r="T182" t="str">
            <v>CA</v>
          </cell>
          <cell r="U182">
            <v>2001</v>
          </cell>
          <cell r="V182">
            <v>18000</v>
          </cell>
          <cell r="W182">
            <v>6165</v>
          </cell>
          <cell r="X182">
            <v>3500</v>
          </cell>
          <cell r="AA182">
            <v>500</v>
          </cell>
          <cell r="AB182">
            <v>150</v>
          </cell>
          <cell r="AD182" t="str">
            <v>CV</v>
          </cell>
          <cell r="AE182">
            <v>0</v>
          </cell>
          <cell r="AF182">
            <v>500</v>
          </cell>
          <cell r="AG182">
            <v>2750</v>
          </cell>
          <cell r="AH182">
            <v>13565</v>
          </cell>
          <cell r="AI182">
            <v>162780</v>
          </cell>
          <cell r="AJ182">
            <v>17500</v>
          </cell>
          <cell r="AK182">
            <v>20000</v>
          </cell>
          <cell r="AL182">
            <v>10000</v>
          </cell>
          <cell r="AM182">
            <v>0</v>
          </cell>
          <cell r="AN182">
            <v>0</v>
          </cell>
          <cell r="AO182">
            <v>0</v>
          </cell>
          <cell r="AP182">
            <v>0</v>
          </cell>
          <cell r="AQ182">
            <v>19975</v>
          </cell>
          <cell r="AR182">
            <v>230255</v>
          </cell>
          <cell r="AS182">
            <v>0</v>
          </cell>
        </row>
        <row r="183">
          <cell r="M183">
            <v>21</v>
          </cell>
          <cell r="N183" t="str">
            <v>A2</v>
          </cell>
          <cell r="P183">
            <v>7</v>
          </cell>
          <cell r="S183" t="str">
            <v xml:space="preserve"> </v>
          </cell>
          <cell r="U183">
            <v>2002</v>
          </cell>
          <cell r="W183">
            <v>6915</v>
          </cell>
          <cell r="X183">
            <v>4000</v>
          </cell>
          <cell r="Z183">
            <v>0</v>
          </cell>
          <cell r="AA183">
            <v>500</v>
          </cell>
          <cell r="AB183">
            <v>150</v>
          </cell>
          <cell r="AC183">
            <v>0</v>
          </cell>
          <cell r="AF183">
            <v>500</v>
          </cell>
          <cell r="AG183">
            <v>2750</v>
          </cell>
          <cell r="AH183">
            <v>14815</v>
          </cell>
          <cell r="AI183">
            <v>177780</v>
          </cell>
          <cell r="AJ183">
            <v>17500</v>
          </cell>
          <cell r="AK183">
            <v>20000</v>
          </cell>
          <cell r="AL183">
            <v>15000</v>
          </cell>
          <cell r="AM183">
            <v>0</v>
          </cell>
          <cell r="AN183">
            <v>0</v>
          </cell>
          <cell r="AO183">
            <v>0</v>
          </cell>
          <cell r="AP183">
            <v>0</v>
          </cell>
          <cell r="AQ183">
            <v>22405</v>
          </cell>
          <cell r="AR183">
            <v>252685</v>
          </cell>
          <cell r="AS183">
            <v>0</v>
          </cell>
        </row>
        <row r="184">
          <cell r="P184">
            <v>7</v>
          </cell>
          <cell r="S184" t="str">
            <v xml:space="preserve"> </v>
          </cell>
          <cell r="U184" t="str">
            <v>DIFF.</v>
          </cell>
          <cell r="W184">
            <v>750</v>
          </cell>
          <cell r="X184">
            <v>500</v>
          </cell>
          <cell r="Z184">
            <v>0</v>
          </cell>
          <cell r="AA184">
            <v>0</v>
          </cell>
          <cell r="AB184">
            <v>0</v>
          </cell>
          <cell r="AC184">
            <v>0</v>
          </cell>
          <cell r="AE184">
            <v>0</v>
          </cell>
          <cell r="AF184">
            <v>0</v>
          </cell>
          <cell r="AG184">
            <v>0</v>
          </cell>
          <cell r="AH184">
            <v>1250</v>
          </cell>
          <cell r="AI184">
            <v>15000</v>
          </cell>
          <cell r="AJ184">
            <v>0</v>
          </cell>
          <cell r="AK184">
            <v>0</v>
          </cell>
          <cell r="AL184">
            <v>5000</v>
          </cell>
          <cell r="AM184">
            <v>0</v>
          </cell>
          <cell r="AN184">
            <v>0</v>
          </cell>
          <cell r="AO184">
            <v>0</v>
          </cell>
          <cell r="AP184">
            <v>0</v>
          </cell>
          <cell r="AQ184">
            <v>2430</v>
          </cell>
          <cell r="AR184">
            <v>22430</v>
          </cell>
          <cell r="AS184">
            <v>9.74</v>
          </cell>
        </row>
        <row r="185">
          <cell r="P185">
            <v>7</v>
          </cell>
          <cell r="S185" t="str">
            <v xml:space="preserve"> </v>
          </cell>
        </row>
        <row r="186">
          <cell r="G186">
            <v>2337</v>
          </cell>
          <cell r="H186" t="str">
            <v>MR SHARAD AWASTHI</v>
          </cell>
          <cell r="I186">
            <v>25614</v>
          </cell>
          <cell r="J186">
            <v>35555</v>
          </cell>
          <cell r="K186">
            <v>11664</v>
          </cell>
          <cell r="L186" t="str">
            <v>MA</v>
          </cell>
          <cell r="M186">
            <v>21</v>
          </cell>
          <cell r="N186" t="str">
            <v>A2</v>
          </cell>
          <cell r="O186" t="str">
            <v>MA</v>
          </cell>
          <cell r="P186">
            <v>7</v>
          </cell>
          <cell r="Q186" t="str">
            <v>Other Locations</v>
          </cell>
          <cell r="R186" t="str">
            <v>Karnal (Haryana)</v>
          </cell>
          <cell r="S186" t="str">
            <v xml:space="preserve"> </v>
          </cell>
          <cell r="T186" t="str">
            <v>BA</v>
          </cell>
          <cell r="U186">
            <v>2001</v>
          </cell>
          <cell r="V186">
            <v>21150</v>
          </cell>
          <cell r="W186">
            <v>5645</v>
          </cell>
          <cell r="X186">
            <v>3500</v>
          </cell>
          <cell r="AA186">
            <v>500</v>
          </cell>
          <cell r="AB186">
            <v>150</v>
          </cell>
          <cell r="AD186" t="str">
            <v>CV</v>
          </cell>
          <cell r="AE186">
            <v>0</v>
          </cell>
          <cell r="AF186">
            <v>500</v>
          </cell>
          <cell r="AG186">
            <v>2750</v>
          </cell>
          <cell r="AH186">
            <v>13045</v>
          </cell>
          <cell r="AI186">
            <v>156540</v>
          </cell>
          <cell r="AJ186">
            <v>17500</v>
          </cell>
          <cell r="AK186">
            <v>20000</v>
          </cell>
          <cell r="AL186">
            <v>10000</v>
          </cell>
          <cell r="AM186">
            <v>0</v>
          </cell>
          <cell r="AN186">
            <v>0</v>
          </cell>
          <cell r="AO186">
            <v>0</v>
          </cell>
          <cell r="AP186">
            <v>0</v>
          </cell>
          <cell r="AQ186">
            <v>18290</v>
          </cell>
          <cell r="AR186">
            <v>222330</v>
          </cell>
          <cell r="AS186">
            <v>0</v>
          </cell>
        </row>
        <row r="187">
          <cell r="M187">
            <v>21</v>
          </cell>
          <cell r="N187" t="str">
            <v>A2</v>
          </cell>
          <cell r="P187">
            <v>7</v>
          </cell>
          <cell r="S187" t="str">
            <v xml:space="preserve"> </v>
          </cell>
          <cell r="U187">
            <v>2002</v>
          </cell>
          <cell r="W187">
            <v>6745</v>
          </cell>
          <cell r="X187">
            <v>4000</v>
          </cell>
          <cell r="Z187">
            <v>0</v>
          </cell>
          <cell r="AA187">
            <v>500</v>
          </cell>
          <cell r="AB187">
            <v>150</v>
          </cell>
          <cell r="AC187">
            <v>0</v>
          </cell>
          <cell r="AF187">
            <v>500</v>
          </cell>
          <cell r="AG187">
            <v>2750</v>
          </cell>
          <cell r="AH187">
            <v>14645</v>
          </cell>
          <cell r="AI187">
            <v>175740</v>
          </cell>
          <cell r="AJ187">
            <v>17500</v>
          </cell>
          <cell r="AK187">
            <v>20000</v>
          </cell>
          <cell r="AL187">
            <v>15000</v>
          </cell>
          <cell r="AM187">
            <v>0</v>
          </cell>
          <cell r="AN187">
            <v>0</v>
          </cell>
          <cell r="AO187">
            <v>0</v>
          </cell>
          <cell r="AP187">
            <v>0</v>
          </cell>
          <cell r="AQ187">
            <v>21854</v>
          </cell>
          <cell r="AR187">
            <v>250094</v>
          </cell>
          <cell r="AS187">
            <v>0</v>
          </cell>
        </row>
        <row r="188">
          <cell r="P188">
            <v>7</v>
          </cell>
          <cell r="S188" t="str">
            <v xml:space="preserve"> </v>
          </cell>
          <cell r="U188" t="str">
            <v>DIFF.</v>
          </cell>
          <cell r="W188">
            <v>1100</v>
          </cell>
          <cell r="X188">
            <v>500</v>
          </cell>
          <cell r="Z188">
            <v>0</v>
          </cell>
          <cell r="AA188">
            <v>0</v>
          </cell>
          <cell r="AB188">
            <v>0</v>
          </cell>
          <cell r="AC188">
            <v>0</v>
          </cell>
          <cell r="AE188">
            <v>0</v>
          </cell>
          <cell r="AF188">
            <v>0</v>
          </cell>
          <cell r="AG188">
            <v>0</v>
          </cell>
          <cell r="AH188">
            <v>1600</v>
          </cell>
          <cell r="AI188">
            <v>19200</v>
          </cell>
          <cell r="AJ188">
            <v>0</v>
          </cell>
          <cell r="AK188">
            <v>0</v>
          </cell>
          <cell r="AL188">
            <v>5000</v>
          </cell>
          <cell r="AM188">
            <v>0</v>
          </cell>
          <cell r="AN188">
            <v>0</v>
          </cell>
          <cell r="AO188">
            <v>0</v>
          </cell>
          <cell r="AP188">
            <v>0</v>
          </cell>
          <cell r="AQ188">
            <v>3564</v>
          </cell>
          <cell r="AR188">
            <v>27764</v>
          </cell>
          <cell r="AS188">
            <v>12.49</v>
          </cell>
        </row>
        <row r="189">
          <cell r="P189">
            <v>7</v>
          </cell>
          <cell r="S189" t="str">
            <v xml:space="preserve"> </v>
          </cell>
        </row>
        <row r="190">
          <cell r="G190">
            <v>2340</v>
          </cell>
          <cell r="H190" t="str">
            <v>MR RAM KUMAR SINGH</v>
          </cell>
          <cell r="I190">
            <v>26204</v>
          </cell>
          <cell r="J190">
            <v>35653</v>
          </cell>
          <cell r="K190">
            <v>11074</v>
          </cell>
          <cell r="L190" t="str">
            <v>MA</v>
          </cell>
          <cell r="M190">
            <v>21</v>
          </cell>
          <cell r="N190" t="str">
            <v>A2</v>
          </cell>
          <cell r="O190" t="str">
            <v>MA</v>
          </cell>
          <cell r="P190">
            <v>7</v>
          </cell>
          <cell r="Q190" t="str">
            <v>Other Locations</v>
          </cell>
          <cell r="R190" t="str">
            <v>Simla (Hp)</v>
          </cell>
          <cell r="S190" t="str">
            <v xml:space="preserve"> </v>
          </cell>
          <cell r="T190" t="str">
            <v>BA</v>
          </cell>
          <cell r="U190">
            <v>2001</v>
          </cell>
          <cell r="V190">
            <v>21150</v>
          </cell>
          <cell r="W190">
            <v>5280</v>
          </cell>
          <cell r="X190">
            <v>3500</v>
          </cell>
          <cell r="AA190">
            <v>500</v>
          </cell>
          <cell r="AB190">
            <v>150</v>
          </cell>
          <cell r="AD190" t="str">
            <v>CV</v>
          </cell>
          <cell r="AE190">
            <v>0</v>
          </cell>
          <cell r="AF190">
            <v>500</v>
          </cell>
          <cell r="AG190">
            <v>2750</v>
          </cell>
          <cell r="AH190">
            <v>12680</v>
          </cell>
          <cell r="AI190">
            <v>152160</v>
          </cell>
          <cell r="AJ190">
            <v>17500</v>
          </cell>
          <cell r="AK190">
            <v>20000</v>
          </cell>
          <cell r="AL190">
            <v>10000</v>
          </cell>
          <cell r="AM190">
            <v>0</v>
          </cell>
          <cell r="AN190">
            <v>0</v>
          </cell>
          <cell r="AO190">
            <v>0</v>
          </cell>
          <cell r="AP190">
            <v>0</v>
          </cell>
          <cell r="AQ190">
            <v>17107</v>
          </cell>
          <cell r="AR190">
            <v>216767</v>
          </cell>
          <cell r="AS190">
            <v>0</v>
          </cell>
        </row>
        <row r="191">
          <cell r="M191">
            <v>21</v>
          </cell>
          <cell r="N191" t="str">
            <v>A2</v>
          </cell>
          <cell r="P191">
            <v>7</v>
          </cell>
          <cell r="S191" t="str">
            <v xml:space="preserve"> </v>
          </cell>
          <cell r="U191">
            <v>2002</v>
          </cell>
          <cell r="W191">
            <v>6380</v>
          </cell>
          <cell r="X191">
            <v>4000</v>
          </cell>
          <cell r="Z191">
            <v>0</v>
          </cell>
          <cell r="AA191">
            <v>500</v>
          </cell>
          <cell r="AB191">
            <v>150</v>
          </cell>
          <cell r="AC191">
            <v>0</v>
          </cell>
          <cell r="AF191">
            <v>500</v>
          </cell>
          <cell r="AG191">
            <v>2750</v>
          </cell>
          <cell r="AH191">
            <v>14280</v>
          </cell>
          <cell r="AI191">
            <v>171360</v>
          </cell>
          <cell r="AJ191">
            <v>17500</v>
          </cell>
          <cell r="AK191">
            <v>20000</v>
          </cell>
          <cell r="AL191">
            <v>15000</v>
          </cell>
          <cell r="AM191">
            <v>0</v>
          </cell>
          <cell r="AN191">
            <v>0</v>
          </cell>
          <cell r="AO191">
            <v>0</v>
          </cell>
          <cell r="AP191">
            <v>0</v>
          </cell>
          <cell r="AQ191">
            <v>20671</v>
          </cell>
          <cell r="AR191">
            <v>244531</v>
          </cell>
          <cell r="AS191">
            <v>0</v>
          </cell>
        </row>
        <row r="192">
          <cell r="P192">
            <v>7</v>
          </cell>
          <cell r="S192" t="str">
            <v xml:space="preserve"> </v>
          </cell>
          <cell r="U192" t="str">
            <v>DIFF.</v>
          </cell>
          <cell r="W192">
            <v>1100</v>
          </cell>
          <cell r="X192">
            <v>500</v>
          </cell>
          <cell r="Z192">
            <v>0</v>
          </cell>
          <cell r="AA192">
            <v>0</v>
          </cell>
          <cell r="AB192">
            <v>0</v>
          </cell>
          <cell r="AC192">
            <v>0</v>
          </cell>
          <cell r="AE192">
            <v>0</v>
          </cell>
          <cell r="AF192">
            <v>0</v>
          </cell>
          <cell r="AG192">
            <v>0</v>
          </cell>
          <cell r="AH192">
            <v>1600</v>
          </cell>
          <cell r="AI192">
            <v>19200</v>
          </cell>
          <cell r="AJ192">
            <v>0</v>
          </cell>
          <cell r="AK192">
            <v>0</v>
          </cell>
          <cell r="AL192">
            <v>5000</v>
          </cell>
          <cell r="AM192">
            <v>0</v>
          </cell>
          <cell r="AN192">
            <v>0</v>
          </cell>
          <cell r="AO192">
            <v>0</v>
          </cell>
          <cell r="AP192">
            <v>0</v>
          </cell>
          <cell r="AQ192">
            <v>3564</v>
          </cell>
          <cell r="AR192">
            <v>27764</v>
          </cell>
          <cell r="AS192">
            <v>12.81</v>
          </cell>
        </row>
        <row r="193">
          <cell r="P193">
            <v>7</v>
          </cell>
          <cell r="S193" t="str">
            <v xml:space="preserve"> </v>
          </cell>
        </row>
        <row r="194">
          <cell r="G194">
            <v>2341</v>
          </cell>
          <cell r="H194" t="str">
            <v>MR VASANTKUMAR P. PRAJAPATI</v>
          </cell>
          <cell r="I194">
            <v>26188</v>
          </cell>
          <cell r="J194">
            <v>35677</v>
          </cell>
          <cell r="K194">
            <v>11090</v>
          </cell>
          <cell r="L194" t="str">
            <v>MA</v>
          </cell>
          <cell r="M194">
            <v>21</v>
          </cell>
          <cell r="N194" t="str">
            <v>A1</v>
          </cell>
          <cell r="O194" t="str">
            <v>MA</v>
          </cell>
          <cell r="P194">
            <v>7</v>
          </cell>
          <cell r="Q194" t="str">
            <v>Other Locations</v>
          </cell>
          <cell r="R194" t="str">
            <v>Rajkot</v>
          </cell>
          <cell r="S194" t="str">
            <v xml:space="preserve"> </v>
          </cell>
          <cell r="T194" t="str">
            <v>BL</v>
          </cell>
          <cell r="U194">
            <v>2001</v>
          </cell>
          <cell r="V194">
            <v>21150</v>
          </cell>
          <cell r="W194">
            <v>5145</v>
          </cell>
          <cell r="X194">
            <v>3500</v>
          </cell>
          <cell r="AA194">
            <v>500</v>
          </cell>
          <cell r="AB194">
            <v>150</v>
          </cell>
          <cell r="AD194" t="str">
            <v>CV</v>
          </cell>
          <cell r="AE194">
            <v>0</v>
          </cell>
          <cell r="AG194">
            <v>2750</v>
          </cell>
          <cell r="AH194">
            <v>12045</v>
          </cell>
          <cell r="AI194">
            <v>144540</v>
          </cell>
          <cell r="AJ194">
            <v>17500</v>
          </cell>
          <cell r="AK194">
            <v>20000</v>
          </cell>
          <cell r="AL194">
            <v>10000</v>
          </cell>
          <cell r="AQ194">
            <v>16670</v>
          </cell>
          <cell r="AR194">
            <v>208710</v>
          </cell>
        </row>
        <row r="195">
          <cell r="M195">
            <v>21</v>
          </cell>
          <cell r="N195" t="str">
            <v>A1</v>
          </cell>
          <cell r="P195">
            <v>7</v>
          </cell>
          <cell r="S195" t="str">
            <v xml:space="preserve"> </v>
          </cell>
          <cell r="U195">
            <v>2002</v>
          </cell>
          <cell r="W195">
            <v>6095</v>
          </cell>
          <cell r="X195">
            <v>4000</v>
          </cell>
          <cell r="Z195">
            <v>0</v>
          </cell>
          <cell r="AA195">
            <v>500</v>
          </cell>
          <cell r="AB195">
            <v>150</v>
          </cell>
          <cell r="AC195">
            <v>0</v>
          </cell>
          <cell r="AF195">
            <v>0</v>
          </cell>
          <cell r="AG195">
            <v>2750</v>
          </cell>
          <cell r="AH195">
            <v>13495</v>
          </cell>
          <cell r="AI195">
            <v>161940</v>
          </cell>
          <cell r="AJ195">
            <v>17500</v>
          </cell>
          <cell r="AK195">
            <v>20000</v>
          </cell>
          <cell r="AL195">
            <v>15000</v>
          </cell>
          <cell r="AM195">
            <v>0</v>
          </cell>
          <cell r="AN195">
            <v>0</v>
          </cell>
          <cell r="AO195">
            <v>0</v>
          </cell>
          <cell r="AP195">
            <v>0</v>
          </cell>
          <cell r="AQ195">
            <v>19748</v>
          </cell>
          <cell r="AR195">
            <v>234188</v>
          </cell>
          <cell r="AS195">
            <v>0</v>
          </cell>
        </row>
        <row r="196">
          <cell r="P196">
            <v>7</v>
          </cell>
          <cell r="S196" t="str">
            <v xml:space="preserve"> </v>
          </cell>
          <cell r="U196" t="str">
            <v>DIFF.</v>
          </cell>
          <cell r="W196">
            <v>950</v>
          </cell>
          <cell r="X196">
            <v>500</v>
          </cell>
          <cell r="Z196">
            <v>0</v>
          </cell>
          <cell r="AA196">
            <v>0</v>
          </cell>
          <cell r="AB196">
            <v>0</v>
          </cell>
          <cell r="AC196">
            <v>0</v>
          </cell>
          <cell r="AE196">
            <v>0</v>
          </cell>
          <cell r="AF196">
            <v>0</v>
          </cell>
          <cell r="AG196">
            <v>0</v>
          </cell>
          <cell r="AH196">
            <v>1450</v>
          </cell>
          <cell r="AI196">
            <v>17400</v>
          </cell>
          <cell r="AJ196">
            <v>0</v>
          </cell>
          <cell r="AK196">
            <v>0</v>
          </cell>
          <cell r="AL196">
            <v>5000</v>
          </cell>
          <cell r="AM196">
            <v>0</v>
          </cell>
          <cell r="AN196">
            <v>0</v>
          </cell>
          <cell r="AO196">
            <v>0</v>
          </cell>
          <cell r="AP196">
            <v>0</v>
          </cell>
          <cell r="AQ196">
            <v>3078</v>
          </cell>
          <cell r="AR196">
            <v>25478</v>
          </cell>
          <cell r="AS196">
            <v>12.21</v>
          </cell>
        </row>
        <row r="197">
          <cell r="P197">
            <v>7</v>
          </cell>
          <cell r="S197" t="str">
            <v xml:space="preserve"> </v>
          </cell>
        </row>
        <row r="198">
          <cell r="G198">
            <v>2342</v>
          </cell>
          <cell r="H198" t="str">
            <v>MR RAJAN SETH</v>
          </cell>
          <cell r="I198">
            <v>26545</v>
          </cell>
          <cell r="J198">
            <v>35688</v>
          </cell>
          <cell r="K198">
            <v>10733</v>
          </cell>
          <cell r="L198" t="str">
            <v>MA</v>
          </cell>
          <cell r="M198">
            <v>21</v>
          </cell>
          <cell r="N198" t="str">
            <v>A1</v>
          </cell>
          <cell r="O198" t="str">
            <v>MA</v>
          </cell>
          <cell r="P198">
            <v>7</v>
          </cell>
          <cell r="Q198" t="str">
            <v>Other Locations</v>
          </cell>
          <cell r="R198" t="str">
            <v>Amritsar (Punjab)</v>
          </cell>
          <cell r="S198" t="str">
            <v xml:space="preserve"> </v>
          </cell>
          <cell r="T198" t="str">
            <v>D</v>
          </cell>
          <cell r="U198">
            <v>2001</v>
          </cell>
          <cell r="V198">
            <v>11000</v>
          </cell>
          <cell r="W198">
            <v>5150</v>
          </cell>
          <cell r="X198">
            <v>3500</v>
          </cell>
          <cell r="AA198">
            <v>500</v>
          </cell>
          <cell r="AB198">
            <v>150</v>
          </cell>
          <cell r="AD198" t="str">
            <v>CV</v>
          </cell>
          <cell r="AE198">
            <v>0</v>
          </cell>
          <cell r="AG198">
            <v>2750</v>
          </cell>
          <cell r="AH198">
            <v>12050</v>
          </cell>
          <cell r="AI198">
            <v>144600</v>
          </cell>
          <cell r="AJ198">
            <v>17500</v>
          </cell>
          <cell r="AK198">
            <v>20000</v>
          </cell>
          <cell r="AL198">
            <v>10000</v>
          </cell>
          <cell r="AQ198">
            <v>16686</v>
          </cell>
          <cell r="AR198">
            <v>208786</v>
          </cell>
        </row>
        <row r="199">
          <cell r="M199">
            <v>21</v>
          </cell>
          <cell r="N199" t="str">
            <v>A1</v>
          </cell>
          <cell r="P199">
            <v>7</v>
          </cell>
          <cell r="S199" t="str">
            <v xml:space="preserve"> </v>
          </cell>
          <cell r="U199">
            <v>2002</v>
          </cell>
          <cell r="W199">
            <v>5500</v>
          </cell>
          <cell r="X199">
            <v>4000</v>
          </cell>
          <cell r="Z199">
            <v>0</v>
          </cell>
          <cell r="AA199">
            <v>500</v>
          </cell>
          <cell r="AB199">
            <v>150</v>
          </cell>
          <cell r="AC199">
            <v>0</v>
          </cell>
          <cell r="AF199">
            <v>0</v>
          </cell>
          <cell r="AG199">
            <v>2750</v>
          </cell>
          <cell r="AH199">
            <v>12900</v>
          </cell>
          <cell r="AI199">
            <v>154800</v>
          </cell>
          <cell r="AJ199">
            <v>17500</v>
          </cell>
          <cell r="AK199">
            <v>20000</v>
          </cell>
          <cell r="AL199">
            <v>15000</v>
          </cell>
          <cell r="AM199">
            <v>0</v>
          </cell>
          <cell r="AN199">
            <v>0</v>
          </cell>
          <cell r="AO199">
            <v>0</v>
          </cell>
          <cell r="AP199">
            <v>0</v>
          </cell>
          <cell r="AQ199">
            <v>17820</v>
          </cell>
          <cell r="AR199">
            <v>225120</v>
          </cell>
          <cell r="AS199">
            <v>0</v>
          </cell>
        </row>
        <row r="200">
          <cell r="P200">
            <v>7</v>
          </cell>
          <cell r="S200" t="str">
            <v xml:space="preserve"> </v>
          </cell>
          <cell r="U200" t="str">
            <v>DIFF.</v>
          </cell>
          <cell r="W200">
            <v>350</v>
          </cell>
          <cell r="X200">
            <v>500</v>
          </cell>
          <cell r="Z200">
            <v>0</v>
          </cell>
          <cell r="AA200">
            <v>0</v>
          </cell>
          <cell r="AB200">
            <v>0</v>
          </cell>
          <cell r="AC200">
            <v>0</v>
          </cell>
          <cell r="AE200">
            <v>0</v>
          </cell>
          <cell r="AF200">
            <v>0</v>
          </cell>
          <cell r="AG200">
            <v>0</v>
          </cell>
          <cell r="AH200">
            <v>850</v>
          </cell>
          <cell r="AI200">
            <v>10200</v>
          </cell>
          <cell r="AJ200">
            <v>0</v>
          </cell>
          <cell r="AK200">
            <v>0</v>
          </cell>
          <cell r="AL200">
            <v>5000</v>
          </cell>
          <cell r="AM200">
            <v>0</v>
          </cell>
          <cell r="AN200">
            <v>0</v>
          </cell>
          <cell r="AO200">
            <v>0</v>
          </cell>
          <cell r="AP200">
            <v>0</v>
          </cell>
          <cell r="AQ200">
            <v>1134</v>
          </cell>
          <cell r="AR200">
            <v>16334</v>
          </cell>
          <cell r="AS200">
            <v>7.82</v>
          </cell>
        </row>
        <row r="201">
          <cell r="P201">
            <v>7</v>
          </cell>
          <cell r="S201" t="str">
            <v xml:space="preserve"> </v>
          </cell>
        </row>
        <row r="202">
          <cell r="G202">
            <v>2343</v>
          </cell>
          <cell r="H202" t="str">
            <v>MRS SEQUEIRA GLORY</v>
          </cell>
          <cell r="I202">
            <v>23375</v>
          </cell>
          <cell r="J202">
            <v>35692</v>
          </cell>
          <cell r="K202">
            <v>13903</v>
          </cell>
          <cell r="L202" t="str">
            <v>MA</v>
          </cell>
          <cell r="M202">
            <v>21</v>
          </cell>
          <cell r="O202" t="str">
            <v>MA</v>
          </cell>
          <cell r="P202">
            <v>1</v>
          </cell>
          <cell r="Q202" t="str">
            <v>Mumbai</v>
          </cell>
          <cell r="R202" t="str">
            <v>Ho</v>
          </cell>
          <cell r="S202" t="str">
            <v xml:space="preserve"> </v>
          </cell>
          <cell r="T202" t="str">
            <v>CL</v>
          </cell>
          <cell r="U202">
            <v>2001</v>
          </cell>
          <cell r="V202">
            <v>18000</v>
          </cell>
          <cell r="W202">
            <v>8355</v>
          </cell>
          <cell r="X202">
            <v>3500</v>
          </cell>
          <cell r="AA202">
            <v>500</v>
          </cell>
          <cell r="AB202">
            <v>150</v>
          </cell>
          <cell r="AC202">
            <v>800</v>
          </cell>
          <cell r="AE202">
            <v>1000</v>
          </cell>
          <cell r="AG202">
            <v>2750</v>
          </cell>
          <cell r="AH202">
            <v>17055</v>
          </cell>
          <cell r="AI202">
            <v>204660</v>
          </cell>
          <cell r="AJ202">
            <v>17500</v>
          </cell>
          <cell r="AK202">
            <v>20000</v>
          </cell>
          <cell r="AL202">
            <v>10000</v>
          </cell>
          <cell r="AQ202">
            <v>27070</v>
          </cell>
          <cell r="AR202">
            <v>279230</v>
          </cell>
        </row>
        <row r="203">
          <cell r="M203">
            <v>21</v>
          </cell>
          <cell r="P203">
            <v>1</v>
          </cell>
          <cell r="S203" t="str">
            <v xml:space="preserve"> </v>
          </cell>
          <cell r="U203">
            <v>2002</v>
          </cell>
          <cell r="W203">
            <v>9005</v>
          </cell>
          <cell r="X203">
            <v>5500</v>
          </cell>
          <cell r="Z203">
            <v>0</v>
          </cell>
          <cell r="AA203">
            <v>500</v>
          </cell>
          <cell r="AB203">
            <v>150</v>
          </cell>
          <cell r="AC203">
            <v>800</v>
          </cell>
          <cell r="AF203">
            <v>0</v>
          </cell>
          <cell r="AG203">
            <v>2750</v>
          </cell>
          <cell r="AH203">
            <v>18705</v>
          </cell>
          <cell r="AI203">
            <v>224460</v>
          </cell>
          <cell r="AJ203">
            <v>17500</v>
          </cell>
          <cell r="AK203">
            <v>20000</v>
          </cell>
          <cell r="AL203">
            <v>15000</v>
          </cell>
          <cell r="AM203">
            <v>0</v>
          </cell>
          <cell r="AN203">
            <v>0</v>
          </cell>
          <cell r="AO203">
            <v>0</v>
          </cell>
          <cell r="AP203">
            <v>0</v>
          </cell>
          <cell r="AQ203">
            <v>29176</v>
          </cell>
          <cell r="AR203">
            <v>306136</v>
          </cell>
          <cell r="AS203">
            <v>0</v>
          </cell>
        </row>
        <row r="204">
          <cell r="P204">
            <v>1</v>
          </cell>
          <cell r="S204" t="str">
            <v xml:space="preserve"> </v>
          </cell>
          <cell r="U204" t="str">
            <v>DIFF.</v>
          </cell>
          <cell r="W204">
            <v>650</v>
          </cell>
          <cell r="X204">
            <v>2000</v>
          </cell>
          <cell r="Z204">
            <v>0</v>
          </cell>
          <cell r="AA204">
            <v>0</v>
          </cell>
          <cell r="AB204">
            <v>0</v>
          </cell>
          <cell r="AC204">
            <v>0</v>
          </cell>
          <cell r="AE204">
            <v>-1000</v>
          </cell>
          <cell r="AF204">
            <v>0</v>
          </cell>
          <cell r="AG204">
            <v>0</v>
          </cell>
          <cell r="AH204">
            <v>1650</v>
          </cell>
          <cell r="AI204">
            <v>19800</v>
          </cell>
          <cell r="AJ204">
            <v>0</v>
          </cell>
          <cell r="AK204">
            <v>0</v>
          </cell>
          <cell r="AL204">
            <v>5000</v>
          </cell>
          <cell r="AM204">
            <v>0</v>
          </cell>
          <cell r="AN204">
            <v>0</v>
          </cell>
          <cell r="AO204">
            <v>0</v>
          </cell>
          <cell r="AP204">
            <v>0</v>
          </cell>
          <cell r="AQ204">
            <v>2106</v>
          </cell>
          <cell r="AR204">
            <v>26906</v>
          </cell>
          <cell r="AS204">
            <v>9.64</v>
          </cell>
        </row>
        <row r="205">
          <cell r="P205">
            <v>1</v>
          </cell>
          <cell r="S205" t="str">
            <v xml:space="preserve"> </v>
          </cell>
        </row>
        <row r="206">
          <cell r="G206">
            <v>2347</v>
          </cell>
          <cell r="H206" t="str">
            <v xml:space="preserve">DR MAHESH J. DESALE </v>
          </cell>
          <cell r="I206">
            <v>25758</v>
          </cell>
          <cell r="J206">
            <v>35798</v>
          </cell>
          <cell r="K206">
            <v>11520</v>
          </cell>
          <cell r="L206" t="str">
            <v>MA</v>
          </cell>
          <cell r="M206">
            <v>21</v>
          </cell>
          <cell r="N206" t="str">
            <v>A2</v>
          </cell>
          <cell r="O206" t="str">
            <v>MA</v>
          </cell>
          <cell r="P206">
            <v>7</v>
          </cell>
          <cell r="Q206" t="str">
            <v>Other Locations</v>
          </cell>
          <cell r="R206" t="str">
            <v>Pune</v>
          </cell>
          <cell r="S206" t="str">
            <v xml:space="preserve"> </v>
          </cell>
          <cell r="T206" t="str">
            <v>CL</v>
          </cell>
          <cell r="U206">
            <v>2001</v>
          </cell>
          <cell r="V206">
            <v>18000</v>
          </cell>
          <cell r="W206">
            <v>5250</v>
          </cell>
          <cell r="X206">
            <v>3500</v>
          </cell>
          <cell r="AA206">
            <v>500</v>
          </cell>
          <cell r="AB206">
            <v>150</v>
          </cell>
          <cell r="AD206" t="str">
            <v>CV</v>
          </cell>
          <cell r="AE206">
            <v>0</v>
          </cell>
          <cell r="AF206">
            <v>500</v>
          </cell>
          <cell r="AG206">
            <v>2750</v>
          </cell>
          <cell r="AH206">
            <v>12650</v>
          </cell>
          <cell r="AI206">
            <v>151800</v>
          </cell>
          <cell r="AJ206">
            <v>17500</v>
          </cell>
          <cell r="AK206">
            <v>20000</v>
          </cell>
          <cell r="AL206">
            <v>10000</v>
          </cell>
          <cell r="AM206">
            <v>0</v>
          </cell>
          <cell r="AN206">
            <v>0</v>
          </cell>
          <cell r="AO206">
            <v>0</v>
          </cell>
          <cell r="AP206">
            <v>0</v>
          </cell>
          <cell r="AQ206">
            <v>17010</v>
          </cell>
          <cell r="AR206">
            <v>216310</v>
          </cell>
          <cell r="AS206">
            <v>0</v>
          </cell>
        </row>
        <row r="207">
          <cell r="M207">
            <v>21</v>
          </cell>
          <cell r="N207" t="str">
            <v>A2</v>
          </cell>
          <cell r="P207">
            <v>7</v>
          </cell>
          <cell r="S207" t="str">
            <v xml:space="preserve"> </v>
          </cell>
          <cell r="U207">
            <v>2002</v>
          </cell>
          <cell r="W207">
            <v>5900</v>
          </cell>
          <cell r="X207">
            <v>4000</v>
          </cell>
          <cell r="Z207">
            <v>0</v>
          </cell>
          <cell r="AA207">
            <v>500</v>
          </cell>
          <cell r="AB207">
            <v>150</v>
          </cell>
          <cell r="AC207">
            <v>0</v>
          </cell>
          <cell r="AF207">
            <v>500</v>
          </cell>
          <cell r="AG207">
            <v>2750</v>
          </cell>
          <cell r="AH207">
            <v>13800</v>
          </cell>
          <cell r="AI207">
            <v>165600</v>
          </cell>
          <cell r="AJ207">
            <v>17500</v>
          </cell>
          <cell r="AK207">
            <v>20000</v>
          </cell>
          <cell r="AL207">
            <v>15000</v>
          </cell>
          <cell r="AM207">
            <v>0</v>
          </cell>
          <cell r="AN207">
            <v>0</v>
          </cell>
          <cell r="AO207">
            <v>0</v>
          </cell>
          <cell r="AP207">
            <v>0</v>
          </cell>
          <cell r="AQ207">
            <v>19116</v>
          </cell>
          <cell r="AR207">
            <v>237216</v>
          </cell>
          <cell r="AS207">
            <v>0</v>
          </cell>
        </row>
        <row r="208">
          <cell r="P208">
            <v>7</v>
          </cell>
          <cell r="S208" t="str">
            <v xml:space="preserve"> </v>
          </cell>
          <cell r="U208" t="str">
            <v>DIFF.</v>
          </cell>
          <cell r="W208">
            <v>650</v>
          </cell>
          <cell r="X208">
            <v>500</v>
          </cell>
          <cell r="Z208">
            <v>0</v>
          </cell>
          <cell r="AA208">
            <v>0</v>
          </cell>
          <cell r="AB208">
            <v>0</v>
          </cell>
          <cell r="AC208">
            <v>0</v>
          </cell>
          <cell r="AE208">
            <v>0</v>
          </cell>
          <cell r="AF208">
            <v>0</v>
          </cell>
          <cell r="AG208">
            <v>0</v>
          </cell>
          <cell r="AH208">
            <v>1150</v>
          </cell>
          <cell r="AI208">
            <v>13800</v>
          </cell>
          <cell r="AJ208">
            <v>0</v>
          </cell>
          <cell r="AK208">
            <v>0</v>
          </cell>
          <cell r="AL208">
            <v>5000</v>
          </cell>
          <cell r="AM208">
            <v>0</v>
          </cell>
          <cell r="AN208">
            <v>0</v>
          </cell>
          <cell r="AO208">
            <v>0</v>
          </cell>
          <cell r="AP208">
            <v>0</v>
          </cell>
          <cell r="AQ208">
            <v>2106</v>
          </cell>
          <cell r="AR208">
            <v>20906</v>
          </cell>
          <cell r="AS208">
            <v>9.66</v>
          </cell>
        </row>
        <row r="209">
          <cell r="P209">
            <v>7</v>
          </cell>
          <cell r="S209" t="str">
            <v xml:space="preserve"> </v>
          </cell>
        </row>
        <row r="210">
          <cell r="G210">
            <v>2348</v>
          </cell>
          <cell r="H210" t="str">
            <v>MR SANJAY SINGH GAUTAM</v>
          </cell>
          <cell r="I210">
            <v>26775</v>
          </cell>
          <cell r="J210">
            <v>35805</v>
          </cell>
          <cell r="K210">
            <v>10503</v>
          </cell>
          <cell r="L210" t="str">
            <v>MA</v>
          </cell>
          <cell r="M210">
            <v>21</v>
          </cell>
          <cell r="N210" t="str">
            <v>A1</v>
          </cell>
          <cell r="O210" t="str">
            <v>MA</v>
          </cell>
          <cell r="P210">
            <v>7</v>
          </cell>
          <cell r="Q210" t="str">
            <v>Other Locations</v>
          </cell>
          <cell r="R210" t="str">
            <v>Badnagar (W B)</v>
          </cell>
          <cell r="S210" t="str">
            <v xml:space="preserve"> </v>
          </cell>
          <cell r="T210" t="str">
            <v>CA</v>
          </cell>
          <cell r="U210">
            <v>2001</v>
          </cell>
          <cell r="V210">
            <v>18000</v>
          </cell>
          <cell r="W210">
            <v>4525</v>
          </cell>
          <cell r="X210">
            <v>3500</v>
          </cell>
          <cell r="AA210">
            <v>500</v>
          </cell>
          <cell r="AB210">
            <v>150</v>
          </cell>
          <cell r="AD210" t="str">
            <v>CV</v>
          </cell>
          <cell r="AE210">
            <v>0</v>
          </cell>
          <cell r="AG210">
            <v>2750</v>
          </cell>
          <cell r="AH210">
            <v>11425</v>
          </cell>
          <cell r="AI210">
            <v>137100</v>
          </cell>
          <cell r="AJ210">
            <v>17500</v>
          </cell>
          <cell r="AK210">
            <v>20000</v>
          </cell>
          <cell r="AL210">
            <v>10000</v>
          </cell>
          <cell r="AQ210">
            <v>14661</v>
          </cell>
          <cell r="AR210">
            <v>199261</v>
          </cell>
        </row>
        <row r="211">
          <cell r="M211">
            <v>21</v>
          </cell>
          <cell r="N211" t="str">
            <v>A1</v>
          </cell>
          <cell r="P211">
            <v>7</v>
          </cell>
          <cell r="S211" t="str">
            <v xml:space="preserve"> </v>
          </cell>
          <cell r="U211">
            <v>2002</v>
          </cell>
          <cell r="W211">
            <v>5275</v>
          </cell>
          <cell r="X211">
            <v>4000</v>
          </cell>
          <cell r="Z211">
            <v>0</v>
          </cell>
          <cell r="AA211">
            <v>500</v>
          </cell>
          <cell r="AB211">
            <v>150</v>
          </cell>
          <cell r="AC211">
            <v>0</v>
          </cell>
          <cell r="AF211">
            <v>0</v>
          </cell>
          <cell r="AG211">
            <v>2750</v>
          </cell>
          <cell r="AH211">
            <v>12675</v>
          </cell>
          <cell r="AI211">
            <v>152100</v>
          </cell>
          <cell r="AJ211">
            <v>17500</v>
          </cell>
          <cell r="AK211">
            <v>20000</v>
          </cell>
          <cell r="AL211">
            <v>15000</v>
          </cell>
          <cell r="AM211">
            <v>0</v>
          </cell>
          <cell r="AN211">
            <v>0</v>
          </cell>
          <cell r="AO211">
            <v>0</v>
          </cell>
          <cell r="AP211">
            <v>0</v>
          </cell>
          <cell r="AQ211">
            <v>17091</v>
          </cell>
          <cell r="AR211">
            <v>221691</v>
          </cell>
          <cell r="AS211">
            <v>0</v>
          </cell>
        </row>
        <row r="212">
          <cell r="P212">
            <v>7</v>
          </cell>
          <cell r="S212" t="str">
            <v xml:space="preserve"> </v>
          </cell>
          <cell r="U212" t="str">
            <v>DIFF.</v>
          </cell>
          <cell r="W212">
            <v>750</v>
          </cell>
          <cell r="X212">
            <v>500</v>
          </cell>
          <cell r="Z212">
            <v>0</v>
          </cell>
          <cell r="AA212">
            <v>0</v>
          </cell>
          <cell r="AB212">
            <v>0</v>
          </cell>
          <cell r="AC212">
            <v>0</v>
          </cell>
          <cell r="AE212">
            <v>0</v>
          </cell>
          <cell r="AF212">
            <v>0</v>
          </cell>
          <cell r="AG212">
            <v>0</v>
          </cell>
          <cell r="AH212">
            <v>1250</v>
          </cell>
          <cell r="AI212">
            <v>15000</v>
          </cell>
          <cell r="AJ212">
            <v>0</v>
          </cell>
          <cell r="AK212">
            <v>0</v>
          </cell>
          <cell r="AL212">
            <v>5000</v>
          </cell>
          <cell r="AM212">
            <v>0</v>
          </cell>
          <cell r="AN212">
            <v>0</v>
          </cell>
          <cell r="AO212">
            <v>0</v>
          </cell>
          <cell r="AP212">
            <v>0</v>
          </cell>
          <cell r="AQ212">
            <v>2430</v>
          </cell>
          <cell r="AR212">
            <v>22430</v>
          </cell>
          <cell r="AS212">
            <v>11.26</v>
          </cell>
        </row>
        <row r="213">
          <cell r="P213">
            <v>7</v>
          </cell>
          <cell r="S213" t="str">
            <v xml:space="preserve"> </v>
          </cell>
        </row>
        <row r="214">
          <cell r="G214">
            <v>2349</v>
          </cell>
          <cell r="H214" t="str">
            <v>MR VIVEK SAXENA</v>
          </cell>
          <cell r="I214">
            <v>26025</v>
          </cell>
          <cell r="J214">
            <v>35813</v>
          </cell>
          <cell r="K214">
            <v>11253</v>
          </cell>
          <cell r="L214" t="str">
            <v>MA</v>
          </cell>
          <cell r="M214">
            <v>21</v>
          </cell>
          <cell r="N214" t="str">
            <v>A1</v>
          </cell>
          <cell r="O214" t="str">
            <v>MA</v>
          </cell>
          <cell r="P214">
            <v>7</v>
          </cell>
          <cell r="Q214" t="str">
            <v>Other Locations</v>
          </cell>
          <cell r="R214" t="str">
            <v>Harda (Mp)</v>
          </cell>
          <cell r="S214" t="str">
            <v xml:space="preserve"> </v>
          </cell>
          <cell r="T214" t="str">
            <v>BL</v>
          </cell>
          <cell r="U214">
            <v>2001</v>
          </cell>
          <cell r="V214">
            <v>21150</v>
          </cell>
          <cell r="W214">
            <v>4705</v>
          </cell>
          <cell r="X214">
            <v>3500</v>
          </cell>
          <cell r="AA214">
            <v>500</v>
          </cell>
          <cell r="AB214">
            <v>150</v>
          </cell>
          <cell r="AD214" t="str">
            <v>CV</v>
          </cell>
          <cell r="AE214">
            <v>0</v>
          </cell>
          <cell r="AG214">
            <v>2750</v>
          </cell>
          <cell r="AH214">
            <v>11605</v>
          </cell>
          <cell r="AI214">
            <v>139260</v>
          </cell>
          <cell r="AJ214">
            <v>17500</v>
          </cell>
          <cell r="AK214">
            <v>20000</v>
          </cell>
          <cell r="AL214">
            <v>10000</v>
          </cell>
          <cell r="AQ214">
            <v>15244</v>
          </cell>
          <cell r="AR214">
            <v>202004</v>
          </cell>
        </row>
        <row r="215">
          <cell r="M215">
            <v>21</v>
          </cell>
          <cell r="N215" t="str">
            <v>A1</v>
          </cell>
          <cell r="P215">
            <v>7</v>
          </cell>
          <cell r="S215" t="str">
            <v xml:space="preserve"> </v>
          </cell>
          <cell r="U215">
            <v>2002</v>
          </cell>
          <cell r="W215">
            <v>5655</v>
          </cell>
          <cell r="X215">
            <v>4000</v>
          </cell>
          <cell r="Z215">
            <v>0</v>
          </cell>
          <cell r="AA215">
            <v>500</v>
          </cell>
          <cell r="AB215">
            <v>150</v>
          </cell>
          <cell r="AC215">
            <v>0</v>
          </cell>
          <cell r="AF215">
            <v>0</v>
          </cell>
          <cell r="AG215">
            <v>2750</v>
          </cell>
          <cell r="AH215">
            <v>13055</v>
          </cell>
          <cell r="AI215">
            <v>156660</v>
          </cell>
          <cell r="AJ215">
            <v>17500</v>
          </cell>
          <cell r="AK215">
            <v>20000</v>
          </cell>
          <cell r="AL215">
            <v>15000</v>
          </cell>
          <cell r="AM215">
            <v>0</v>
          </cell>
          <cell r="AN215">
            <v>0</v>
          </cell>
          <cell r="AO215">
            <v>0</v>
          </cell>
          <cell r="AP215">
            <v>0</v>
          </cell>
          <cell r="AQ215">
            <v>18322</v>
          </cell>
          <cell r="AR215">
            <v>227482</v>
          </cell>
          <cell r="AS215">
            <v>0</v>
          </cell>
        </row>
        <row r="216">
          <cell r="P216">
            <v>7</v>
          </cell>
          <cell r="S216" t="str">
            <v xml:space="preserve"> </v>
          </cell>
          <cell r="U216" t="str">
            <v>DIFF.</v>
          </cell>
          <cell r="W216">
            <v>950</v>
          </cell>
          <cell r="X216">
            <v>500</v>
          </cell>
          <cell r="Z216">
            <v>0</v>
          </cell>
          <cell r="AA216">
            <v>0</v>
          </cell>
          <cell r="AB216">
            <v>0</v>
          </cell>
          <cell r="AC216">
            <v>0</v>
          </cell>
          <cell r="AE216">
            <v>0</v>
          </cell>
          <cell r="AF216">
            <v>0</v>
          </cell>
          <cell r="AG216">
            <v>0</v>
          </cell>
          <cell r="AH216">
            <v>1450</v>
          </cell>
          <cell r="AI216">
            <v>17400</v>
          </cell>
          <cell r="AJ216">
            <v>0</v>
          </cell>
          <cell r="AK216">
            <v>0</v>
          </cell>
          <cell r="AL216">
            <v>5000</v>
          </cell>
          <cell r="AM216">
            <v>0</v>
          </cell>
          <cell r="AN216">
            <v>0</v>
          </cell>
          <cell r="AO216">
            <v>0</v>
          </cell>
          <cell r="AP216">
            <v>0</v>
          </cell>
          <cell r="AQ216">
            <v>3078</v>
          </cell>
          <cell r="AR216">
            <v>25478</v>
          </cell>
          <cell r="AS216">
            <v>12.61</v>
          </cell>
        </row>
        <row r="217">
          <cell r="P217">
            <v>7</v>
          </cell>
          <cell r="S217" t="str">
            <v xml:space="preserve"> </v>
          </cell>
        </row>
        <row r="218">
          <cell r="G218">
            <v>2350</v>
          </cell>
          <cell r="H218" t="str">
            <v>MR HEMANT AITULWAR</v>
          </cell>
          <cell r="I218">
            <v>26820</v>
          </cell>
          <cell r="J218">
            <v>35821</v>
          </cell>
          <cell r="K218">
            <v>10458</v>
          </cell>
          <cell r="L218" t="str">
            <v>MA</v>
          </cell>
          <cell r="M218">
            <v>21</v>
          </cell>
          <cell r="N218" t="str">
            <v>A1</v>
          </cell>
          <cell r="O218" t="str">
            <v>MA</v>
          </cell>
          <cell r="P218">
            <v>7</v>
          </cell>
          <cell r="Q218" t="str">
            <v>Other Locations</v>
          </cell>
          <cell r="R218" t="str">
            <v>Hoshangabad (Mp)</v>
          </cell>
          <cell r="S218" t="str">
            <v xml:space="preserve"> </v>
          </cell>
          <cell r="T218" t="str">
            <v>BA</v>
          </cell>
          <cell r="U218">
            <v>2001</v>
          </cell>
          <cell r="V218">
            <v>21150</v>
          </cell>
          <cell r="W218">
            <v>4505</v>
          </cell>
          <cell r="X218">
            <v>3500</v>
          </cell>
          <cell r="AA218">
            <v>500</v>
          </cell>
          <cell r="AB218">
            <v>150</v>
          </cell>
          <cell r="AD218" t="str">
            <v>CV</v>
          </cell>
          <cell r="AE218">
            <v>0</v>
          </cell>
          <cell r="AG218">
            <v>2750</v>
          </cell>
          <cell r="AH218">
            <v>11405</v>
          </cell>
          <cell r="AI218">
            <v>136860</v>
          </cell>
          <cell r="AJ218">
            <v>17500</v>
          </cell>
          <cell r="AK218">
            <v>20000</v>
          </cell>
          <cell r="AL218">
            <v>10000</v>
          </cell>
          <cell r="AQ218">
            <v>14596</v>
          </cell>
          <cell r="AR218">
            <v>198956</v>
          </cell>
        </row>
        <row r="219">
          <cell r="M219">
            <v>21</v>
          </cell>
          <cell r="N219" t="str">
            <v>A1</v>
          </cell>
          <cell r="P219">
            <v>7</v>
          </cell>
          <cell r="S219" t="str">
            <v xml:space="preserve"> </v>
          </cell>
          <cell r="U219">
            <v>2002</v>
          </cell>
          <cell r="W219">
            <v>5605</v>
          </cell>
          <cell r="X219">
            <v>4000</v>
          </cell>
          <cell r="Z219">
            <v>0</v>
          </cell>
          <cell r="AA219">
            <v>500</v>
          </cell>
          <cell r="AB219">
            <v>150</v>
          </cell>
          <cell r="AC219">
            <v>0</v>
          </cell>
          <cell r="AF219">
            <v>0</v>
          </cell>
          <cell r="AG219">
            <v>2750</v>
          </cell>
          <cell r="AH219">
            <v>13005</v>
          </cell>
          <cell r="AI219">
            <v>156060</v>
          </cell>
          <cell r="AJ219">
            <v>17500</v>
          </cell>
          <cell r="AK219">
            <v>20000</v>
          </cell>
          <cell r="AL219">
            <v>15000</v>
          </cell>
          <cell r="AM219">
            <v>0</v>
          </cell>
          <cell r="AN219">
            <v>0</v>
          </cell>
          <cell r="AO219">
            <v>0</v>
          </cell>
          <cell r="AP219">
            <v>0</v>
          </cell>
          <cell r="AQ219">
            <v>18160</v>
          </cell>
          <cell r="AR219">
            <v>226720</v>
          </cell>
          <cell r="AS219">
            <v>0</v>
          </cell>
        </row>
        <row r="220">
          <cell r="P220">
            <v>7</v>
          </cell>
          <cell r="S220" t="str">
            <v xml:space="preserve"> </v>
          </cell>
          <cell r="U220" t="str">
            <v>DIFF.</v>
          </cell>
          <cell r="W220">
            <v>1100</v>
          </cell>
          <cell r="X220">
            <v>500</v>
          </cell>
          <cell r="Z220">
            <v>0</v>
          </cell>
          <cell r="AA220">
            <v>0</v>
          </cell>
          <cell r="AB220">
            <v>0</v>
          </cell>
          <cell r="AC220">
            <v>0</v>
          </cell>
          <cell r="AE220">
            <v>0</v>
          </cell>
          <cell r="AF220">
            <v>0</v>
          </cell>
          <cell r="AG220">
            <v>0</v>
          </cell>
          <cell r="AH220">
            <v>1600</v>
          </cell>
          <cell r="AI220">
            <v>19200</v>
          </cell>
          <cell r="AJ220">
            <v>0</v>
          </cell>
          <cell r="AK220">
            <v>0</v>
          </cell>
          <cell r="AL220">
            <v>5000</v>
          </cell>
          <cell r="AM220">
            <v>0</v>
          </cell>
          <cell r="AN220">
            <v>0</v>
          </cell>
          <cell r="AO220">
            <v>0</v>
          </cell>
          <cell r="AP220">
            <v>0</v>
          </cell>
          <cell r="AQ220">
            <v>3564</v>
          </cell>
          <cell r="AR220">
            <v>27764</v>
          </cell>
          <cell r="AS220">
            <v>13.95</v>
          </cell>
        </row>
        <row r="221">
          <cell r="P221">
            <v>7</v>
          </cell>
          <cell r="S221" t="str">
            <v xml:space="preserve"> </v>
          </cell>
        </row>
        <row r="222">
          <cell r="G222">
            <v>2352</v>
          </cell>
          <cell r="H222" t="str">
            <v>MR SANTANU SINHARAY</v>
          </cell>
          <cell r="I222">
            <v>26858</v>
          </cell>
          <cell r="J222">
            <v>35828</v>
          </cell>
          <cell r="K222">
            <v>10420</v>
          </cell>
          <cell r="L222" t="str">
            <v>MA</v>
          </cell>
          <cell r="M222">
            <v>21</v>
          </cell>
          <cell r="N222" t="str">
            <v>A1</v>
          </cell>
          <cell r="O222" t="str">
            <v>MA</v>
          </cell>
          <cell r="P222">
            <v>7</v>
          </cell>
          <cell r="Q222" t="str">
            <v>Other Locations</v>
          </cell>
          <cell r="R222" t="str">
            <v>Burdwan (Wb)</v>
          </cell>
          <cell r="S222" t="str">
            <v xml:space="preserve"> </v>
          </cell>
          <cell r="T222" t="str">
            <v>BP</v>
          </cell>
          <cell r="U222">
            <v>2001</v>
          </cell>
          <cell r="V222">
            <v>21150</v>
          </cell>
          <cell r="W222">
            <v>4680</v>
          </cell>
          <cell r="X222">
            <v>3500</v>
          </cell>
          <cell r="AA222">
            <v>500</v>
          </cell>
          <cell r="AB222">
            <v>150</v>
          </cell>
          <cell r="AD222" t="str">
            <v>CV</v>
          </cell>
          <cell r="AE222">
            <v>0</v>
          </cell>
          <cell r="AG222">
            <v>2750</v>
          </cell>
          <cell r="AH222">
            <v>11580</v>
          </cell>
          <cell r="AI222">
            <v>138960</v>
          </cell>
          <cell r="AJ222">
            <v>17500</v>
          </cell>
          <cell r="AK222">
            <v>20000</v>
          </cell>
          <cell r="AL222">
            <v>10000</v>
          </cell>
          <cell r="AQ222">
            <v>15163</v>
          </cell>
          <cell r="AR222">
            <v>201623</v>
          </cell>
        </row>
        <row r="223">
          <cell r="M223">
            <v>21</v>
          </cell>
          <cell r="N223" t="str">
            <v>A1</v>
          </cell>
          <cell r="P223">
            <v>7</v>
          </cell>
          <cell r="S223" t="str">
            <v xml:space="preserve"> </v>
          </cell>
          <cell r="U223">
            <v>2002</v>
          </cell>
          <cell r="W223">
            <v>5880</v>
          </cell>
          <cell r="X223">
            <v>4000</v>
          </cell>
          <cell r="Z223">
            <v>0</v>
          </cell>
          <cell r="AA223">
            <v>500</v>
          </cell>
          <cell r="AB223">
            <v>150</v>
          </cell>
          <cell r="AC223">
            <v>0</v>
          </cell>
          <cell r="AF223">
            <v>0</v>
          </cell>
          <cell r="AG223">
            <v>2750</v>
          </cell>
          <cell r="AH223">
            <v>13280</v>
          </cell>
          <cell r="AI223">
            <v>159360</v>
          </cell>
          <cell r="AJ223">
            <v>17500</v>
          </cell>
          <cell r="AK223">
            <v>20000</v>
          </cell>
          <cell r="AL223">
            <v>15000</v>
          </cell>
          <cell r="AM223">
            <v>0</v>
          </cell>
          <cell r="AN223">
            <v>0</v>
          </cell>
          <cell r="AO223">
            <v>0</v>
          </cell>
          <cell r="AP223">
            <v>0</v>
          </cell>
          <cell r="AQ223">
            <v>19051</v>
          </cell>
          <cell r="AR223">
            <v>230911</v>
          </cell>
          <cell r="AS223">
            <v>0</v>
          </cell>
        </row>
        <row r="224">
          <cell r="P224">
            <v>7</v>
          </cell>
          <cell r="S224" t="str">
            <v xml:space="preserve"> </v>
          </cell>
          <cell r="U224" t="str">
            <v>DIFF.</v>
          </cell>
          <cell r="W224">
            <v>1200</v>
          </cell>
          <cell r="X224">
            <v>500</v>
          </cell>
          <cell r="Z224">
            <v>0</v>
          </cell>
          <cell r="AA224">
            <v>0</v>
          </cell>
          <cell r="AB224">
            <v>0</v>
          </cell>
          <cell r="AC224">
            <v>0</v>
          </cell>
          <cell r="AE224">
            <v>0</v>
          </cell>
          <cell r="AF224">
            <v>0</v>
          </cell>
          <cell r="AG224">
            <v>0</v>
          </cell>
          <cell r="AH224">
            <v>1700</v>
          </cell>
          <cell r="AI224">
            <v>20400</v>
          </cell>
          <cell r="AJ224">
            <v>0</v>
          </cell>
          <cell r="AK224">
            <v>0</v>
          </cell>
          <cell r="AL224">
            <v>5000</v>
          </cell>
          <cell r="AM224">
            <v>0</v>
          </cell>
          <cell r="AN224">
            <v>0</v>
          </cell>
          <cell r="AO224">
            <v>0</v>
          </cell>
          <cell r="AP224">
            <v>0</v>
          </cell>
          <cell r="AQ224">
            <v>3888</v>
          </cell>
          <cell r="AR224">
            <v>29288</v>
          </cell>
          <cell r="AS224">
            <v>14.53</v>
          </cell>
        </row>
        <row r="225">
          <cell r="P225">
            <v>7</v>
          </cell>
          <cell r="S225" t="str">
            <v xml:space="preserve"> </v>
          </cell>
        </row>
        <row r="226">
          <cell r="G226">
            <v>2355</v>
          </cell>
          <cell r="H226" t="str">
            <v>MR MANISH JAIN</v>
          </cell>
          <cell r="I226">
            <v>25791</v>
          </cell>
          <cell r="J226">
            <v>35856</v>
          </cell>
          <cell r="K226">
            <v>11487</v>
          </cell>
          <cell r="L226" t="str">
            <v>MA</v>
          </cell>
          <cell r="M226">
            <v>21</v>
          </cell>
          <cell r="N226" t="str">
            <v>A1</v>
          </cell>
          <cell r="O226" t="str">
            <v>MA</v>
          </cell>
          <cell r="P226">
            <v>7</v>
          </cell>
          <cell r="Q226" t="str">
            <v>Other Locations</v>
          </cell>
          <cell r="R226" t="str">
            <v>Jaipur (Rajasthan)</v>
          </cell>
          <cell r="S226" t="str">
            <v xml:space="preserve"> </v>
          </cell>
          <cell r="T226" t="str">
            <v>CA</v>
          </cell>
          <cell r="U226">
            <v>2001</v>
          </cell>
          <cell r="V226">
            <v>18000</v>
          </cell>
          <cell r="W226">
            <v>3915</v>
          </cell>
          <cell r="X226">
            <v>3500</v>
          </cell>
          <cell r="AA226">
            <v>500</v>
          </cell>
          <cell r="AB226">
            <v>150</v>
          </cell>
          <cell r="AD226" t="str">
            <v>CV</v>
          </cell>
          <cell r="AE226">
            <v>0</v>
          </cell>
          <cell r="AG226">
            <v>2750</v>
          </cell>
          <cell r="AH226">
            <v>10815</v>
          </cell>
          <cell r="AI226">
            <v>129780</v>
          </cell>
          <cell r="AJ226">
            <v>17500</v>
          </cell>
          <cell r="AK226">
            <v>20000</v>
          </cell>
          <cell r="AL226">
            <v>10000</v>
          </cell>
          <cell r="AQ226">
            <v>12685</v>
          </cell>
          <cell r="AR226">
            <v>189965</v>
          </cell>
        </row>
        <row r="227">
          <cell r="M227">
            <v>21</v>
          </cell>
          <cell r="N227" t="str">
            <v>A1</v>
          </cell>
          <cell r="P227">
            <v>7</v>
          </cell>
          <cell r="S227" t="str">
            <v xml:space="preserve"> </v>
          </cell>
          <cell r="U227">
            <v>2002</v>
          </cell>
          <cell r="W227">
            <v>4665</v>
          </cell>
          <cell r="X227">
            <v>4000</v>
          </cell>
          <cell r="Z227">
            <v>0</v>
          </cell>
          <cell r="AA227">
            <v>500</v>
          </cell>
          <cell r="AB227">
            <v>150</v>
          </cell>
          <cell r="AC227">
            <v>0</v>
          </cell>
          <cell r="AF227">
            <v>0</v>
          </cell>
          <cell r="AG227">
            <v>2750</v>
          </cell>
          <cell r="AH227">
            <v>12065</v>
          </cell>
          <cell r="AI227">
            <v>144780</v>
          </cell>
          <cell r="AJ227">
            <v>17500</v>
          </cell>
          <cell r="AK227">
            <v>20000</v>
          </cell>
          <cell r="AL227">
            <v>15000</v>
          </cell>
          <cell r="AM227">
            <v>0</v>
          </cell>
          <cell r="AN227">
            <v>0</v>
          </cell>
          <cell r="AO227">
            <v>0</v>
          </cell>
          <cell r="AP227">
            <v>0</v>
          </cell>
          <cell r="AQ227">
            <v>15115</v>
          </cell>
          <cell r="AR227">
            <v>212395</v>
          </cell>
          <cell r="AS227">
            <v>0</v>
          </cell>
        </row>
        <row r="228">
          <cell r="P228">
            <v>7</v>
          </cell>
          <cell r="S228" t="str">
            <v xml:space="preserve"> </v>
          </cell>
          <cell r="U228" t="str">
            <v>DIFF.</v>
          </cell>
          <cell r="W228">
            <v>750</v>
          </cell>
          <cell r="X228">
            <v>500</v>
          </cell>
          <cell r="Z228">
            <v>0</v>
          </cell>
          <cell r="AA228">
            <v>0</v>
          </cell>
          <cell r="AB228">
            <v>0</v>
          </cell>
          <cell r="AC228">
            <v>0</v>
          </cell>
          <cell r="AE228">
            <v>0</v>
          </cell>
          <cell r="AF228">
            <v>0</v>
          </cell>
          <cell r="AG228">
            <v>0</v>
          </cell>
          <cell r="AH228">
            <v>1250</v>
          </cell>
          <cell r="AI228">
            <v>15000</v>
          </cell>
          <cell r="AJ228">
            <v>0</v>
          </cell>
          <cell r="AK228">
            <v>0</v>
          </cell>
          <cell r="AL228">
            <v>5000</v>
          </cell>
          <cell r="AM228">
            <v>0</v>
          </cell>
          <cell r="AN228">
            <v>0</v>
          </cell>
          <cell r="AO228">
            <v>0</v>
          </cell>
          <cell r="AP228">
            <v>0</v>
          </cell>
          <cell r="AQ228">
            <v>2430</v>
          </cell>
          <cell r="AR228">
            <v>22430</v>
          </cell>
          <cell r="AS228">
            <v>11.81</v>
          </cell>
        </row>
        <row r="229">
          <cell r="P229">
            <v>7</v>
          </cell>
          <cell r="S229" t="str">
            <v xml:space="preserve"> </v>
          </cell>
        </row>
        <row r="230">
          <cell r="G230">
            <v>2356</v>
          </cell>
          <cell r="H230" t="str">
            <v>MR RITESH VIJAYWARGIYA</v>
          </cell>
          <cell r="I230">
            <v>26731</v>
          </cell>
          <cell r="J230">
            <v>35856</v>
          </cell>
          <cell r="K230">
            <v>10547</v>
          </cell>
          <cell r="L230" t="str">
            <v>MA</v>
          </cell>
          <cell r="M230">
            <v>21</v>
          </cell>
          <cell r="N230" t="str">
            <v>A1</v>
          </cell>
          <cell r="O230" t="str">
            <v>MA</v>
          </cell>
          <cell r="P230">
            <v>7</v>
          </cell>
          <cell r="Q230" t="str">
            <v>Other Locations</v>
          </cell>
          <cell r="R230" t="str">
            <v>Narsinghpor (Mp)</v>
          </cell>
          <cell r="S230" t="str">
            <v xml:space="preserve"> </v>
          </cell>
          <cell r="T230" t="str">
            <v>CL</v>
          </cell>
          <cell r="U230">
            <v>2001</v>
          </cell>
          <cell r="V230">
            <v>18000</v>
          </cell>
          <cell r="W230">
            <v>4235</v>
          </cell>
          <cell r="X230">
            <v>3500</v>
          </cell>
          <cell r="AA230">
            <v>500</v>
          </cell>
          <cell r="AB230">
            <v>150</v>
          </cell>
          <cell r="AD230" t="str">
            <v>CV</v>
          </cell>
          <cell r="AE230">
            <v>0</v>
          </cell>
          <cell r="AG230">
            <v>2750</v>
          </cell>
          <cell r="AH230">
            <v>11135</v>
          </cell>
          <cell r="AI230">
            <v>133620</v>
          </cell>
          <cell r="AJ230">
            <v>17500</v>
          </cell>
          <cell r="AK230">
            <v>20000</v>
          </cell>
          <cell r="AL230">
            <v>10000</v>
          </cell>
          <cell r="AQ230">
            <v>13721</v>
          </cell>
          <cell r="AR230">
            <v>194841</v>
          </cell>
        </row>
        <row r="231">
          <cell r="M231">
            <v>21</v>
          </cell>
          <cell r="N231" t="str">
            <v>A1</v>
          </cell>
          <cell r="P231">
            <v>7</v>
          </cell>
          <cell r="S231" t="str">
            <v xml:space="preserve"> </v>
          </cell>
          <cell r="U231">
            <v>2002</v>
          </cell>
          <cell r="W231">
            <v>4885</v>
          </cell>
          <cell r="X231">
            <v>4000</v>
          </cell>
          <cell r="Z231">
            <v>0</v>
          </cell>
          <cell r="AA231">
            <v>500</v>
          </cell>
          <cell r="AB231">
            <v>150</v>
          </cell>
          <cell r="AC231">
            <v>0</v>
          </cell>
          <cell r="AF231">
            <v>0</v>
          </cell>
          <cell r="AG231">
            <v>2750</v>
          </cell>
          <cell r="AH231">
            <v>12285</v>
          </cell>
          <cell r="AI231">
            <v>147420</v>
          </cell>
          <cell r="AJ231">
            <v>17500</v>
          </cell>
          <cell r="AK231">
            <v>20000</v>
          </cell>
          <cell r="AL231">
            <v>15000</v>
          </cell>
          <cell r="AM231">
            <v>0</v>
          </cell>
          <cell r="AN231">
            <v>0</v>
          </cell>
          <cell r="AO231">
            <v>0</v>
          </cell>
          <cell r="AP231">
            <v>0</v>
          </cell>
          <cell r="AQ231">
            <v>15827</v>
          </cell>
          <cell r="AR231">
            <v>215747</v>
          </cell>
          <cell r="AS231">
            <v>0</v>
          </cell>
        </row>
        <row r="232">
          <cell r="P232">
            <v>7</v>
          </cell>
          <cell r="S232" t="str">
            <v xml:space="preserve"> </v>
          </cell>
          <cell r="U232" t="str">
            <v>DIFF.</v>
          </cell>
          <cell r="W232">
            <v>650</v>
          </cell>
          <cell r="X232">
            <v>500</v>
          </cell>
          <cell r="Z232">
            <v>0</v>
          </cell>
          <cell r="AA232">
            <v>0</v>
          </cell>
          <cell r="AB232">
            <v>0</v>
          </cell>
          <cell r="AC232">
            <v>0</v>
          </cell>
          <cell r="AE232">
            <v>0</v>
          </cell>
          <cell r="AF232">
            <v>0</v>
          </cell>
          <cell r="AG232">
            <v>0</v>
          </cell>
          <cell r="AH232">
            <v>1150</v>
          </cell>
          <cell r="AI232">
            <v>13800</v>
          </cell>
          <cell r="AJ232">
            <v>0</v>
          </cell>
          <cell r="AK232">
            <v>0</v>
          </cell>
          <cell r="AL232">
            <v>5000</v>
          </cell>
          <cell r="AM232">
            <v>0</v>
          </cell>
          <cell r="AN232">
            <v>0</v>
          </cell>
          <cell r="AO232">
            <v>0</v>
          </cell>
          <cell r="AP232">
            <v>0</v>
          </cell>
          <cell r="AQ232">
            <v>2106</v>
          </cell>
          <cell r="AR232">
            <v>20906</v>
          </cell>
          <cell r="AS232">
            <v>10.73</v>
          </cell>
        </row>
        <row r="233">
          <cell r="P233">
            <v>7</v>
          </cell>
          <cell r="S233" t="str">
            <v xml:space="preserve"> </v>
          </cell>
        </row>
        <row r="234">
          <cell r="G234">
            <v>2357</v>
          </cell>
          <cell r="H234" t="str">
            <v>MR RAJESH SHARMA</v>
          </cell>
          <cell r="I234">
            <v>26579</v>
          </cell>
          <cell r="J234">
            <v>35856</v>
          </cell>
          <cell r="K234">
            <v>10699</v>
          </cell>
          <cell r="L234" t="str">
            <v>MA</v>
          </cell>
          <cell r="M234">
            <v>21</v>
          </cell>
          <cell r="N234" t="str">
            <v>A2</v>
          </cell>
          <cell r="O234" t="str">
            <v>MA</v>
          </cell>
          <cell r="P234">
            <v>7</v>
          </cell>
          <cell r="Q234" t="str">
            <v>Other Locations</v>
          </cell>
          <cell r="R234" t="str">
            <v>Raipur (Chattisgadh)</v>
          </cell>
          <cell r="S234" t="str">
            <v xml:space="preserve"> </v>
          </cell>
          <cell r="T234" t="str">
            <v>BA</v>
          </cell>
          <cell r="U234">
            <v>2001</v>
          </cell>
          <cell r="V234">
            <v>21150</v>
          </cell>
          <cell r="W234">
            <v>4915</v>
          </cell>
          <cell r="X234">
            <v>3500</v>
          </cell>
          <cell r="AA234">
            <v>500</v>
          </cell>
          <cell r="AB234">
            <v>150</v>
          </cell>
          <cell r="AD234" t="str">
            <v>CV</v>
          </cell>
          <cell r="AE234">
            <v>0</v>
          </cell>
          <cell r="AF234">
            <v>500</v>
          </cell>
          <cell r="AG234">
            <v>2750</v>
          </cell>
          <cell r="AH234">
            <v>12315</v>
          </cell>
          <cell r="AI234">
            <v>147780</v>
          </cell>
          <cell r="AJ234">
            <v>17500</v>
          </cell>
          <cell r="AK234">
            <v>20000</v>
          </cell>
          <cell r="AL234">
            <v>10000</v>
          </cell>
          <cell r="AM234">
            <v>0</v>
          </cell>
          <cell r="AN234">
            <v>0</v>
          </cell>
          <cell r="AO234">
            <v>0</v>
          </cell>
          <cell r="AP234">
            <v>0</v>
          </cell>
          <cell r="AQ234">
            <v>15925</v>
          </cell>
          <cell r="AR234">
            <v>211205</v>
          </cell>
          <cell r="AS234">
            <v>0</v>
          </cell>
        </row>
        <row r="235">
          <cell r="M235">
            <v>21</v>
          </cell>
          <cell r="N235" t="str">
            <v>A2</v>
          </cell>
          <cell r="P235">
            <v>7</v>
          </cell>
          <cell r="S235" t="str">
            <v xml:space="preserve"> </v>
          </cell>
          <cell r="U235">
            <v>2002</v>
          </cell>
          <cell r="W235">
            <v>6015</v>
          </cell>
          <cell r="X235">
            <v>4000</v>
          </cell>
          <cell r="Z235">
            <v>0</v>
          </cell>
          <cell r="AA235">
            <v>500</v>
          </cell>
          <cell r="AB235">
            <v>150</v>
          </cell>
          <cell r="AC235">
            <v>0</v>
          </cell>
          <cell r="AF235">
            <v>500</v>
          </cell>
          <cell r="AG235">
            <v>2750</v>
          </cell>
          <cell r="AH235">
            <v>13915</v>
          </cell>
          <cell r="AI235">
            <v>166980</v>
          </cell>
          <cell r="AJ235">
            <v>17500</v>
          </cell>
          <cell r="AK235">
            <v>20000</v>
          </cell>
          <cell r="AL235">
            <v>15000</v>
          </cell>
          <cell r="AM235">
            <v>0</v>
          </cell>
          <cell r="AN235">
            <v>0</v>
          </cell>
          <cell r="AO235">
            <v>0</v>
          </cell>
          <cell r="AP235">
            <v>0</v>
          </cell>
          <cell r="AQ235">
            <v>19489</v>
          </cell>
          <cell r="AR235">
            <v>238969</v>
          </cell>
          <cell r="AS235">
            <v>0</v>
          </cell>
        </row>
        <row r="236">
          <cell r="P236">
            <v>7</v>
          </cell>
          <cell r="S236" t="str">
            <v xml:space="preserve"> </v>
          </cell>
          <cell r="U236" t="str">
            <v>DIFF.</v>
          </cell>
          <cell r="W236">
            <v>1100</v>
          </cell>
          <cell r="X236">
            <v>500</v>
          </cell>
          <cell r="Z236">
            <v>0</v>
          </cell>
          <cell r="AA236">
            <v>0</v>
          </cell>
          <cell r="AB236">
            <v>0</v>
          </cell>
          <cell r="AC236">
            <v>0</v>
          </cell>
          <cell r="AE236">
            <v>0</v>
          </cell>
          <cell r="AF236">
            <v>0</v>
          </cell>
          <cell r="AG236">
            <v>0</v>
          </cell>
          <cell r="AH236">
            <v>1600</v>
          </cell>
          <cell r="AI236">
            <v>19200</v>
          </cell>
          <cell r="AJ236">
            <v>0</v>
          </cell>
          <cell r="AK236">
            <v>0</v>
          </cell>
          <cell r="AL236">
            <v>5000</v>
          </cell>
          <cell r="AM236">
            <v>0</v>
          </cell>
          <cell r="AN236">
            <v>0</v>
          </cell>
          <cell r="AO236">
            <v>0</v>
          </cell>
          <cell r="AP236">
            <v>0</v>
          </cell>
          <cell r="AQ236">
            <v>3564</v>
          </cell>
          <cell r="AR236">
            <v>27764</v>
          </cell>
          <cell r="AS236">
            <v>13.15</v>
          </cell>
        </row>
        <row r="237">
          <cell r="P237">
            <v>7</v>
          </cell>
          <cell r="S237" t="str">
            <v xml:space="preserve"> </v>
          </cell>
        </row>
        <row r="238">
          <cell r="G238">
            <v>2358</v>
          </cell>
          <cell r="H238" t="str">
            <v>MR SANJAY C. PANCHAL</v>
          </cell>
          <cell r="I238">
            <v>26646</v>
          </cell>
          <cell r="J238">
            <v>35870</v>
          </cell>
          <cell r="K238">
            <v>10632</v>
          </cell>
          <cell r="L238" t="str">
            <v>MA</v>
          </cell>
          <cell r="M238">
            <v>21</v>
          </cell>
          <cell r="N238" t="str">
            <v>A1</v>
          </cell>
          <cell r="O238" t="str">
            <v>MA</v>
          </cell>
          <cell r="P238">
            <v>7</v>
          </cell>
          <cell r="Q238" t="str">
            <v>Other Locations</v>
          </cell>
          <cell r="R238" t="str">
            <v>Himmatnagar (Guj)</v>
          </cell>
          <cell r="S238" t="str">
            <v xml:space="preserve"> </v>
          </cell>
          <cell r="T238" t="str">
            <v>BL</v>
          </cell>
          <cell r="U238">
            <v>2001</v>
          </cell>
          <cell r="V238">
            <v>21150</v>
          </cell>
          <cell r="W238">
            <v>4445</v>
          </cell>
          <cell r="X238">
            <v>3500</v>
          </cell>
          <cell r="AA238">
            <v>500</v>
          </cell>
          <cell r="AB238">
            <v>150</v>
          </cell>
          <cell r="AD238" t="str">
            <v>CV</v>
          </cell>
          <cell r="AE238">
            <v>0</v>
          </cell>
          <cell r="AG238">
            <v>2750</v>
          </cell>
          <cell r="AH238">
            <v>11345</v>
          </cell>
          <cell r="AI238">
            <v>136140</v>
          </cell>
          <cell r="AJ238">
            <v>17500</v>
          </cell>
          <cell r="AK238">
            <v>20000</v>
          </cell>
          <cell r="AL238">
            <v>10000</v>
          </cell>
          <cell r="AQ238">
            <v>14402</v>
          </cell>
          <cell r="AR238">
            <v>198042</v>
          </cell>
        </row>
        <row r="239">
          <cell r="M239">
            <v>21</v>
          </cell>
          <cell r="N239" t="str">
            <v>A1</v>
          </cell>
          <cell r="P239">
            <v>7</v>
          </cell>
          <cell r="S239" t="str">
            <v xml:space="preserve"> </v>
          </cell>
          <cell r="U239">
            <v>2002</v>
          </cell>
          <cell r="W239">
            <v>5395</v>
          </cell>
          <cell r="X239">
            <v>4000</v>
          </cell>
          <cell r="Z239">
            <v>0</v>
          </cell>
          <cell r="AA239">
            <v>500</v>
          </cell>
          <cell r="AB239">
            <v>150</v>
          </cell>
          <cell r="AC239">
            <v>0</v>
          </cell>
          <cell r="AF239">
            <v>0</v>
          </cell>
          <cell r="AG239">
            <v>2750</v>
          </cell>
          <cell r="AH239">
            <v>12795</v>
          </cell>
          <cell r="AI239">
            <v>153540</v>
          </cell>
          <cell r="AJ239">
            <v>17500</v>
          </cell>
          <cell r="AK239">
            <v>20000</v>
          </cell>
          <cell r="AL239">
            <v>15000</v>
          </cell>
          <cell r="AM239">
            <v>0</v>
          </cell>
          <cell r="AN239">
            <v>0</v>
          </cell>
          <cell r="AO239">
            <v>0</v>
          </cell>
          <cell r="AP239">
            <v>0</v>
          </cell>
          <cell r="AQ239">
            <v>17480</v>
          </cell>
          <cell r="AR239">
            <v>223520</v>
          </cell>
          <cell r="AS239">
            <v>0</v>
          </cell>
        </row>
        <row r="240">
          <cell r="P240">
            <v>7</v>
          </cell>
          <cell r="S240" t="str">
            <v xml:space="preserve"> </v>
          </cell>
          <cell r="U240" t="str">
            <v>DIFF.</v>
          </cell>
          <cell r="W240">
            <v>950</v>
          </cell>
          <cell r="X240">
            <v>500</v>
          </cell>
          <cell r="Z240">
            <v>0</v>
          </cell>
          <cell r="AA240">
            <v>0</v>
          </cell>
          <cell r="AB240">
            <v>0</v>
          </cell>
          <cell r="AC240">
            <v>0</v>
          </cell>
          <cell r="AE240">
            <v>0</v>
          </cell>
          <cell r="AF240">
            <v>0</v>
          </cell>
          <cell r="AG240">
            <v>0</v>
          </cell>
          <cell r="AH240">
            <v>1450</v>
          </cell>
          <cell r="AI240">
            <v>17400</v>
          </cell>
          <cell r="AJ240">
            <v>0</v>
          </cell>
          <cell r="AK240">
            <v>0</v>
          </cell>
          <cell r="AL240">
            <v>5000</v>
          </cell>
          <cell r="AM240">
            <v>0</v>
          </cell>
          <cell r="AN240">
            <v>0</v>
          </cell>
          <cell r="AO240">
            <v>0</v>
          </cell>
          <cell r="AP240">
            <v>0</v>
          </cell>
          <cell r="AQ240">
            <v>3078</v>
          </cell>
          <cell r="AR240">
            <v>25478</v>
          </cell>
          <cell r="AS240">
            <v>12.86</v>
          </cell>
        </row>
        <row r="241">
          <cell r="P241">
            <v>7</v>
          </cell>
          <cell r="S241" t="str">
            <v xml:space="preserve"> </v>
          </cell>
        </row>
        <row r="242">
          <cell r="G242">
            <v>2363</v>
          </cell>
          <cell r="H242" t="str">
            <v>MR CHANDRA SHEKHAR YADAV</v>
          </cell>
          <cell r="I242">
            <v>24625</v>
          </cell>
          <cell r="J242">
            <v>35944</v>
          </cell>
          <cell r="K242">
            <v>12653</v>
          </cell>
          <cell r="L242" t="str">
            <v>MA</v>
          </cell>
          <cell r="M242">
            <v>21</v>
          </cell>
          <cell r="N242" t="str">
            <v>A1</v>
          </cell>
          <cell r="O242" t="str">
            <v>MA</v>
          </cell>
          <cell r="P242">
            <v>7</v>
          </cell>
          <cell r="Q242" t="str">
            <v>Other Locations</v>
          </cell>
          <cell r="R242" t="str">
            <v>Sriganganagar (  )</v>
          </cell>
          <cell r="S242" t="str">
            <v xml:space="preserve"> </v>
          </cell>
          <cell r="T242" t="str">
            <v>BA</v>
          </cell>
          <cell r="U242">
            <v>2001</v>
          </cell>
          <cell r="V242">
            <v>21150</v>
          </cell>
          <cell r="W242">
            <v>5275</v>
          </cell>
          <cell r="X242">
            <v>3500</v>
          </cell>
          <cell r="AA242">
            <v>500</v>
          </cell>
          <cell r="AB242">
            <v>150</v>
          </cell>
          <cell r="AD242" t="str">
            <v>CV</v>
          </cell>
          <cell r="AE242">
            <v>0</v>
          </cell>
          <cell r="AG242">
            <v>2750</v>
          </cell>
          <cell r="AH242">
            <v>12175</v>
          </cell>
          <cell r="AI242">
            <v>146100</v>
          </cell>
          <cell r="AJ242">
            <v>17500</v>
          </cell>
          <cell r="AK242">
            <v>20000</v>
          </cell>
          <cell r="AL242">
            <v>10000</v>
          </cell>
          <cell r="AQ242">
            <v>17091</v>
          </cell>
          <cell r="AR242">
            <v>210691</v>
          </cell>
        </row>
        <row r="243">
          <cell r="M243">
            <v>21</v>
          </cell>
          <cell r="N243" t="str">
            <v>A1</v>
          </cell>
          <cell r="P243">
            <v>7</v>
          </cell>
          <cell r="S243" t="str">
            <v xml:space="preserve"> </v>
          </cell>
          <cell r="U243">
            <v>2002</v>
          </cell>
          <cell r="W243">
            <v>6375</v>
          </cell>
          <cell r="X243">
            <v>4000</v>
          </cell>
          <cell r="Z243">
            <v>0</v>
          </cell>
          <cell r="AA243">
            <v>500</v>
          </cell>
          <cell r="AB243">
            <v>150</v>
          </cell>
          <cell r="AC243">
            <v>0</v>
          </cell>
          <cell r="AF243">
            <v>0</v>
          </cell>
          <cell r="AG243">
            <v>2750</v>
          </cell>
          <cell r="AH243">
            <v>13775</v>
          </cell>
          <cell r="AI243">
            <v>165300</v>
          </cell>
          <cell r="AJ243">
            <v>17500</v>
          </cell>
          <cell r="AK243">
            <v>20000</v>
          </cell>
          <cell r="AL243">
            <v>15000</v>
          </cell>
          <cell r="AM243">
            <v>0</v>
          </cell>
          <cell r="AN243">
            <v>0</v>
          </cell>
          <cell r="AO243">
            <v>0</v>
          </cell>
          <cell r="AP243">
            <v>0</v>
          </cell>
          <cell r="AQ243">
            <v>20655</v>
          </cell>
          <cell r="AR243">
            <v>238455</v>
          </cell>
          <cell r="AS243">
            <v>0</v>
          </cell>
        </row>
        <row r="244">
          <cell r="P244">
            <v>7</v>
          </cell>
          <cell r="S244" t="str">
            <v xml:space="preserve"> </v>
          </cell>
          <cell r="U244" t="str">
            <v>DIFF.</v>
          </cell>
          <cell r="W244">
            <v>1100</v>
          </cell>
          <cell r="X244">
            <v>500</v>
          </cell>
          <cell r="Z244">
            <v>0</v>
          </cell>
          <cell r="AA244">
            <v>0</v>
          </cell>
          <cell r="AB244">
            <v>0</v>
          </cell>
          <cell r="AC244">
            <v>0</v>
          </cell>
          <cell r="AE244">
            <v>0</v>
          </cell>
          <cell r="AF244">
            <v>0</v>
          </cell>
          <cell r="AG244">
            <v>0</v>
          </cell>
          <cell r="AH244">
            <v>1600</v>
          </cell>
          <cell r="AI244">
            <v>19200</v>
          </cell>
          <cell r="AJ244">
            <v>0</v>
          </cell>
          <cell r="AK244">
            <v>0</v>
          </cell>
          <cell r="AL244">
            <v>5000</v>
          </cell>
          <cell r="AM244">
            <v>0</v>
          </cell>
          <cell r="AN244">
            <v>0</v>
          </cell>
          <cell r="AO244">
            <v>0</v>
          </cell>
          <cell r="AP244">
            <v>0</v>
          </cell>
          <cell r="AQ244">
            <v>3564</v>
          </cell>
          <cell r="AR244">
            <v>27764</v>
          </cell>
          <cell r="AS244">
            <v>13.18</v>
          </cell>
        </row>
        <row r="245">
          <cell r="P245">
            <v>7</v>
          </cell>
          <cell r="S245" t="str">
            <v xml:space="preserve"> </v>
          </cell>
        </row>
        <row r="246">
          <cell r="G246">
            <v>2364</v>
          </cell>
          <cell r="H246" t="str">
            <v>MR K. VINEESH KUMAR</v>
          </cell>
          <cell r="I246">
            <v>27072</v>
          </cell>
          <cell r="J246">
            <v>35961</v>
          </cell>
          <cell r="K246">
            <v>10206</v>
          </cell>
          <cell r="L246" t="str">
            <v>MA</v>
          </cell>
          <cell r="M246">
            <v>21</v>
          </cell>
          <cell r="N246" t="str">
            <v>A1</v>
          </cell>
          <cell r="O246" t="str">
            <v>MA</v>
          </cell>
          <cell r="P246">
            <v>7</v>
          </cell>
          <cell r="Q246" t="str">
            <v>Other Locations</v>
          </cell>
          <cell r="R246" t="str">
            <v>Ernakulam (Kerela)</v>
          </cell>
          <cell r="S246" t="str">
            <v xml:space="preserve"> </v>
          </cell>
          <cell r="T246" t="str">
            <v>CL</v>
          </cell>
          <cell r="U246">
            <v>2001</v>
          </cell>
          <cell r="V246">
            <v>18000</v>
          </cell>
          <cell r="W246">
            <v>4505</v>
          </cell>
          <cell r="X246">
            <v>3500</v>
          </cell>
          <cell r="AA246">
            <v>500</v>
          </cell>
          <cell r="AB246">
            <v>150</v>
          </cell>
          <cell r="AD246" t="str">
            <v>CV</v>
          </cell>
          <cell r="AE246">
            <v>0</v>
          </cell>
          <cell r="AG246">
            <v>2750</v>
          </cell>
          <cell r="AH246">
            <v>11405</v>
          </cell>
          <cell r="AI246">
            <v>136860</v>
          </cell>
          <cell r="AJ246">
            <v>17500</v>
          </cell>
          <cell r="AK246">
            <v>20000</v>
          </cell>
          <cell r="AL246">
            <v>10000</v>
          </cell>
          <cell r="AQ246">
            <v>14596</v>
          </cell>
          <cell r="AR246">
            <v>198956</v>
          </cell>
        </row>
        <row r="247">
          <cell r="M247">
            <v>21</v>
          </cell>
          <cell r="N247" t="str">
            <v>A1</v>
          </cell>
          <cell r="P247">
            <v>7</v>
          </cell>
          <cell r="S247" t="str">
            <v xml:space="preserve"> </v>
          </cell>
          <cell r="U247">
            <v>2002</v>
          </cell>
          <cell r="W247">
            <v>5155</v>
          </cell>
          <cell r="X247">
            <v>4000</v>
          </cell>
          <cell r="Z247">
            <v>0</v>
          </cell>
          <cell r="AA247">
            <v>500</v>
          </cell>
          <cell r="AB247">
            <v>150</v>
          </cell>
          <cell r="AC247">
            <v>0</v>
          </cell>
          <cell r="AF247">
            <v>0</v>
          </cell>
          <cell r="AG247">
            <v>2750</v>
          </cell>
          <cell r="AH247">
            <v>12555</v>
          </cell>
          <cell r="AI247">
            <v>150660</v>
          </cell>
          <cell r="AJ247">
            <v>17500</v>
          </cell>
          <cell r="AK247">
            <v>20000</v>
          </cell>
          <cell r="AL247">
            <v>15000</v>
          </cell>
          <cell r="AM247">
            <v>0</v>
          </cell>
          <cell r="AN247">
            <v>0</v>
          </cell>
          <cell r="AO247">
            <v>0</v>
          </cell>
          <cell r="AP247">
            <v>0</v>
          </cell>
          <cell r="AQ247">
            <v>16702</v>
          </cell>
          <cell r="AR247">
            <v>219862</v>
          </cell>
          <cell r="AS247">
            <v>0</v>
          </cell>
        </row>
        <row r="248">
          <cell r="P248">
            <v>7</v>
          </cell>
          <cell r="S248" t="str">
            <v xml:space="preserve"> </v>
          </cell>
          <cell r="U248" t="str">
            <v>DIFF.</v>
          </cell>
          <cell r="W248">
            <v>650</v>
          </cell>
          <cell r="X248">
            <v>500</v>
          </cell>
          <cell r="Z248">
            <v>0</v>
          </cell>
          <cell r="AA248">
            <v>0</v>
          </cell>
          <cell r="AB248">
            <v>0</v>
          </cell>
          <cell r="AC248">
            <v>0</v>
          </cell>
          <cell r="AE248">
            <v>0</v>
          </cell>
          <cell r="AF248">
            <v>0</v>
          </cell>
          <cell r="AG248">
            <v>0</v>
          </cell>
          <cell r="AH248">
            <v>1150</v>
          </cell>
          <cell r="AI248">
            <v>13800</v>
          </cell>
          <cell r="AJ248">
            <v>0</v>
          </cell>
          <cell r="AK248">
            <v>0</v>
          </cell>
          <cell r="AL248">
            <v>5000</v>
          </cell>
          <cell r="AM248">
            <v>0</v>
          </cell>
          <cell r="AN248">
            <v>0</v>
          </cell>
          <cell r="AO248">
            <v>0</v>
          </cell>
          <cell r="AP248">
            <v>0</v>
          </cell>
          <cell r="AQ248">
            <v>2106</v>
          </cell>
          <cell r="AR248">
            <v>20906</v>
          </cell>
          <cell r="AS248">
            <v>10.51</v>
          </cell>
        </row>
        <row r="249">
          <cell r="P249">
            <v>7</v>
          </cell>
          <cell r="S249" t="str">
            <v xml:space="preserve"> </v>
          </cell>
        </row>
        <row r="250">
          <cell r="G250">
            <v>2365</v>
          </cell>
          <cell r="H250" t="str">
            <v>MR K. DHARMARAJ</v>
          </cell>
          <cell r="I250">
            <v>26339</v>
          </cell>
          <cell r="J250">
            <v>36040</v>
          </cell>
          <cell r="K250">
            <v>10939</v>
          </cell>
          <cell r="L250" t="str">
            <v>MA</v>
          </cell>
          <cell r="M250">
            <v>21</v>
          </cell>
          <cell r="N250" t="str">
            <v>A1</v>
          </cell>
          <cell r="O250" t="str">
            <v>MA</v>
          </cell>
          <cell r="P250">
            <v>7</v>
          </cell>
          <cell r="Q250" t="str">
            <v>Other Locations</v>
          </cell>
          <cell r="R250" t="str">
            <v>Pollachi (Kerela)</v>
          </cell>
          <cell r="S250" t="str">
            <v xml:space="preserve"> </v>
          </cell>
          <cell r="T250" t="str">
            <v>CL</v>
          </cell>
          <cell r="U250">
            <v>2001</v>
          </cell>
          <cell r="V250">
            <v>18000</v>
          </cell>
          <cell r="W250">
            <v>4570</v>
          </cell>
          <cell r="X250">
            <v>3500</v>
          </cell>
          <cell r="AA250">
            <v>500</v>
          </cell>
          <cell r="AB250">
            <v>150</v>
          </cell>
          <cell r="AD250" t="str">
            <v>CV</v>
          </cell>
          <cell r="AE250">
            <v>0</v>
          </cell>
          <cell r="AG250">
            <v>2750</v>
          </cell>
          <cell r="AH250">
            <v>11470</v>
          </cell>
          <cell r="AI250">
            <v>137640</v>
          </cell>
          <cell r="AJ250">
            <v>17500</v>
          </cell>
          <cell r="AK250">
            <v>20000</v>
          </cell>
          <cell r="AL250">
            <v>10000</v>
          </cell>
          <cell r="AQ250">
            <v>14807</v>
          </cell>
          <cell r="AR250">
            <v>199947</v>
          </cell>
        </row>
        <row r="251">
          <cell r="M251">
            <v>21</v>
          </cell>
          <cell r="N251" t="str">
            <v>A1</v>
          </cell>
          <cell r="P251">
            <v>7</v>
          </cell>
          <cell r="S251" t="str">
            <v xml:space="preserve"> </v>
          </cell>
          <cell r="U251">
            <v>2002</v>
          </cell>
          <cell r="W251">
            <v>5220</v>
          </cell>
          <cell r="X251">
            <v>4000</v>
          </cell>
          <cell r="Z251">
            <v>0</v>
          </cell>
          <cell r="AA251">
            <v>500</v>
          </cell>
          <cell r="AB251">
            <v>150</v>
          </cell>
          <cell r="AC251">
            <v>0</v>
          </cell>
          <cell r="AF251">
            <v>0</v>
          </cell>
          <cell r="AG251">
            <v>2750</v>
          </cell>
          <cell r="AH251">
            <v>12620</v>
          </cell>
          <cell r="AI251">
            <v>151440</v>
          </cell>
          <cell r="AJ251">
            <v>17500</v>
          </cell>
          <cell r="AK251">
            <v>20000</v>
          </cell>
          <cell r="AL251">
            <v>15000</v>
          </cell>
          <cell r="AM251">
            <v>0</v>
          </cell>
          <cell r="AN251">
            <v>0</v>
          </cell>
          <cell r="AO251">
            <v>0</v>
          </cell>
          <cell r="AP251">
            <v>0</v>
          </cell>
          <cell r="AQ251">
            <v>16913</v>
          </cell>
          <cell r="AR251">
            <v>220853</v>
          </cell>
          <cell r="AS251">
            <v>0</v>
          </cell>
        </row>
        <row r="252">
          <cell r="P252">
            <v>7</v>
          </cell>
          <cell r="S252" t="str">
            <v xml:space="preserve"> </v>
          </cell>
          <cell r="U252" t="str">
            <v>DIFF.</v>
          </cell>
          <cell r="W252">
            <v>650</v>
          </cell>
          <cell r="X252">
            <v>500</v>
          </cell>
          <cell r="Z252">
            <v>0</v>
          </cell>
          <cell r="AA252">
            <v>0</v>
          </cell>
          <cell r="AB252">
            <v>0</v>
          </cell>
          <cell r="AC252">
            <v>0</v>
          </cell>
          <cell r="AE252">
            <v>0</v>
          </cell>
          <cell r="AF252">
            <v>0</v>
          </cell>
          <cell r="AG252">
            <v>0</v>
          </cell>
          <cell r="AH252">
            <v>1150</v>
          </cell>
          <cell r="AI252">
            <v>13800</v>
          </cell>
          <cell r="AJ252">
            <v>0</v>
          </cell>
          <cell r="AK252">
            <v>0</v>
          </cell>
          <cell r="AL252">
            <v>5000</v>
          </cell>
          <cell r="AM252">
            <v>0</v>
          </cell>
          <cell r="AN252">
            <v>0</v>
          </cell>
          <cell r="AO252">
            <v>0</v>
          </cell>
          <cell r="AP252">
            <v>0</v>
          </cell>
          <cell r="AQ252">
            <v>2106</v>
          </cell>
          <cell r="AR252">
            <v>20906</v>
          </cell>
          <cell r="AS252">
            <v>10.46</v>
          </cell>
        </row>
        <row r="253">
          <cell r="P253">
            <v>7</v>
          </cell>
          <cell r="S253" t="str">
            <v xml:space="preserve"> </v>
          </cell>
        </row>
        <row r="254">
          <cell r="G254">
            <v>2375</v>
          </cell>
          <cell r="H254" t="str">
            <v>MR KETAN P. PATEL</v>
          </cell>
          <cell r="I254">
            <v>27857</v>
          </cell>
          <cell r="J254">
            <v>36222</v>
          </cell>
          <cell r="K254">
            <v>9421</v>
          </cell>
          <cell r="L254" t="str">
            <v>MA</v>
          </cell>
          <cell r="M254">
            <v>21</v>
          </cell>
          <cell r="N254" t="str">
            <v>A1</v>
          </cell>
          <cell r="O254" t="str">
            <v>MA</v>
          </cell>
          <cell r="P254">
            <v>7</v>
          </cell>
          <cell r="Q254" t="str">
            <v>Other Locations</v>
          </cell>
          <cell r="R254" t="str">
            <v>Baroda (Guj)</v>
          </cell>
          <cell r="S254" t="str">
            <v xml:space="preserve"> </v>
          </cell>
          <cell r="T254" t="str">
            <v>BL</v>
          </cell>
          <cell r="U254">
            <v>2001</v>
          </cell>
          <cell r="V254">
            <v>21150</v>
          </cell>
          <cell r="W254">
            <v>3675</v>
          </cell>
          <cell r="X254">
            <v>3500</v>
          </cell>
          <cell r="AA254">
            <v>500</v>
          </cell>
          <cell r="AB254">
            <v>150</v>
          </cell>
          <cell r="AD254" t="str">
            <v>CV</v>
          </cell>
          <cell r="AE254">
            <v>0</v>
          </cell>
          <cell r="AG254">
            <v>2750</v>
          </cell>
          <cell r="AH254">
            <v>10575</v>
          </cell>
          <cell r="AI254">
            <v>126900</v>
          </cell>
          <cell r="AJ254">
            <v>17500</v>
          </cell>
          <cell r="AK254">
            <v>20000</v>
          </cell>
          <cell r="AL254">
            <v>10000</v>
          </cell>
          <cell r="AQ254">
            <v>11907</v>
          </cell>
          <cell r="AR254">
            <v>186307</v>
          </cell>
        </row>
        <row r="255">
          <cell r="M255">
            <v>21</v>
          </cell>
          <cell r="N255" t="str">
            <v>A1</v>
          </cell>
          <cell r="P255">
            <v>7</v>
          </cell>
          <cell r="S255" t="str">
            <v xml:space="preserve"> </v>
          </cell>
          <cell r="U255">
            <v>2002</v>
          </cell>
          <cell r="W255">
            <v>4625</v>
          </cell>
          <cell r="X255">
            <v>4000</v>
          </cell>
          <cell r="Z255">
            <v>0</v>
          </cell>
          <cell r="AA255">
            <v>500</v>
          </cell>
          <cell r="AB255">
            <v>150</v>
          </cell>
          <cell r="AC255">
            <v>0</v>
          </cell>
          <cell r="AF255">
            <v>0</v>
          </cell>
          <cell r="AG255">
            <v>2750</v>
          </cell>
          <cell r="AH255">
            <v>12025</v>
          </cell>
          <cell r="AI255">
            <v>144300</v>
          </cell>
          <cell r="AJ255">
            <v>17500</v>
          </cell>
          <cell r="AK255">
            <v>20000</v>
          </cell>
          <cell r="AL255">
            <v>15000</v>
          </cell>
          <cell r="AM255">
            <v>0</v>
          </cell>
          <cell r="AN255">
            <v>0</v>
          </cell>
          <cell r="AO255">
            <v>0</v>
          </cell>
          <cell r="AP255">
            <v>0</v>
          </cell>
          <cell r="AQ255">
            <v>14985</v>
          </cell>
          <cell r="AR255">
            <v>211785</v>
          </cell>
          <cell r="AS255">
            <v>0</v>
          </cell>
        </row>
        <row r="256">
          <cell r="P256">
            <v>7</v>
          </cell>
          <cell r="S256" t="str">
            <v xml:space="preserve"> </v>
          </cell>
          <cell r="U256" t="str">
            <v>DIFF.</v>
          </cell>
          <cell r="W256">
            <v>950</v>
          </cell>
          <cell r="X256">
            <v>500</v>
          </cell>
          <cell r="Z256">
            <v>0</v>
          </cell>
          <cell r="AA256">
            <v>0</v>
          </cell>
          <cell r="AB256">
            <v>0</v>
          </cell>
          <cell r="AC256">
            <v>0</v>
          </cell>
          <cell r="AE256">
            <v>0</v>
          </cell>
          <cell r="AF256">
            <v>0</v>
          </cell>
          <cell r="AG256">
            <v>0</v>
          </cell>
          <cell r="AH256">
            <v>1450</v>
          </cell>
          <cell r="AI256">
            <v>17400</v>
          </cell>
          <cell r="AJ256">
            <v>0</v>
          </cell>
          <cell r="AK256">
            <v>0</v>
          </cell>
          <cell r="AL256">
            <v>5000</v>
          </cell>
          <cell r="AM256">
            <v>0</v>
          </cell>
          <cell r="AN256">
            <v>0</v>
          </cell>
          <cell r="AO256">
            <v>0</v>
          </cell>
          <cell r="AP256">
            <v>0</v>
          </cell>
          <cell r="AQ256">
            <v>3078</v>
          </cell>
          <cell r="AR256">
            <v>25478</v>
          </cell>
          <cell r="AS256">
            <v>13.68</v>
          </cell>
        </row>
        <row r="257">
          <cell r="P257">
            <v>7</v>
          </cell>
          <cell r="S257" t="str">
            <v xml:space="preserve"> </v>
          </cell>
        </row>
        <row r="258">
          <cell r="G258">
            <v>2379</v>
          </cell>
          <cell r="H258" t="str">
            <v>MR M. JOSHUAH</v>
          </cell>
          <cell r="I258">
            <v>26764</v>
          </cell>
          <cell r="J258">
            <v>36236</v>
          </cell>
          <cell r="K258">
            <v>10514</v>
          </cell>
          <cell r="L258" t="str">
            <v>MA</v>
          </cell>
          <cell r="M258">
            <v>21</v>
          </cell>
          <cell r="N258" t="str">
            <v>A1</v>
          </cell>
          <cell r="O258" t="str">
            <v>MA</v>
          </cell>
          <cell r="P258">
            <v>7</v>
          </cell>
          <cell r="Q258" t="str">
            <v>Other Locations</v>
          </cell>
          <cell r="R258" t="str">
            <v>Salem (  )</v>
          </cell>
          <cell r="S258" t="str">
            <v xml:space="preserve"> </v>
          </cell>
          <cell r="T258" t="str">
            <v>CL</v>
          </cell>
          <cell r="U258">
            <v>2001</v>
          </cell>
          <cell r="V258">
            <v>18000</v>
          </cell>
          <cell r="W258">
            <v>3900</v>
          </cell>
          <cell r="X258">
            <v>3500</v>
          </cell>
          <cell r="AA258">
            <v>500</v>
          </cell>
          <cell r="AB258">
            <v>150</v>
          </cell>
          <cell r="AD258" t="str">
            <v>CV</v>
          </cell>
          <cell r="AE258">
            <v>0</v>
          </cell>
          <cell r="AG258">
            <v>2750</v>
          </cell>
          <cell r="AH258">
            <v>10800</v>
          </cell>
          <cell r="AI258">
            <v>129600</v>
          </cell>
          <cell r="AJ258">
            <v>17500</v>
          </cell>
          <cell r="AK258">
            <v>20000</v>
          </cell>
          <cell r="AL258">
            <v>10000</v>
          </cell>
          <cell r="AQ258">
            <v>12636</v>
          </cell>
          <cell r="AR258">
            <v>189736</v>
          </cell>
        </row>
        <row r="259">
          <cell r="M259">
            <v>21</v>
          </cell>
          <cell r="N259" t="str">
            <v>A1</v>
          </cell>
          <cell r="P259">
            <v>7</v>
          </cell>
          <cell r="S259" t="str">
            <v xml:space="preserve"> </v>
          </cell>
          <cell r="U259">
            <v>2002</v>
          </cell>
          <cell r="W259">
            <v>4550</v>
          </cell>
          <cell r="X259">
            <v>4000</v>
          </cell>
          <cell r="Z259">
            <v>0</v>
          </cell>
          <cell r="AA259">
            <v>500</v>
          </cell>
          <cell r="AB259">
            <v>150</v>
          </cell>
          <cell r="AC259">
            <v>0</v>
          </cell>
          <cell r="AF259">
            <v>0</v>
          </cell>
          <cell r="AG259">
            <v>2750</v>
          </cell>
          <cell r="AH259">
            <v>11950</v>
          </cell>
          <cell r="AI259">
            <v>143400</v>
          </cell>
          <cell r="AJ259">
            <v>17500</v>
          </cell>
          <cell r="AK259">
            <v>20000</v>
          </cell>
          <cell r="AL259">
            <v>15000</v>
          </cell>
          <cell r="AM259">
            <v>0</v>
          </cell>
          <cell r="AN259">
            <v>0</v>
          </cell>
          <cell r="AO259">
            <v>0</v>
          </cell>
          <cell r="AP259">
            <v>0</v>
          </cell>
          <cell r="AQ259">
            <v>14742</v>
          </cell>
          <cell r="AR259">
            <v>210642</v>
          </cell>
          <cell r="AS259">
            <v>0</v>
          </cell>
        </row>
        <row r="260">
          <cell r="P260">
            <v>7</v>
          </cell>
          <cell r="S260" t="str">
            <v xml:space="preserve"> </v>
          </cell>
          <cell r="U260" t="str">
            <v>DIFF.</v>
          </cell>
          <cell r="W260">
            <v>650</v>
          </cell>
          <cell r="X260">
            <v>500</v>
          </cell>
          <cell r="Z260">
            <v>0</v>
          </cell>
          <cell r="AA260">
            <v>0</v>
          </cell>
          <cell r="AB260">
            <v>0</v>
          </cell>
          <cell r="AC260">
            <v>0</v>
          </cell>
          <cell r="AE260">
            <v>0</v>
          </cell>
          <cell r="AF260">
            <v>0</v>
          </cell>
          <cell r="AG260">
            <v>0</v>
          </cell>
          <cell r="AH260">
            <v>1150</v>
          </cell>
          <cell r="AI260">
            <v>13800</v>
          </cell>
          <cell r="AJ260">
            <v>0</v>
          </cell>
          <cell r="AK260">
            <v>0</v>
          </cell>
          <cell r="AL260">
            <v>5000</v>
          </cell>
          <cell r="AM260">
            <v>0</v>
          </cell>
          <cell r="AN260">
            <v>0</v>
          </cell>
          <cell r="AO260">
            <v>0</v>
          </cell>
          <cell r="AP260">
            <v>0</v>
          </cell>
          <cell r="AQ260">
            <v>2106</v>
          </cell>
          <cell r="AR260">
            <v>20906</v>
          </cell>
          <cell r="AS260">
            <v>11.02</v>
          </cell>
        </row>
        <row r="261">
          <cell r="P261">
            <v>7</v>
          </cell>
          <cell r="S261" t="str">
            <v xml:space="preserve"> </v>
          </cell>
        </row>
        <row r="262">
          <cell r="G262">
            <v>2380</v>
          </cell>
          <cell r="H262" t="str">
            <v>MR VEMANA P. CHAKRAVARTHI</v>
          </cell>
          <cell r="I262">
            <v>26423</v>
          </cell>
          <cell r="J262">
            <v>36251</v>
          </cell>
          <cell r="K262">
            <v>10855</v>
          </cell>
          <cell r="L262" t="str">
            <v>MA</v>
          </cell>
          <cell r="M262">
            <v>21</v>
          </cell>
          <cell r="N262" t="str">
            <v>A1</v>
          </cell>
          <cell r="O262" t="str">
            <v>MA</v>
          </cell>
          <cell r="P262">
            <v>7</v>
          </cell>
          <cell r="Q262" t="str">
            <v>Other Locations</v>
          </cell>
          <cell r="R262" t="str">
            <v>Vijaywada (Ap)</v>
          </cell>
          <cell r="S262" t="str">
            <v xml:space="preserve"> </v>
          </cell>
          <cell r="T262" t="str">
            <v>CA</v>
          </cell>
          <cell r="U262">
            <v>2001</v>
          </cell>
          <cell r="V262">
            <v>18000</v>
          </cell>
          <cell r="W262">
            <v>3770</v>
          </cell>
          <cell r="X262">
            <v>3500</v>
          </cell>
          <cell r="AA262">
            <v>500</v>
          </cell>
          <cell r="AB262">
            <v>150</v>
          </cell>
          <cell r="AD262" t="str">
            <v>CV</v>
          </cell>
          <cell r="AE262">
            <v>0</v>
          </cell>
          <cell r="AG262">
            <v>2750</v>
          </cell>
          <cell r="AH262">
            <v>10670</v>
          </cell>
          <cell r="AI262">
            <v>128040</v>
          </cell>
          <cell r="AJ262">
            <v>17500</v>
          </cell>
          <cell r="AK262">
            <v>20000</v>
          </cell>
          <cell r="AL262">
            <v>10000</v>
          </cell>
          <cell r="AQ262">
            <v>12215</v>
          </cell>
          <cell r="AR262">
            <v>187755</v>
          </cell>
        </row>
        <row r="263">
          <cell r="M263">
            <v>21</v>
          </cell>
          <cell r="N263" t="str">
            <v>A1</v>
          </cell>
          <cell r="P263">
            <v>7</v>
          </cell>
          <cell r="S263" t="str">
            <v xml:space="preserve"> </v>
          </cell>
          <cell r="U263">
            <v>2002</v>
          </cell>
          <cell r="W263">
            <v>4520</v>
          </cell>
          <cell r="X263">
            <v>4000</v>
          </cell>
          <cell r="Z263">
            <v>0</v>
          </cell>
          <cell r="AA263">
            <v>500</v>
          </cell>
          <cell r="AB263">
            <v>150</v>
          </cell>
          <cell r="AC263">
            <v>0</v>
          </cell>
          <cell r="AF263">
            <v>0</v>
          </cell>
          <cell r="AG263">
            <v>2750</v>
          </cell>
          <cell r="AH263">
            <v>11920</v>
          </cell>
          <cell r="AI263">
            <v>143040</v>
          </cell>
          <cell r="AJ263">
            <v>17500</v>
          </cell>
          <cell r="AK263">
            <v>20000</v>
          </cell>
          <cell r="AL263">
            <v>15000</v>
          </cell>
          <cell r="AM263">
            <v>0</v>
          </cell>
          <cell r="AN263">
            <v>0</v>
          </cell>
          <cell r="AO263">
            <v>0</v>
          </cell>
          <cell r="AP263">
            <v>0</v>
          </cell>
          <cell r="AQ263">
            <v>14645</v>
          </cell>
          <cell r="AR263">
            <v>210185</v>
          </cell>
          <cell r="AS263">
            <v>0</v>
          </cell>
        </row>
        <row r="264">
          <cell r="P264">
            <v>7</v>
          </cell>
          <cell r="S264" t="str">
            <v xml:space="preserve"> </v>
          </cell>
          <cell r="U264" t="str">
            <v>DIFF.</v>
          </cell>
          <cell r="W264">
            <v>750</v>
          </cell>
          <cell r="X264">
            <v>500</v>
          </cell>
          <cell r="Z264">
            <v>0</v>
          </cell>
          <cell r="AA264">
            <v>0</v>
          </cell>
          <cell r="AB264">
            <v>0</v>
          </cell>
          <cell r="AC264">
            <v>0</v>
          </cell>
          <cell r="AE264">
            <v>0</v>
          </cell>
          <cell r="AF264">
            <v>0</v>
          </cell>
          <cell r="AG264">
            <v>0</v>
          </cell>
          <cell r="AH264">
            <v>1250</v>
          </cell>
          <cell r="AI264">
            <v>15000</v>
          </cell>
          <cell r="AJ264">
            <v>0</v>
          </cell>
          <cell r="AK264">
            <v>0</v>
          </cell>
          <cell r="AL264">
            <v>5000</v>
          </cell>
          <cell r="AM264">
            <v>0</v>
          </cell>
          <cell r="AN264">
            <v>0</v>
          </cell>
          <cell r="AO264">
            <v>0</v>
          </cell>
          <cell r="AP264">
            <v>0</v>
          </cell>
          <cell r="AQ264">
            <v>2430</v>
          </cell>
          <cell r="AR264">
            <v>22430</v>
          </cell>
          <cell r="AS264">
            <v>11.95</v>
          </cell>
        </row>
        <row r="265">
          <cell r="P265">
            <v>7</v>
          </cell>
          <cell r="S265" t="str">
            <v xml:space="preserve"> </v>
          </cell>
        </row>
        <row r="266">
          <cell r="G266">
            <v>2389</v>
          </cell>
          <cell r="H266" t="str">
            <v>MR CHIRAG B. PARIKH</v>
          </cell>
          <cell r="I266">
            <v>27740</v>
          </cell>
          <cell r="J266">
            <v>36300</v>
          </cell>
          <cell r="K266">
            <v>9538</v>
          </cell>
          <cell r="L266" t="str">
            <v>MA</v>
          </cell>
          <cell r="M266">
            <v>21</v>
          </cell>
          <cell r="N266" t="str">
            <v>A1</v>
          </cell>
          <cell r="O266" t="str">
            <v>MA</v>
          </cell>
          <cell r="P266">
            <v>7</v>
          </cell>
          <cell r="Q266" t="str">
            <v>Other Locations</v>
          </cell>
          <cell r="R266" t="str">
            <v>Bharuch (Guj)</v>
          </cell>
          <cell r="S266" t="str">
            <v xml:space="preserve"> </v>
          </cell>
          <cell r="T266" t="str">
            <v>CL</v>
          </cell>
          <cell r="U266">
            <v>2001</v>
          </cell>
          <cell r="V266">
            <v>18000</v>
          </cell>
          <cell r="W266">
            <v>3640</v>
          </cell>
          <cell r="X266">
            <v>3500</v>
          </cell>
          <cell r="AA266">
            <v>500</v>
          </cell>
          <cell r="AB266">
            <v>150</v>
          </cell>
          <cell r="AD266" t="str">
            <v>CV</v>
          </cell>
          <cell r="AE266">
            <v>0</v>
          </cell>
          <cell r="AG266">
            <v>2750</v>
          </cell>
          <cell r="AH266">
            <v>10540</v>
          </cell>
          <cell r="AI266">
            <v>126480</v>
          </cell>
          <cell r="AJ266">
            <v>17500</v>
          </cell>
          <cell r="AK266">
            <v>20000</v>
          </cell>
          <cell r="AL266">
            <v>10000</v>
          </cell>
          <cell r="AQ266">
            <v>11794</v>
          </cell>
          <cell r="AR266">
            <v>185774</v>
          </cell>
        </row>
        <row r="267">
          <cell r="M267">
            <v>21</v>
          </cell>
          <cell r="N267" t="str">
            <v>A1</v>
          </cell>
          <cell r="P267">
            <v>7</v>
          </cell>
          <cell r="S267" t="str">
            <v xml:space="preserve"> </v>
          </cell>
          <cell r="U267">
            <v>2002</v>
          </cell>
          <cell r="W267">
            <v>4290</v>
          </cell>
          <cell r="X267">
            <v>4000</v>
          </cell>
          <cell r="Z267">
            <v>0</v>
          </cell>
          <cell r="AA267">
            <v>500</v>
          </cell>
          <cell r="AB267">
            <v>150</v>
          </cell>
          <cell r="AC267">
            <v>0</v>
          </cell>
          <cell r="AF267">
            <v>0</v>
          </cell>
          <cell r="AG267">
            <v>2750</v>
          </cell>
          <cell r="AH267">
            <v>11690</v>
          </cell>
          <cell r="AI267">
            <v>140280</v>
          </cell>
          <cell r="AJ267">
            <v>17500</v>
          </cell>
          <cell r="AK267">
            <v>20000</v>
          </cell>
          <cell r="AL267">
            <v>15000</v>
          </cell>
          <cell r="AM267">
            <v>0</v>
          </cell>
          <cell r="AN267">
            <v>0</v>
          </cell>
          <cell r="AO267">
            <v>0</v>
          </cell>
          <cell r="AP267">
            <v>0</v>
          </cell>
          <cell r="AQ267">
            <v>13900</v>
          </cell>
          <cell r="AR267">
            <v>206680</v>
          </cell>
          <cell r="AS267">
            <v>0</v>
          </cell>
        </row>
        <row r="268">
          <cell r="P268">
            <v>7</v>
          </cell>
          <cell r="S268" t="str">
            <v xml:space="preserve"> </v>
          </cell>
          <cell r="U268" t="str">
            <v>DIFF.</v>
          </cell>
          <cell r="W268">
            <v>650</v>
          </cell>
          <cell r="X268">
            <v>500</v>
          </cell>
          <cell r="Z268">
            <v>0</v>
          </cell>
          <cell r="AA268">
            <v>0</v>
          </cell>
          <cell r="AB268">
            <v>0</v>
          </cell>
          <cell r="AC268">
            <v>0</v>
          </cell>
          <cell r="AE268">
            <v>0</v>
          </cell>
          <cell r="AF268">
            <v>0</v>
          </cell>
          <cell r="AG268">
            <v>0</v>
          </cell>
          <cell r="AH268">
            <v>1150</v>
          </cell>
          <cell r="AI268">
            <v>13800</v>
          </cell>
          <cell r="AJ268">
            <v>0</v>
          </cell>
          <cell r="AK268">
            <v>0</v>
          </cell>
          <cell r="AL268">
            <v>5000</v>
          </cell>
          <cell r="AM268">
            <v>0</v>
          </cell>
          <cell r="AN268">
            <v>0</v>
          </cell>
          <cell r="AO268">
            <v>0</v>
          </cell>
          <cell r="AP268">
            <v>0</v>
          </cell>
          <cell r="AQ268">
            <v>2106</v>
          </cell>
          <cell r="AR268">
            <v>20906</v>
          </cell>
          <cell r="AS268">
            <v>11.25</v>
          </cell>
        </row>
        <row r="269">
          <cell r="P269">
            <v>7</v>
          </cell>
          <cell r="S269" t="str">
            <v xml:space="preserve"> </v>
          </cell>
        </row>
        <row r="270">
          <cell r="G270">
            <v>2395</v>
          </cell>
          <cell r="H270" t="str">
            <v>MR OPINDER SINGH</v>
          </cell>
          <cell r="I270">
            <v>25919</v>
          </cell>
          <cell r="J270">
            <v>36368</v>
          </cell>
          <cell r="K270">
            <v>11359</v>
          </cell>
          <cell r="L270" t="str">
            <v>MA</v>
          </cell>
          <cell r="M270">
            <v>21</v>
          </cell>
          <cell r="N270" t="str">
            <v>A1</v>
          </cell>
          <cell r="O270" t="str">
            <v>MA</v>
          </cell>
          <cell r="P270">
            <v>7</v>
          </cell>
          <cell r="Q270" t="str">
            <v>Other Locations</v>
          </cell>
          <cell r="R270" t="str">
            <v>Jalandhar (Punjab)</v>
          </cell>
          <cell r="S270" t="str">
            <v xml:space="preserve"> </v>
          </cell>
          <cell r="T270" t="str">
            <v>CL</v>
          </cell>
          <cell r="U270">
            <v>2001</v>
          </cell>
          <cell r="V270">
            <v>18000</v>
          </cell>
          <cell r="W270">
            <v>3680</v>
          </cell>
          <cell r="X270">
            <v>3500</v>
          </cell>
          <cell r="AA270">
            <v>500</v>
          </cell>
          <cell r="AB270">
            <v>150</v>
          </cell>
          <cell r="AD270" t="str">
            <v>CV</v>
          </cell>
          <cell r="AE270">
            <v>0</v>
          </cell>
          <cell r="AG270">
            <v>2750</v>
          </cell>
          <cell r="AH270">
            <v>10580</v>
          </cell>
          <cell r="AI270">
            <v>126960</v>
          </cell>
          <cell r="AJ270">
            <v>17500</v>
          </cell>
          <cell r="AK270">
            <v>20000</v>
          </cell>
          <cell r="AL270">
            <v>10000</v>
          </cell>
          <cell r="AQ270">
            <v>11923</v>
          </cell>
          <cell r="AR270">
            <v>186383</v>
          </cell>
        </row>
        <row r="271">
          <cell r="M271">
            <v>21</v>
          </cell>
          <cell r="N271" t="str">
            <v>A1</v>
          </cell>
          <cell r="P271">
            <v>7</v>
          </cell>
          <cell r="S271" t="str">
            <v xml:space="preserve"> </v>
          </cell>
          <cell r="U271">
            <v>2002</v>
          </cell>
          <cell r="W271">
            <v>4330</v>
          </cell>
          <cell r="X271">
            <v>4000</v>
          </cell>
          <cell r="Z271">
            <v>0</v>
          </cell>
          <cell r="AA271">
            <v>500</v>
          </cell>
          <cell r="AB271">
            <v>150</v>
          </cell>
          <cell r="AC271">
            <v>0</v>
          </cell>
          <cell r="AF271">
            <v>0</v>
          </cell>
          <cell r="AG271">
            <v>2750</v>
          </cell>
          <cell r="AH271">
            <v>11730</v>
          </cell>
          <cell r="AI271">
            <v>140760</v>
          </cell>
          <cell r="AJ271">
            <v>17500</v>
          </cell>
          <cell r="AK271">
            <v>20000</v>
          </cell>
          <cell r="AL271">
            <v>15000</v>
          </cell>
          <cell r="AM271">
            <v>0</v>
          </cell>
          <cell r="AN271">
            <v>0</v>
          </cell>
          <cell r="AO271">
            <v>0</v>
          </cell>
          <cell r="AP271">
            <v>0</v>
          </cell>
          <cell r="AQ271">
            <v>14029</v>
          </cell>
          <cell r="AR271">
            <v>207289</v>
          </cell>
          <cell r="AS271">
            <v>0</v>
          </cell>
        </row>
        <row r="272">
          <cell r="P272">
            <v>7</v>
          </cell>
          <cell r="S272" t="str">
            <v xml:space="preserve"> </v>
          </cell>
          <cell r="U272" t="str">
            <v>DIFF.</v>
          </cell>
          <cell r="W272">
            <v>650</v>
          </cell>
          <cell r="X272">
            <v>500</v>
          </cell>
          <cell r="Z272">
            <v>0</v>
          </cell>
          <cell r="AA272">
            <v>0</v>
          </cell>
          <cell r="AB272">
            <v>0</v>
          </cell>
          <cell r="AC272">
            <v>0</v>
          </cell>
          <cell r="AE272">
            <v>0</v>
          </cell>
          <cell r="AF272">
            <v>0</v>
          </cell>
          <cell r="AG272">
            <v>0</v>
          </cell>
          <cell r="AH272">
            <v>1150</v>
          </cell>
          <cell r="AI272">
            <v>13800</v>
          </cell>
          <cell r="AJ272">
            <v>0</v>
          </cell>
          <cell r="AK272">
            <v>0</v>
          </cell>
          <cell r="AL272">
            <v>5000</v>
          </cell>
          <cell r="AM272">
            <v>0</v>
          </cell>
          <cell r="AN272">
            <v>0</v>
          </cell>
          <cell r="AO272">
            <v>0</v>
          </cell>
          <cell r="AP272">
            <v>0</v>
          </cell>
          <cell r="AQ272">
            <v>2106</v>
          </cell>
          <cell r="AR272">
            <v>20906</v>
          </cell>
          <cell r="AS272">
            <v>11.22</v>
          </cell>
        </row>
        <row r="273">
          <cell r="P273">
            <v>7</v>
          </cell>
          <cell r="S273" t="str">
            <v xml:space="preserve"> </v>
          </cell>
        </row>
        <row r="274">
          <cell r="G274">
            <v>2396</v>
          </cell>
          <cell r="H274" t="str">
            <v>MR JAI KRISHNA PANDEY</v>
          </cell>
          <cell r="I274">
            <v>25817</v>
          </cell>
          <cell r="J274">
            <v>36368</v>
          </cell>
          <cell r="K274">
            <v>11461</v>
          </cell>
          <cell r="L274" t="str">
            <v>MA</v>
          </cell>
          <cell r="M274">
            <v>21</v>
          </cell>
          <cell r="N274" t="str">
            <v>A2</v>
          </cell>
          <cell r="O274" t="str">
            <v>MA</v>
          </cell>
          <cell r="P274">
            <v>7</v>
          </cell>
          <cell r="Q274" t="str">
            <v>Other Locations</v>
          </cell>
          <cell r="R274" t="str">
            <v>Kurukshetra (Hp)</v>
          </cell>
          <cell r="S274" t="str">
            <v xml:space="preserve"> </v>
          </cell>
          <cell r="T274" t="str">
            <v>BA</v>
          </cell>
          <cell r="U274">
            <v>2001</v>
          </cell>
          <cell r="V274">
            <v>21150</v>
          </cell>
          <cell r="W274">
            <v>4455</v>
          </cell>
          <cell r="X274">
            <v>3500</v>
          </cell>
          <cell r="AA274">
            <v>500</v>
          </cell>
          <cell r="AB274">
            <v>150</v>
          </cell>
          <cell r="AD274" t="str">
            <v>CV</v>
          </cell>
          <cell r="AE274">
            <v>0</v>
          </cell>
          <cell r="AF274">
            <v>500</v>
          </cell>
          <cell r="AG274">
            <v>2750</v>
          </cell>
          <cell r="AH274">
            <v>11855</v>
          </cell>
          <cell r="AI274">
            <v>142260</v>
          </cell>
          <cell r="AJ274">
            <v>17500</v>
          </cell>
          <cell r="AK274">
            <v>20000</v>
          </cell>
          <cell r="AL274">
            <v>10000</v>
          </cell>
          <cell r="AM274">
            <v>0</v>
          </cell>
          <cell r="AN274">
            <v>0</v>
          </cell>
          <cell r="AO274">
            <v>0</v>
          </cell>
          <cell r="AP274">
            <v>0</v>
          </cell>
          <cell r="AQ274">
            <v>14434</v>
          </cell>
          <cell r="AR274">
            <v>204194</v>
          </cell>
          <cell r="AS274">
            <v>0</v>
          </cell>
        </row>
        <row r="275">
          <cell r="M275">
            <v>21</v>
          </cell>
          <cell r="N275" t="str">
            <v>A2</v>
          </cell>
          <cell r="P275">
            <v>7</v>
          </cell>
          <cell r="S275" t="str">
            <v xml:space="preserve"> </v>
          </cell>
          <cell r="U275">
            <v>2002</v>
          </cell>
          <cell r="W275">
            <v>5555</v>
          </cell>
          <cell r="X275">
            <v>4000</v>
          </cell>
          <cell r="Z275">
            <v>0</v>
          </cell>
          <cell r="AA275">
            <v>500</v>
          </cell>
          <cell r="AB275">
            <v>150</v>
          </cell>
          <cell r="AC275">
            <v>0</v>
          </cell>
          <cell r="AF275">
            <v>500</v>
          </cell>
          <cell r="AG275">
            <v>2750</v>
          </cell>
          <cell r="AH275">
            <v>13455</v>
          </cell>
          <cell r="AI275">
            <v>161460</v>
          </cell>
          <cell r="AJ275">
            <v>17500</v>
          </cell>
          <cell r="AK275">
            <v>20000</v>
          </cell>
          <cell r="AL275">
            <v>15000</v>
          </cell>
          <cell r="AM275">
            <v>0</v>
          </cell>
          <cell r="AN275">
            <v>0</v>
          </cell>
          <cell r="AO275">
            <v>0</v>
          </cell>
          <cell r="AP275">
            <v>0</v>
          </cell>
          <cell r="AQ275">
            <v>17998</v>
          </cell>
          <cell r="AR275">
            <v>231958</v>
          </cell>
          <cell r="AS275">
            <v>0</v>
          </cell>
        </row>
        <row r="276">
          <cell r="P276">
            <v>7</v>
          </cell>
          <cell r="S276" t="str">
            <v xml:space="preserve"> </v>
          </cell>
          <cell r="U276" t="str">
            <v>DIFF.</v>
          </cell>
          <cell r="W276">
            <v>1100</v>
          </cell>
          <cell r="X276">
            <v>500</v>
          </cell>
          <cell r="Z276">
            <v>0</v>
          </cell>
          <cell r="AA276">
            <v>0</v>
          </cell>
          <cell r="AB276">
            <v>0</v>
          </cell>
          <cell r="AC276">
            <v>0</v>
          </cell>
          <cell r="AE276">
            <v>0</v>
          </cell>
          <cell r="AF276">
            <v>0</v>
          </cell>
          <cell r="AG276">
            <v>0</v>
          </cell>
          <cell r="AH276">
            <v>1600</v>
          </cell>
          <cell r="AI276">
            <v>19200</v>
          </cell>
          <cell r="AJ276">
            <v>0</v>
          </cell>
          <cell r="AK276">
            <v>0</v>
          </cell>
          <cell r="AL276">
            <v>5000</v>
          </cell>
          <cell r="AM276">
            <v>0</v>
          </cell>
          <cell r="AN276">
            <v>0</v>
          </cell>
          <cell r="AO276">
            <v>0</v>
          </cell>
          <cell r="AP276">
            <v>0</v>
          </cell>
          <cell r="AQ276">
            <v>3564</v>
          </cell>
          <cell r="AR276">
            <v>27764</v>
          </cell>
          <cell r="AS276">
            <v>13.6</v>
          </cell>
        </row>
        <row r="277">
          <cell r="P277">
            <v>7</v>
          </cell>
          <cell r="S277" t="str">
            <v xml:space="preserve"> </v>
          </cell>
        </row>
        <row r="278">
          <cell r="G278">
            <v>2397</v>
          </cell>
          <cell r="H278" t="str">
            <v>MR PRADEEP KUMAR GANGWAR</v>
          </cell>
          <cell r="I278">
            <v>25396</v>
          </cell>
          <cell r="J278">
            <v>36373</v>
          </cell>
          <cell r="K278">
            <v>11882</v>
          </cell>
          <cell r="L278" t="str">
            <v>MA</v>
          </cell>
          <cell r="M278">
            <v>21</v>
          </cell>
          <cell r="N278" t="str">
            <v>A1</v>
          </cell>
          <cell r="O278" t="str">
            <v>MA</v>
          </cell>
          <cell r="P278">
            <v>7</v>
          </cell>
          <cell r="Q278" t="str">
            <v>Other Locations</v>
          </cell>
          <cell r="R278" t="str">
            <v>Rudrapur (Hp)</v>
          </cell>
          <cell r="S278" t="str">
            <v xml:space="preserve"> </v>
          </cell>
          <cell r="T278" t="str">
            <v>D</v>
          </cell>
          <cell r="U278">
            <v>2001</v>
          </cell>
          <cell r="V278">
            <v>11000</v>
          </cell>
          <cell r="W278">
            <v>3675</v>
          </cell>
          <cell r="X278">
            <v>3500</v>
          </cell>
          <cell r="AA278">
            <v>500</v>
          </cell>
          <cell r="AB278">
            <v>150</v>
          </cell>
          <cell r="AD278" t="str">
            <v>CV</v>
          </cell>
          <cell r="AE278">
            <v>0</v>
          </cell>
          <cell r="AG278">
            <v>2750</v>
          </cell>
          <cell r="AH278">
            <v>10575</v>
          </cell>
          <cell r="AI278">
            <v>126900</v>
          </cell>
          <cell r="AJ278">
            <v>17500</v>
          </cell>
          <cell r="AK278">
            <v>20000</v>
          </cell>
          <cell r="AL278">
            <v>10000</v>
          </cell>
          <cell r="AQ278">
            <v>11907</v>
          </cell>
          <cell r="AR278">
            <v>186307</v>
          </cell>
        </row>
        <row r="279">
          <cell r="M279">
            <v>21</v>
          </cell>
          <cell r="N279" t="str">
            <v>A1</v>
          </cell>
          <cell r="P279">
            <v>7</v>
          </cell>
          <cell r="S279" t="str">
            <v xml:space="preserve"> </v>
          </cell>
          <cell r="U279">
            <v>2002</v>
          </cell>
          <cell r="W279">
            <v>4025</v>
          </cell>
          <cell r="X279">
            <v>4000</v>
          </cell>
          <cell r="Z279">
            <v>0</v>
          </cell>
          <cell r="AA279">
            <v>500</v>
          </cell>
          <cell r="AB279">
            <v>150</v>
          </cell>
          <cell r="AC279">
            <v>0</v>
          </cell>
          <cell r="AF279">
            <v>0</v>
          </cell>
          <cell r="AG279">
            <v>2750</v>
          </cell>
          <cell r="AH279">
            <v>11425</v>
          </cell>
          <cell r="AI279">
            <v>137100</v>
          </cell>
          <cell r="AJ279">
            <v>17500</v>
          </cell>
          <cell r="AK279">
            <v>20000</v>
          </cell>
          <cell r="AL279">
            <v>15000</v>
          </cell>
          <cell r="AM279">
            <v>0</v>
          </cell>
          <cell r="AN279">
            <v>0</v>
          </cell>
          <cell r="AO279">
            <v>0</v>
          </cell>
          <cell r="AP279">
            <v>0</v>
          </cell>
          <cell r="AQ279">
            <v>13041</v>
          </cell>
          <cell r="AR279">
            <v>202641</v>
          </cell>
          <cell r="AS279">
            <v>0</v>
          </cell>
        </row>
        <row r="280">
          <cell r="P280">
            <v>7</v>
          </cell>
          <cell r="S280" t="str">
            <v xml:space="preserve"> </v>
          </cell>
          <cell r="U280" t="str">
            <v>DIFF.</v>
          </cell>
          <cell r="W280">
            <v>350</v>
          </cell>
          <cell r="X280">
            <v>500</v>
          </cell>
          <cell r="Z280">
            <v>0</v>
          </cell>
          <cell r="AA280">
            <v>0</v>
          </cell>
          <cell r="AB280">
            <v>0</v>
          </cell>
          <cell r="AC280">
            <v>0</v>
          </cell>
          <cell r="AE280">
            <v>0</v>
          </cell>
          <cell r="AF280">
            <v>0</v>
          </cell>
          <cell r="AG280">
            <v>0</v>
          </cell>
          <cell r="AH280">
            <v>850</v>
          </cell>
          <cell r="AI280">
            <v>10200</v>
          </cell>
          <cell r="AJ280">
            <v>0</v>
          </cell>
          <cell r="AK280">
            <v>0</v>
          </cell>
          <cell r="AL280">
            <v>5000</v>
          </cell>
          <cell r="AM280">
            <v>0</v>
          </cell>
          <cell r="AN280">
            <v>0</v>
          </cell>
          <cell r="AO280">
            <v>0</v>
          </cell>
          <cell r="AP280">
            <v>0</v>
          </cell>
          <cell r="AQ280">
            <v>1134</v>
          </cell>
          <cell r="AR280">
            <v>16334</v>
          </cell>
          <cell r="AS280">
            <v>8.77</v>
          </cell>
        </row>
        <row r="281">
          <cell r="P281">
            <v>7</v>
          </cell>
          <cell r="S281" t="str">
            <v xml:space="preserve"> </v>
          </cell>
        </row>
        <row r="282">
          <cell r="G282">
            <v>2399</v>
          </cell>
          <cell r="H282" t="str">
            <v>MR S. MANIKANDAN</v>
          </cell>
          <cell r="I282">
            <v>26892</v>
          </cell>
          <cell r="J282">
            <v>36390</v>
          </cell>
          <cell r="K282">
            <v>10386</v>
          </cell>
          <cell r="L282" t="str">
            <v>MA</v>
          </cell>
          <cell r="M282">
            <v>21</v>
          </cell>
          <cell r="N282" t="str">
            <v>A1</v>
          </cell>
          <cell r="O282" t="str">
            <v>MA</v>
          </cell>
          <cell r="P282">
            <v>7</v>
          </cell>
          <cell r="Q282" t="str">
            <v>Other Locations</v>
          </cell>
          <cell r="R282" t="str">
            <v>Tirunelvedi (Kerela)</v>
          </cell>
          <cell r="S282" t="str">
            <v xml:space="preserve"> </v>
          </cell>
          <cell r="T282" t="str">
            <v>CL</v>
          </cell>
          <cell r="U282">
            <v>2001</v>
          </cell>
          <cell r="V282">
            <v>18000</v>
          </cell>
          <cell r="W282">
            <v>3660</v>
          </cell>
          <cell r="X282">
            <v>3500</v>
          </cell>
          <cell r="AA282">
            <v>500</v>
          </cell>
          <cell r="AB282">
            <v>150</v>
          </cell>
          <cell r="AD282" t="str">
            <v>CV</v>
          </cell>
          <cell r="AE282">
            <v>0</v>
          </cell>
          <cell r="AG282">
            <v>2750</v>
          </cell>
          <cell r="AH282">
            <v>10560</v>
          </cell>
          <cell r="AI282">
            <v>126720</v>
          </cell>
          <cell r="AJ282">
            <v>17500</v>
          </cell>
          <cell r="AK282">
            <v>20000</v>
          </cell>
          <cell r="AL282">
            <v>10000</v>
          </cell>
          <cell r="AQ282">
            <v>11858</v>
          </cell>
          <cell r="AR282">
            <v>186078</v>
          </cell>
        </row>
        <row r="283">
          <cell r="M283">
            <v>21</v>
          </cell>
          <cell r="N283" t="str">
            <v>A1</v>
          </cell>
          <cell r="P283">
            <v>7</v>
          </cell>
          <cell r="S283" t="str">
            <v xml:space="preserve"> </v>
          </cell>
          <cell r="U283">
            <v>2002</v>
          </cell>
          <cell r="W283">
            <v>4310</v>
          </cell>
          <cell r="X283">
            <v>4000</v>
          </cell>
          <cell r="Z283">
            <v>0</v>
          </cell>
          <cell r="AA283">
            <v>500</v>
          </cell>
          <cell r="AB283">
            <v>150</v>
          </cell>
          <cell r="AC283">
            <v>0</v>
          </cell>
          <cell r="AF283">
            <v>0</v>
          </cell>
          <cell r="AG283">
            <v>2750</v>
          </cell>
          <cell r="AH283">
            <v>11710</v>
          </cell>
          <cell r="AI283">
            <v>140520</v>
          </cell>
          <cell r="AJ283">
            <v>17500</v>
          </cell>
          <cell r="AK283">
            <v>20000</v>
          </cell>
          <cell r="AL283">
            <v>15000</v>
          </cell>
          <cell r="AM283">
            <v>0</v>
          </cell>
          <cell r="AN283">
            <v>0</v>
          </cell>
          <cell r="AO283">
            <v>0</v>
          </cell>
          <cell r="AP283">
            <v>0</v>
          </cell>
          <cell r="AQ283">
            <v>13964</v>
          </cell>
          <cell r="AR283">
            <v>206984</v>
          </cell>
          <cell r="AS283">
            <v>0</v>
          </cell>
        </row>
        <row r="284">
          <cell r="P284">
            <v>7</v>
          </cell>
          <cell r="S284" t="str">
            <v xml:space="preserve"> </v>
          </cell>
          <cell r="U284" t="str">
            <v>DIFF.</v>
          </cell>
          <cell r="W284">
            <v>650</v>
          </cell>
          <cell r="X284">
            <v>500</v>
          </cell>
          <cell r="Z284">
            <v>0</v>
          </cell>
          <cell r="AA284">
            <v>0</v>
          </cell>
          <cell r="AB284">
            <v>0</v>
          </cell>
          <cell r="AC284">
            <v>0</v>
          </cell>
          <cell r="AE284">
            <v>0</v>
          </cell>
          <cell r="AF284">
            <v>0</v>
          </cell>
          <cell r="AG284">
            <v>0</v>
          </cell>
          <cell r="AH284">
            <v>1150</v>
          </cell>
          <cell r="AI284">
            <v>13800</v>
          </cell>
          <cell r="AJ284">
            <v>0</v>
          </cell>
          <cell r="AK284">
            <v>0</v>
          </cell>
          <cell r="AL284">
            <v>5000</v>
          </cell>
          <cell r="AM284">
            <v>0</v>
          </cell>
          <cell r="AN284">
            <v>0</v>
          </cell>
          <cell r="AO284">
            <v>0</v>
          </cell>
          <cell r="AP284">
            <v>0</v>
          </cell>
          <cell r="AQ284">
            <v>2106</v>
          </cell>
          <cell r="AR284">
            <v>20906</v>
          </cell>
          <cell r="AS284">
            <v>11.24</v>
          </cell>
        </row>
        <row r="285">
          <cell r="P285">
            <v>7</v>
          </cell>
          <cell r="S285" t="str">
            <v xml:space="preserve"> </v>
          </cell>
        </row>
        <row r="286">
          <cell r="G286">
            <v>2400</v>
          </cell>
          <cell r="H286" t="str">
            <v>MR RAJANI KANTHA</v>
          </cell>
          <cell r="I286">
            <v>26280</v>
          </cell>
          <cell r="J286">
            <v>36402</v>
          </cell>
          <cell r="K286">
            <v>10998</v>
          </cell>
          <cell r="L286" t="str">
            <v>MA</v>
          </cell>
          <cell r="M286">
            <v>21</v>
          </cell>
          <cell r="N286" t="str">
            <v>A1</v>
          </cell>
          <cell r="O286" t="str">
            <v>MA</v>
          </cell>
          <cell r="P286">
            <v>7</v>
          </cell>
          <cell r="Q286" t="str">
            <v>Other Locations</v>
          </cell>
          <cell r="R286" t="str">
            <v>Bijapur (Karnataka)</v>
          </cell>
          <cell r="S286" t="str">
            <v xml:space="preserve"> </v>
          </cell>
          <cell r="T286" t="str">
            <v>CL</v>
          </cell>
          <cell r="U286">
            <v>2001</v>
          </cell>
          <cell r="V286">
            <v>18000</v>
          </cell>
          <cell r="W286">
            <v>3650</v>
          </cell>
          <cell r="X286">
            <v>3500</v>
          </cell>
          <cell r="AA286">
            <v>500</v>
          </cell>
          <cell r="AB286">
            <v>150</v>
          </cell>
          <cell r="AD286" t="str">
            <v>CV</v>
          </cell>
          <cell r="AE286">
            <v>0</v>
          </cell>
          <cell r="AG286">
            <v>2750</v>
          </cell>
          <cell r="AH286">
            <v>10550</v>
          </cell>
          <cell r="AI286">
            <v>126600</v>
          </cell>
          <cell r="AJ286">
            <v>17500</v>
          </cell>
          <cell r="AK286">
            <v>20000</v>
          </cell>
          <cell r="AL286">
            <v>10000</v>
          </cell>
          <cell r="AQ286">
            <v>11826</v>
          </cell>
          <cell r="AR286">
            <v>185926</v>
          </cell>
        </row>
        <row r="287">
          <cell r="M287">
            <v>21</v>
          </cell>
          <cell r="N287" t="str">
            <v>A1</v>
          </cell>
          <cell r="P287">
            <v>7</v>
          </cell>
          <cell r="S287" t="str">
            <v xml:space="preserve"> </v>
          </cell>
          <cell r="U287">
            <v>2002</v>
          </cell>
          <cell r="W287">
            <v>4300</v>
          </cell>
          <cell r="X287">
            <v>4000</v>
          </cell>
          <cell r="Z287">
            <v>0</v>
          </cell>
          <cell r="AA287">
            <v>500</v>
          </cell>
          <cell r="AB287">
            <v>150</v>
          </cell>
          <cell r="AC287">
            <v>0</v>
          </cell>
          <cell r="AF287">
            <v>0</v>
          </cell>
          <cell r="AG287">
            <v>2750</v>
          </cell>
          <cell r="AH287">
            <v>11700</v>
          </cell>
          <cell r="AI287">
            <v>140400</v>
          </cell>
          <cell r="AJ287">
            <v>17500</v>
          </cell>
          <cell r="AK287">
            <v>20000</v>
          </cell>
          <cell r="AL287">
            <v>15000</v>
          </cell>
          <cell r="AM287">
            <v>0</v>
          </cell>
          <cell r="AN287">
            <v>0</v>
          </cell>
          <cell r="AO287">
            <v>0</v>
          </cell>
          <cell r="AP287">
            <v>0</v>
          </cell>
          <cell r="AQ287">
            <v>13932</v>
          </cell>
          <cell r="AR287">
            <v>206832</v>
          </cell>
          <cell r="AS287">
            <v>0</v>
          </cell>
        </row>
        <row r="288">
          <cell r="P288">
            <v>7</v>
          </cell>
          <cell r="S288" t="str">
            <v xml:space="preserve"> </v>
          </cell>
          <cell r="U288" t="str">
            <v>DIFF.</v>
          </cell>
          <cell r="W288">
            <v>650</v>
          </cell>
          <cell r="X288">
            <v>500</v>
          </cell>
          <cell r="Z288">
            <v>0</v>
          </cell>
          <cell r="AA288">
            <v>0</v>
          </cell>
          <cell r="AB288">
            <v>0</v>
          </cell>
          <cell r="AC288">
            <v>0</v>
          </cell>
          <cell r="AE288">
            <v>0</v>
          </cell>
          <cell r="AF288">
            <v>0</v>
          </cell>
          <cell r="AG288">
            <v>0</v>
          </cell>
          <cell r="AH288">
            <v>1150</v>
          </cell>
          <cell r="AI288">
            <v>13800</v>
          </cell>
          <cell r="AJ288">
            <v>0</v>
          </cell>
          <cell r="AK288">
            <v>0</v>
          </cell>
          <cell r="AL288">
            <v>5000</v>
          </cell>
          <cell r="AM288">
            <v>0</v>
          </cell>
          <cell r="AN288">
            <v>0</v>
          </cell>
          <cell r="AO288">
            <v>0</v>
          </cell>
          <cell r="AP288">
            <v>0</v>
          </cell>
          <cell r="AQ288">
            <v>2106</v>
          </cell>
          <cell r="AR288">
            <v>20906</v>
          </cell>
          <cell r="AS288">
            <v>11.24</v>
          </cell>
        </row>
        <row r="289">
          <cell r="P289">
            <v>7</v>
          </cell>
          <cell r="S289" t="str">
            <v xml:space="preserve"> </v>
          </cell>
        </row>
        <row r="290">
          <cell r="G290">
            <v>2402</v>
          </cell>
          <cell r="H290" t="str">
            <v>MR HEMANT KUMAR SINGH</v>
          </cell>
          <cell r="I290">
            <v>27404</v>
          </cell>
          <cell r="J290">
            <v>36424</v>
          </cell>
          <cell r="K290">
            <v>9874</v>
          </cell>
          <cell r="L290" t="str">
            <v>MA</v>
          </cell>
          <cell r="M290">
            <v>21</v>
          </cell>
          <cell r="N290" t="str">
            <v>A1</v>
          </cell>
          <cell r="O290" t="str">
            <v>MA</v>
          </cell>
          <cell r="P290">
            <v>7</v>
          </cell>
          <cell r="Q290" t="str">
            <v>Other Locations</v>
          </cell>
          <cell r="R290" t="str">
            <v>Kota (Rajasthan)</v>
          </cell>
          <cell r="S290" t="str">
            <v xml:space="preserve"> </v>
          </cell>
          <cell r="T290" t="str">
            <v>BL</v>
          </cell>
          <cell r="U290">
            <v>2001</v>
          </cell>
          <cell r="V290">
            <v>21150</v>
          </cell>
          <cell r="W290">
            <v>3630</v>
          </cell>
          <cell r="X290">
            <v>3500</v>
          </cell>
          <cell r="AA290">
            <v>500</v>
          </cell>
          <cell r="AB290">
            <v>150</v>
          </cell>
          <cell r="AD290" t="str">
            <v>CV</v>
          </cell>
          <cell r="AE290">
            <v>0</v>
          </cell>
          <cell r="AG290">
            <v>2750</v>
          </cell>
          <cell r="AH290">
            <v>10530</v>
          </cell>
          <cell r="AI290">
            <v>126360</v>
          </cell>
          <cell r="AJ290">
            <v>17500</v>
          </cell>
          <cell r="AK290">
            <v>20000</v>
          </cell>
          <cell r="AL290">
            <v>10000</v>
          </cell>
          <cell r="AQ290">
            <v>11761</v>
          </cell>
          <cell r="AR290">
            <v>185621</v>
          </cell>
        </row>
        <row r="291">
          <cell r="M291">
            <v>21</v>
          </cell>
          <cell r="N291" t="str">
            <v>A1</v>
          </cell>
          <cell r="P291">
            <v>7</v>
          </cell>
          <cell r="S291" t="str">
            <v xml:space="preserve"> </v>
          </cell>
          <cell r="U291">
            <v>2002</v>
          </cell>
          <cell r="W291">
            <v>4580</v>
          </cell>
          <cell r="X291">
            <v>4000</v>
          </cell>
          <cell r="Z291">
            <v>0</v>
          </cell>
          <cell r="AA291">
            <v>500</v>
          </cell>
          <cell r="AB291">
            <v>150</v>
          </cell>
          <cell r="AC291">
            <v>0</v>
          </cell>
          <cell r="AF291">
            <v>0</v>
          </cell>
          <cell r="AG291">
            <v>2750</v>
          </cell>
          <cell r="AH291">
            <v>11980</v>
          </cell>
          <cell r="AI291">
            <v>143760</v>
          </cell>
          <cell r="AJ291">
            <v>17500</v>
          </cell>
          <cell r="AK291">
            <v>20000</v>
          </cell>
          <cell r="AL291">
            <v>15000</v>
          </cell>
          <cell r="AM291">
            <v>0</v>
          </cell>
          <cell r="AN291">
            <v>0</v>
          </cell>
          <cell r="AO291">
            <v>0</v>
          </cell>
          <cell r="AP291">
            <v>0</v>
          </cell>
          <cell r="AQ291">
            <v>14839</v>
          </cell>
          <cell r="AR291">
            <v>211099</v>
          </cell>
          <cell r="AS291">
            <v>0</v>
          </cell>
        </row>
        <row r="292">
          <cell r="P292">
            <v>7</v>
          </cell>
          <cell r="S292" t="str">
            <v xml:space="preserve"> </v>
          </cell>
          <cell r="U292" t="str">
            <v>DIFF.</v>
          </cell>
          <cell r="W292">
            <v>950</v>
          </cell>
          <cell r="X292">
            <v>500</v>
          </cell>
          <cell r="Z292">
            <v>0</v>
          </cell>
          <cell r="AA292">
            <v>0</v>
          </cell>
          <cell r="AB292">
            <v>0</v>
          </cell>
          <cell r="AC292">
            <v>0</v>
          </cell>
          <cell r="AE292">
            <v>0</v>
          </cell>
          <cell r="AF292">
            <v>0</v>
          </cell>
          <cell r="AG292">
            <v>0</v>
          </cell>
          <cell r="AH292">
            <v>1450</v>
          </cell>
          <cell r="AI292">
            <v>17400</v>
          </cell>
          <cell r="AJ292">
            <v>0</v>
          </cell>
          <cell r="AK292">
            <v>0</v>
          </cell>
          <cell r="AL292">
            <v>5000</v>
          </cell>
          <cell r="AM292">
            <v>0</v>
          </cell>
          <cell r="AN292">
            <v>0</v>
          </cell>
          <cell r="AO292">
            <v>0</v>
          </cell>
          <cell r="AP292">
            <v>0</v>
          </cell>
          <cell r="AQ292">
            <v>3078</v>
          </cell>
          <cell r="AR292">
            <v>25478</v>
          </cell>
          <cell r="AS292">
            <v>13.73</v>
          </cell>
        </row>
        <row r="293">
          <cell r="P293">
            <v>7</v>
          </cell>
          <cell r="S293" t="str">
            <v xml:space="preserve"> </v>
          </cell>
        </row>
        <row r="294">
          <cell r="G294">
            <v>2403</v>
          </cell>
          <cell r="H294" t="str">
            <v>MR BHUPINDER PAL SINGH</v>
          </cell>
          <cell r="I294">
            <v>26634</v>
          </cell>
          <cell r="J294">
            <v>36427</v>
          </cell>
          <cell r="K294">
            <v>10644</v>
          </cell>
          <cell r="L294" t="str">
            <v>MA</v>
          </cell>
          <cell r="M294">
            <v>21</v>
          </cell>
          <cell r="N294" t="str">
            <v>A1</v>
          </cell>
          <cell r="O294" t="str">
            <v>MA</v>
          </cell>
          <cell r="P294">
            <v>7</v>
          </cell>
          <cell r="Q294" t="str">
            <v>Other Locations</v>
          </cell>
          <cell r="R294" t="str">
            <v>Patiala (Punjab)</v>
          </cell>
          <cell r="S294" t="str">
            <v xml:space="preserve"> </v>
          </cell>
          <cell r="T294" t="str">
            <v>D</v>
          </cell>
          <cell r="U294">
            <v>2001</v>
          </cell>
          <cell r="V294">
            <v>11000</v>
          </cell>
          <cell r="W294">
            <v>3630</v>
          </cell>
          <cell r="X294">
            <v>3500</v>
          </cell>
          <cell r="AA294">
            <v>500</v>
          </cell>
          <cell r="AB294">
            <v>150</v>
          </cell>
          <cell r="AD294" t="str">
            <v>CV</v>
          </cell>
          <cell r="AE294">
            <v>0</v>
          </cell>
          <cell r="AG294">
            <v>2750</v>
          </cell>
          <cell r="AH294">
            <v>10530</v>
          </cell>
          <cell r="AI294">
            <v>126360</v>
          </cell>
          <cell r="AJ294">
            <v>17500</v>
          </cell>
          <cell r="AK294">
            <v>20000</v>
          </cell>
          <cell r="AL294">
            <v>10000</v>
          </cell>
          <cell r="AQ294">
            <v>11761</v>
          </cell>
          <cell r="AR294">
            <v>185621</v>
          </cell>
        </row>
        <row r="295">
          <cell r="M295">
            <v>21</v>
          </cell>
          <cell r="N295" t="str">
            <v>A1</v>
          </cell>
          <cell r="P295">
            <v>7</v>
          </cell>
          <cell r="S295" t="str">
            <v xml:space="preserve"> </v>
          </cell>
          <cell r="U295">
            <v>2002</v>
          </cell>
          <cell r="W295">
            <v>3980</v>
          </cell>
          <cell r="X295">
            <v>4000</v>
          </cell>
          <cell r="Z295">
            <v>0</v>
          </cell>
          <cell r="AA295">
            <v>500</v>
          </cell>
          <cell r="AB295">
            <v>150</v>
          </cell>
          <cell r="AC295">
            <v>0</v>
          </cell>
          <cell r="AF295">
            <v>0</v>
          </cell>
          <cell r="AG295">
            <v>2750</v>
          </cell>
          <cell r="AH295">
            <v>11380</v>
          </cell>
          <cell r="AI295">
            <v>136560</v>
          </cell>
          <cell r="AJ295">
            <v>17500</v>
          </cell>
          <cell r="AK295">
            <v>20000</v>
          </cell>
          <cell r="AL295">
            <v>15000</v>
          </cell>
          <cell r="AM295">
            <v>0</v>
          </cell>
          <cell r="AN295">
            <v>0</v>
          </cell>
          <cell r="AO295">
            <v>0</v>
          </cell>
          <cell r="AP295">
            <v>0</v>
          </cell>
          <cell r="AQ295">
            <v>12895</v>
          </cell>
          <cell r="AR295">
            <v>201955</v>
          </cell>
          <cell r="AS295">
            <v>0</v>
          </cell>
        </row>
        <row r="296">
          <cell r="P296">
            <v>7</v>
          </cell>
          <cell r="S296" t="str">
            <v xml:space="preserve"> </v>
          </cell>
          <cell r="U296" t="str">
            <v>DIFF.</v>
          </cell>
          <cell r="W296">
            <v>350</v>
          </cell>
          <cell r="X296">
            <v>500</v>
          </cell>
          <cell r="Z296">
            <v>0</v>
          </cell>
          <cell r="AA296">
            <v>0</v>
          </cell>
          <cell r="AB296">
            <v>0</v>
          </cell>
          <cell r="AC296">
            <v>0</v>
          </cell>
          <cell r="AE296">
            <v>0</v>
          </cell>
          <cell r="AF296">
            <v>0</v>
          </cell>
          <cell r="AG296">
            <v>0</v>
          </cell>
          <cell r="AH296">
            <v>850</v>
          </cell>
          <cell r="AI296">
            <v>10200</v>
          </cell>
          <cell r="AJ296">
            <v>0</v>
          </cell>
          <cell r="AK296">
            <v>0</v>
          </cell>
          <cell r="AL296">
            <v>5000</v>
          </cell>
          <cell r="AM296">
            <v>0</v>
          </cell>
          <cell r="AN296">
            <v>0</v>
          </cell>
          <cell r="AO296">
            <v>0</v>
          </cell>
          <cell r="AP296">
            <v>0</v>
          </cell>
          <cell r="AQ296">
            <v>1134</v>
          </cell>
          <cell r="AR296">
            <v>16334</v>
          </cell>
          <cell r="AS296">
            <v>8.8000000000000007</v>
          </cell>
        </row>
        <row r="297">
          <cell r="P297">
            <v>7</v>
          </cell>
          <cell r="S297" t="str">
            <v xml:space="preserve"> </v>
          </cell>
        </row>
        <row r="298">
          <cell r="G298">
            <v>2404</v>
          </cell>
          <cell r="H298" t="str">
            <v>MR CHALLA SREEDHAR REDDY</v>
          </cell>
          <cell r="I298">
            <v>27630</v>
          </cell>
          <cell r="J298">
            <v>36444</v>
          </cell>
          <cell r="K298">
            <v>9648</v>
          </cell>
          <cell r="L298" t="str">
            <v>MA</v>
          </cell>
          <cell r="M298">
            <v>21</v>
          </cell>
          <cell r="N298" t="str">
            <v>A1</v>
          </cell>
          <cell r="O298" t="str">
            <v>MA</v>
          </cell>
          <cell r="P298">
            <v>7</v>
          </cell>
          <cell r="Q298" t="str">
            <v>Other Locations</v>
          </cell>
          <cell r="R298" t="str">
            <v>Rajahmundry (Ap)</v>
          </cell>
          <cell r="S298" t="str">
            <v xml:space="preserve"> </v>
          </cell>
          <cell r="T298" t="str">
            <v>CL</v>
          </cell>
          <cell r="U298">
            <v>2001</v>
          </cell>
          <cell r="V298">
            <v>18000</v>
          </cell>
          <cell r="W298">
            <v>3550</v>
          </cell>
          <cell r="X298">
            <v>3500</v>
          </cell>
          <cell r="AA298">
            <v>500</v>
          </cell>
          <cell r="AB298">
            <v>150</v>
          </cell>
          <cell r="AD298" t="str">
            <v>CV</v>
          </cell>
          <cell r="AE298">
            <v>0</v>
          </cell>
          <cell r="AG298">
            <v>2750</v>
          </cell>
          <cell r="AH298">
            <v>10450</v>
          </cell>
          <cell r="AI298">
            <v>125400</v>
          </cell>
          <cell r="AJ298">
            <v>17500</v>
          </cell>
          <cell r="AK298">
            <v>20000</v>
          </cell>
          <cell r="AL298">
            <v>10000</v>
          </cell>
          <cell r="AQ298">
            <v>11502</v>
          </cell>
          <cell r="AR298">
            <v>184402</v>
          </cell>
        </row>
        <row r="299">
          <cell r="M299">
            <v>21</v>
          </cell>
          <cell r="N299" t="str">
            <v>A1</v>
          </cell>
          <cell r="P299">
            <v>7</v>
          </cell>
          <cell r="S299" t="str">
            <v xml:space="preserve"> </v>
          </cell>
          <cell r="U299">
            <v>2002</v>
          </cell>
          <cell r="W299">
            <v>4200</v>
          </cell>
          <cell r="X299">
            <v>4000</v>
          </cell>
          <cell r="Z299">
            <v>0</v>
          </cell>
          <cell r="AA299">
            <v>500</v>
          </cell>
          <cell r="AB299">
            <v>150</v>
          </cell>
          <cell r="AC299">
            <v>0</v>
          </cell>
          <cell r="AF299">
            <v>0</v>
          </cell>
          <cell r="AG299">
            <v>2750</v>
          </cell>
          <cell r="AH299">
            <v>11600</v>
          </cell>
          <cell r="AI299">
            <v>139200</v>
          </cell>
          <cell r="AJ299">
            <v>17500</v>
          </cell>
          <cell r="AK299">
            <v>20000</v>
          </cell>
          <cell r="AL299">
            <v>15000</v>
          </cell>
          <cell r="AM299">
            <v>0</v>
          </cell>
          <cell r="AN299">
            <v>0</v>
          </cell>
          <cell r="AO299">
            <v>0</v>
          </cell>
          <cell r="AP299">
            <v>0</v>
          </cell>
          <cell r="AQ299">
            <v>13608</v>
          </cell>
          <cell r="AR299">
            <v>205308</v>
          </cell>
          <cell r="AS299">
            <v>0</v>
          </cell>
        </row>
        <row r="300">
          <cell r="P300">
            <v>7</v>
          </cell>
          <cell r="S300" t="str">
            <v xml:space="preserve"> </v>
          </cell>
          <cell r="U300" t="str">
            <v>DIFF.</v>
          </cell>
          <cell r="W300">
            <v>650</v>
          </cell>
          <cell r="X300">
            <v>500</v>
          </cell>
          <cell r="Z300">
            <v>0</v>
          </cell>
          <cell r="AA300">
            <v>0</v>
          </cell>
          <cell r="AB300">
            <v>0</v>
          </cell>
          <cell r="AC300">
            <v>0</v>
          </cell>
          <cell r="AE300">
            <v>0</v>
          </cell>
          <cell r="AF300">
            <v>0</v>
          </cell>
          <cell r="AG300">
            <v>0</v>
          </cell>
          <cell r="AH300">
            <v>1150</v>
          </cell>
          <cell r="AI300">
            <v>13800</v>
          </cell>
          <cell r="AJ300">
            <v>0</v>
          </cell>
          <cell r="AK300">
            <v>0</v>
          </cell>
          <cell r="AL300">
            <v>5000</v>
          </cell>
          <cell r="AM300">
            <v>0</v>
          </cell>
          <cell r="AN300">
            <v>0</v>
          </cell>
          <cell r="AO300">
            <v>0</v>
          </cell>
          <cell r="AP300">
            <v>0</v>
          </cell>
          <cell r="AQ300">
            <v>2106</v>
          </cell>
          <cell r="AR300">
            <v>20906</v>
          </cell>
          <cell r="AS300">
            <v>11.34</v>
          </cell>
        </row>
        <row r="301">
          <cell r="P301">
            <v>7</v>
          </cell>
          <cell r="S301" t="str">
            <v xml:space="preserve"> </v>
          </cell>
        </row>
        <row r="302">
          <cell r="G302">
            <v>2405</v>
          </cell>
          <cell r="H302" t="str">
            <v>MR PRANAB KUNDU</v>
          </cell>
          <cell r="I302">
            <v>25479</v>
          </cell>
          <cell r="J302">
            <v>36495</v>
          </cell>
          <cell r="K302">
            <v>11799</v>
          </cell>
          <cell r="L302" t="str">
            <v>MA</v>
          </cell>
          <cell r="M302">
            <v>21</v>
          </cell>
          <cell r="N302" t="str">
            <v>A2</v>
          </cell>
          <cell r="O302" t="str">
            <v>MA</v>
          </cell>
          <cell r="P302">
            <v>7</v>
          </cell>
          <cell r="Q302" t="str">
            <v>Other Locations</v>
          </cell>
          <cell r="R302" t="str">
            <v>Bankura (Bihar)</v>
          </cell>
          <cell r="S302" t="str">
            <v xml:space="preserve"> </v>
          </cell>
          <cell r="T302" t="str">
            <v>CL</v>
          </cell>
          <cell r="U302">
            <v>2001</v>
          </cell>
          <cell r="V302">
            <v>18000</v>
          </cell>
          <cell r="W302">
            <v>6210</v>
          </cell>
          <cell r="X302">
            <v>3500</v>
          </cell>
          <cell r="AA302">
            <v>500</v>
          </cell>
          <cell r="AB302">
            <v>150</v>
          </cell>
          <cell r="AD302" t="str">
            <v>CV</v>
          </cell>
          <cell r="AE302">
            <v>0</v>
          </cell>
          <cell r="AF302">
            <v>500</v>
          </cell>
          <cell r="AG302">
            <v>2750</v>
          </cell>
          <cell r="AH302">
            <v>13610</v>
          </cell>
          <cell r="AI302">
            <v>163320</v>
          </cell>
          <cell r="AJ302">
            <v>17500</v>
          </cell>
          <cell r="AK302">
            <v>20000</v>
          </cell>
          <cell r="AL302">
            <v>10000</v>
          </cell>
          <cell r="AM302">
            <v>0</v>
          </cell>
          <cell r="AN302">
            <v>0</v>
          </cell>
          <cell r="AO302">
            <v>0</v>
          </cell>
          <cell r="AP302">
            <v>0</v>
          </cell>
          <cell r="AQ302">
            <v>20120</v>
          </cell>
          <cell r="AR302">
            <v>230940</v>
          </cell>
          <cell r="AS302">
            <v>0</v>
          </cell>
        </row>
        <row r="303">
          <cell r="M303">
            <v>21</v>
          </cell>
          <cell r="N303" t="str">
            <v>A2</v>
          </cell>
          <cell r="P303">
            <v>7</v>
          </cell>
          <cell r="S303" t="str">
            <v xml:space="preserve"> </v>
          </cell>
          <cell r="U303">
            <v>2002</v>
          </cell>
          <cell r="W303">
            <v>6860</v>
          </cell>
          <cell r="X303">
            <v>4000</v>
          </cell>
          <cell r="Z303">
            <v>0</v>
          </cell>
          <cell r="AA303">
            <v>500</v>
          </cell>
          <cell r="AB303">
            <v>150</v>
          </cell>
          <cell r="AC303">
            <v>0</v>
          </cell>
          <cell r="AF303">
            <v>500</v>
          </cell>
          <cell r="AG303">
            <v>2750</v>
          </cell>
          <cell r="AH303">
            <v>14760</v>
          </cell>
          <cell r="AI303">
            <v>177120</v>
          </cell>
          <cell r="AJ303">
            <v>17500</v>
          </cell>
          <cell r="AK303">
            <v>20000</v>
          </cell>
          <cell r="AL303">
            <v>15000</v>
          </cell>
          <cell r="AM303">
            <v>0</v>
          </cell>
          <cell r="AN303">
            <v>0</v>
          </cell>
          <cell r="AO303">
            <v>0</v>
          </cell>
          <cell r="AP303">
            <v>0</v>
          </cell>
          <cell r="AQ303">
            <v>22226</v>
          </cell>
          <cell r="AR303">
            <v>251846</v>
          </cell>
          <cell r="AS303">
            <v>0</v>
          </cell>
        </row>
        <row r="304">
          <cell r="P304">
            <v>7</v>
          </cell>
          <cell r="S304" t="str">
            <v xml:space="preserve"> </v>
          </cell>
          <cell r="U304" t="str">
            <v>DIFF.</v>
          </cell>
          <cell r="W304">
            <v>650</v>
          </cell>
          <cell r="X304">
            <v>500</v>
          </cell>
          <cell r="Z304">
            <v>0</v>
          </cell>
          <cell r="AA304">
            <v>0</v>
          </cell>
          <cell r="AB304">
            <v>0</v>
          </cell>
          <cell r="AC304">
            <v>0</v>
          </cell>
          <cell r="AE304">
            <v>0</v>
          </cell>
          <cell r="AF304">
            <v>0</v>
          </cell>
          <cell r="AG304">
            <v>0</v>
          </cell>
          <cell r="AH304">
            <v>1150</v>
          </cell>
          <cell r="AI304">
            <v>13800</v>
          </cell>
          <cell r="AJ304">
            <v>0</v>
          </cell>
          <cell r="AK304">
            <v>0</v>
          </cell>
          <cell r="AL304">
            <v>5000</v>
          </cell>
          <cell r="AM304">
            <v>0</v>
          </cell>
          <cell r="AN304">
            <v>0</v>
          </cell>
          <cell r="AO304">
            <v>0</v>
          </cell>
          <cell r="AP304">
            <v>0</v>
          </cell>
          <cell r="AQ304">
            <v>2106</v>
          </cell>
          <cell r="AR304">
            <v>20906</v>
          </cell>
          <cell r="AS304">
            <v>9.0500000000000007</v>
          </cell>
        </row>
        <row r="305">
          <cell r="P305">
            <v>7</v>
          </cell>
          <cell r="S305" t="str">
            <v xml:space="preserve"> </v>
          </cell>
        </row>
        <row r="306">
          <cell r="G306">
            <v>2406</v>
          </cell>
          <cell r="H306" t="str">
            <v>MR H. VISHWANATH</v>
          </cell>
          <cell r="I306">
            <v>27231</v>
          </cell>
          <cell r="J306">
            <v>36526</v>
          </cell>
          <cell r="K306">
            <v>10047</v>
          </cell>
          <cell r="L306" t="str">
            <v>MA</v>
          </cell>
          <cell r="M306">
            <v>21</v>
          </cell>
          <cell r="N306" t="str">
            <v>A1</v>
          </cell>
          <cell r="O306" t="str">
            <v>MA</v>
          </cell>
          <cell r="P306">
            <v>7</v>
          </cell>
          <cell r="Q306" t="str">
            <v>Other Locations</v>
          </cell>
          <cell r="R306" t="str">
            <v>Bangalore</v>
          </cell>
          <cell r="S306" t="str">
            <v xml:space="preserve"> </v>
          </cell>
          <cell r="T306" t="str">
            <v>CL</v>
          </cell>
          <cell r="U306">
            <v>2001</v>
          </cell>
          <cell r="V306">
            <v>18000</v>
          </cell>
          <cell r="W306">
            <v>3650</v>
          </cell>
          <cell r="X306">
            <v>3500</v>
          </cell>
          <cell r="AA306">
            <v>500</v>
          </cell>
          <cell r="AB306">
            <v>150</v>
          </cell>
          <cell r="AD306" t="str">
            <v>CV</v>
          </cell>
          <cell r="AE306">
            <v>0</v>
          </cell>
          <cell r="AG306">
            <v>2750</v>
          </cell>
          <cell r="AH306">
            <v>10550</v>
          </cell>
          <cell r="AI306">
            <v>126600</v>
          </cell>
          <cell r="AJ306">
            <v>17500</v>
          </cell>
          <cell r="AK306">
            <v>20000</v>
          </cell>
          <cell r="AL306">
            <v>10000</v>
          </cell>
          <cell r="AQ306">
            <v>11826</v>
          </cell>
          <cell r="AR306">
            <v>185926</v>
          </cell>
        </row>
        <row r="307">
          <cell r="M307">
            <v>21</v>
          </cell>
          <cell r="N307" t="str">
            <v>A1</v>
          </cell>
          <cell r="P307">
            <v>7</v>
          </cell>
          <cell r="S307" t="str">
            <v xml:space="preserve"> </v>
          </cell>
          <cell r="U307">
            <v>2002</v>
          </cell>
          <cell r="W307">
            <v>4300</v>
          </cell>
          <cell r="X307">
            <v>4000</v>
          </cell>
          <cell r="Z307">
            <v>0</v>
          </cell>
          <cell r="AA307">
            <v>500</v>
          </cell>
          <cell r="AB307">
            <v>150</v>
          </cell>
          <cell r="AC307">
            <v>0</v>
          </cell>
          <cell r="AF307">
            <v>0</v>
          </cell>
          <cell r="AG307">
            <v>2750</v>
          </cell>
          <cell r="AH307">
            <v>11700</v>
          </cell>
          <cell r="AI307">
            <v>140400</v>
          </cell>
          <cell r="AJ307">
            <v>17500</v>
          </cell>
          <cell r="AK307">
            <v>20000</v>
          </cell>
          <cell r="AL307">
            <v>15000</v>
          </cell>
          <cell r="AM307">
            <v>0</v>
          </cell>
          <cell r="AN307">
            <v>0</v>
          </cell>
          <cell r="AO307">
            <v>0</v>
          </cell>
          <cell r="AP307">
            <v>0</v>
          </cell>
          <cell r="AQ307">
            <v>13932</v>
          </cell>
          <cell r="AR307">
            <v>206832</v>
          </cell>
          <cell r="AS307">
            <v>0</v>
          </cell>
        </row>
        <row r="308">
          <cell r="P308">
            <v>7</v>
          </cell>
          <cell r="S308" t="str">
            <v xml:space="preserve"> </v>
          </cell>
          <cell r="U308" t="str">
            <v>DIFF.</v>
          </cell>
          <cell r="W308">
            <v>650</v>
          </cell>
          <cell r="X308">
            <v>500</v>
          </cell>
          <cell r="Z308">
            <v>0</v>
          </cell>
          <cell r="AA308">
            <v>0</v>
          </cell>
          <cell r="AB308">
            <v>0</v>
          </cell>
          <cell r="AC308">
            <v>0</v>
          </cell>
          <cell r="AE308">
            <v>0</v>
          </cell>
          <cell r="AF308">
            <v>0</v>
          </cell>
          <cell r="AG308">
            <v>0</v>
          </cell>
          <cell r="AH308">
            <v>1150</v>
          </cell>
          <cell r="AI308">
            <v>13800</v>
          </cell>
          <cell r="AJ308">
            <v>0</v>
          </cell>
          <cell r="AK308">
            <v>0</v>
          </cell>
          <cell r="AL308">
            <v>5000</v>
          </cell>
          <cell r="AM308">
            <v>0</v>
          </cell>
          <cell r="AN308">
            <v>0</v>
          </cell>
          <cell r="AO308">
            <v>0</v>
          </cell>
          <cell r="AP308">
            <v>0</v>
          </cell>
          <cell r="AQ308">
            <v>2106</v>
          </cell>
          <cell r="AR308">
            <v>20906</v>
          </cell>
          <cell r="AS308">
            <v>11.24</v>
          </cell>
        </row>
        <row r="309">
          <cell r="P309">
            <v>7</v>
          </cell>
          <cell r="S309" t="str">
            <v xml:space="preserve"> </v>
          </cell>
        </row>
        <row r="310">
          <cell r="G310">
            <v>2407</v>
          </cell>
          <cell r="H310" t="str">
            <v>MR P. MAHESHWARA BABU</v>
          </cell>
          <cell r="I310">
            <v>23959</v>
          </cell>
          <cell r="J310">
            <v>36528</v>
          </cell>
          <cell r="K310">
            <v>13319</v>
          </cell>
          <cell r="L310" t="str">
            <v>MA</v>
          </cell>
          <cell r="M310">
            <v>21</v>
          </cell>
          <cell r="N310" t="str">
            <v>A2</v>
          </cell>
          <cell r="O310" t="str">
            <v>MA</v>
          </cell>
          <cell r="P310">
            <v>7</v>
          </cell>
          <cell r="Q310" t="str">
            <v>Other Locations</v>
          </cell>
          <cell r="R310" t="str">
            <v>Miryalguda (Tn)</v>
          </cell>
          <cell r="S310" t="str">
            <v xml:space="preserve"> </v>
          </cell>
          <cell r="T310" t="str">
            <v>CL</v>
          </cell>
          <cell r="U310">
            <v>2001</v>
          </cell>
          <cell r="V310">
            <v>18000</v>
          </cell>
          <cell r="W310">
            <v>9650</v>
          </cell>
          <cell r="X310">
            <v>3500</v>
          </cell>
          <cell r="AA310">
            <v>500</v>
          </cell>
          <cell r="AB310">
            <v>150</v>
          </cell>
          <cell r="AD310" t="str">
            <v>CV</v>
          </cell>
          <cell r="AE310">
            <v>0</v>
          </cell>
          <cell r="AF310">
            <v>500</v>
          </cell>
          <cell r="AG310">
            <v>2750</v>
          </cell>
          <cell r="AH310">
            <v>17050</v>
          </cell>
          <cell r="AI310">
            <v>204600</v>
          </cell>
          <cell r="AJ310">
            <v>17500</v>
          </cell>
          <cell r="AK310">
            <v>20000</v>
          </cell>
          <cell r="AL310">
            <v>10000</v>
          </cell>
          <cell r="AM310">
            <v>0</v>
          </cell>
          <cell r="AN310">
            <v>0</v>
          </cell>
          <cell r="AO310">
            <v>0</v>
          </cell>
          <cell r="AP310">
            <v>0</v>
          </cell>
          <cell r="AQ310">
            <v>31266</v>
          </cell>
          <cell r="AR310">
            <v>283366</v>
          </cell>
          <cell r="AS310">
            <v>0</v>
          </cell>
        </row>
        <row r="311">
          <cell r="M311">
            <v>21</v>
          </cell>
          <cell r="N311" t="str">
            <v>A2</v>
          </cell>
          <cell r="P311">
            <v>7</v>
          </cell>
          <cell r="S311" t="str">
            <v xml:space="preserve"> </v>
          </cell>
          <cell r="U311">
            <v>2002</v>
          </cell>
          <cell r="W311">
            <v>10300</v>
          </cell>
          <cell r="X311">
            <v>4000</v>
          </cell>
          <cell r="Z311">
            <v>0</v>
          </cell>
          <cell r="AA311">
            <v>500</v>
          </cell>
          <cell r="AB311">
            <v>150</v>
          </cell>
          <cell r="AC311">
            <v>0</v>
          </cell>
          <cell r="AF311">
            <v>500</v>
          </cell>
          <cell r="AG311">
            <v>2750</v>
          </cell>
          <cell r="AH311">
            <v>18200</v>
          </cell>
          <cell r="AI311">
            <v>218400</v>
          </cell>
          <cell r="AJ311">
            <v>17500</v>
          </cell>
          <cell r="AK311">
            <v>20000</v>
          </cell>
          <cell r="AL311">
            <v>15000</v>
          </cell>
          <cell r="AM311">
            <v>0</v>
          </cell>
          <cell r="AN311">
            <v>0</v>
          </cell>
          <cell r="AO311">
            <v>0</v>
          </cell>
          <cell r="AP311">
            <v>0</v>
          </cell>
          <cell r="AQ311">
            <v>33372</v>
          </cell>
          <cell r="AR311">
            <v>304272</v>
          </cell>
          <cell r="AS311">
            <v>0</v>
          </cell>
        </row>
        <row r="312">
          <cell r="P312">
            <v>7</v>
          </cell>
          <cell r="S312" t="str">
            <v xml:space="preserve"> </v>
          </cell>
          <cell r="U312" t="str">
            <v>DIFF.</v>
          </cell>
          <cell r="W312">
            <v>650</v>
          </cell>
          <cell r="X312">
            <v>500</v>
          </cell>
          <cell r="Z312">
            <v>0</v>
          </cell>
          <cell r="AA312">
            <v>0</v>
          </cell>
          <cell r="AB312">
            <v>0</v>
          </cell>
          <cell r="AC312">
            <v>0</v>
          </cell>
          <cell r="AE312">
            <v>0</v>
          </cell>
          <cell r="AF312">
            <v>0</v>
          </cell>
          <cell r="AG312">
            <v>0</v>
          </cell>
          <cell r="AH312">
            <v>1150</v>
          </cell>
          <cell r="AI312">
            <v>13800</v>
          </cell>
          <cell r="AJ312">
            <v>0</v>
          </cell>
          <cell r="AK312">
            <v>0</v>
          </cell>
          <cell r="AL312">
            <v>5000</v>
          </cell>
          <cell r="AM312">
            <v>0</v>
          </cell>
          <cell r="AN312">
            <v>0</v>
          </cell>
          <cell r="AO312">
            <v>0</v>
          </cell>
          <cell r="AP312">
            <v>0</v>
          </cell>
          <cell r="AQ312">
            <v>2106</v>
          </cell>
          <cell r="AR312">
            <v>20906</v>
          </cell>
          <cell r="AS312">
            <v>7.38</v>
          </cell>
        </row>
        <row r="313">
          <cell r="P313">
            <v>7</v>
          </cell>
          <cell r="S313" t="str">
            <v xml:space="preserve"> </v>
          </cell>
        </row>
        <row r="314">
          <cell r="G314">
            <v>2410</v>
          </cell>
          <cell r="H314" t="str">
            <v>MR SAIBAL CHATTERJEE</v>
          </cell>
          <cell r="I314">
            <v>27553</v>
          </cell>
          <cell r="J314">
            <v>36536</v>
          </cell>
          <cell r="K314">
            <v>9725</v>
          </cell>
          <cell r="L314" t="str">
            <v>MA</v>
          </cell>
          <cell r="M314">
            <v>21</v>
          </cell>
          <cell r="N314" t="str">
            <v>A1</v>
          </cell>
          <cell r="O314" t="str">
            <v>MA</v>
          </cell>
          <cell r="P314">
            <v>7</v>
          </cell>
          <cell r="Q314" t="str">
            <v>Other Locations</v>
          </cell>
          <cell r="R314" t="str">
            <v>Muzzafarpur (Bihar)</v>
          </cell>
          <cell r="S314" t="str">
            <v xml:space="preserve"> </v>
          </cell>
          <cell r="T314" t="str">
            <v>CA</v>
          </cell>
          <cell r="U314">
            <v>2001</v>
          </cell>
          <cell r="V314">
            <v>18000</v>
          </cell>
          <cell r="W314">
            <v>3550</v>
          </cell>
          <cell r="X314">
            <v>3500</v>
          </cell>
          <cell r="AA314">
            <v>500</v>
          </cell>
          <cell r="AB314">
            <v>150</v>
          </cell>
          <cell r="AD314" t="str">
            <v>CV</v>
          </cell>
          <cell r="AE314">
            <v>0</v>
          </cell>
          <cell r="AG314">
            <v>2750</v>
          </cell>
          <cell r="AH314">
            <v>10450</v>
          </cell>
          <cell r="AI314">
            <v>125400</v>
          </cell>
          <cell r="AJ314">
            <v>17500</v>
          </cell>
          <cell r="AK314">
            <v>20000</v>
          </cell>
          <cell r="AL314">
            <v>10000</v>
          </cell>
          <cell r="AQ314">
            <v>11502</v>
          </cell>
          <cell r="AR314">
            <v>184402</v>
          </cell>
        </row>
        <row r="315">
          <cell r="M315">
            <v>21</v>
          </cell>
          <cell r="N315" t="str">
            <v>A1</v>
          </cell>
          <cell r="P315">
            <v>7</v>
          </cell>
          <cell r="S315" t="str">
            <v xml:space="preserve"> </v>
          </cell>
          <cell r="U315">
            <v>2002</v>
          </cell>
          <cell r="W315">
            <v>4300</v>
          </cell>
          <cell r="X315">
            <v>4000</v>
          </cell>
          <cell r="Z315">
            <v>0</v>
          </cell>
          <cell r="AA315">
            <v>500</v>
          </cell>
          <cell r="AB315">
            <v>150</v>
          </cell>
          <cell r="AC315">
            <v>0</v>
          </cell>
          <cell r="AF315">
            <v>0</v>
          </cell>
          <cell r="AG315">
            <v>2750</v>
          </cell>
          <cell r="AH315">
            <v>11700</v>
          </cell>
          <cell r="AI315">
            <v>140400</v>
          </cell>
          <cell r="AJ315">
            <v>17500</v>
          </cell>
          <cell r="AK315">
            <v>20000</v>
          </cell>
          <cell r="AL315">
            <v>15000</v>
          </cell>
          <cell r="AM315">
            <v>0</v>
          </cell>
          <cell r="AN315">
            <v>0</v>
          </cell>
          <cell r="AO315">
            <v>0</v>
          </cell>
          <cell r="AP315">
            <v>0</v>
          </cell>
          <cell r="AQ315">
            <v>13932</v>
          </cell>
          <cell r="AR315">
            <v>206832</v>
          </cell>
          <cell r="AS315">
            <v>0</v>
          </cell>
        </row>
        <row r="316">
          <cell r="P316">
            <v>7</v>
          </cell>
          <cell r="S316" t="str">
            <v xml:space="preserve"> </v>
          </cell>
          <cell r="U316" t="str">
            <v>DIFF.</v>
          </cell>
          <cell r="W316">
            <v>750</v>
          </cell>
          <cell r="X316">
            <v>500</v>
          </cell>
          <cell r="Z316">
            <v>0</v>
          </cell>
          <cell r="AA316">
            <v>0</v>
          </cell>
          <cell r="AB316">
            <v>0</v>
          </cell>
          <cell r="AC316">
            <v>0</v>
          </cell>
          <cell r="AE316">
            <v>0</v>
          </cell>
          <cell r="AF316">
            <v>0</v>
          </cell>
          <cell r="AG316">
            <v>0</v>
          </cell>
          <cell r="AH316">
            <v>1250</v>
          </cell>
          <cell r="AI316">
            <v>15000</v>
          </cell>
          <cell r="AJ316">
            <v>0</v>
          </cell>
          <cell r="AK316">
            <v>0</v>
          </cell>
          <cell r="AL316">
            <v>5000</v>
          </cell>
          <cell r="AM316">
            <v>0</v>
          </cell>
          <cell r="AN316">
            <v>0</v>
          </cell>
          <cell r="AO316">
            <v>0</v>
          </cell>
          <cell r="AP316">
            <v>0</v>
          </cell>
          <cell r="AQ316">
            <v>2430</v>
          </cell>
          <cell r="AR316">
            <v>22430</v>
          </cell>
          <cell r="AS316">
            <v>12.16</v>
          </cell>
        </row>
        <row r="317">
          <cell r="P317">
            <v>7</v>
          </cell>
          <cell r="S317" t="str">
            <v xml:space="preserve"> </v>
          </cell>
        </row>
        <row r="318">
          <cell r="G318">
            <v>2412</v>
          </cell>
          <cell r="H318" t="str">
            <v>MR MANOJ OJHA</v>
          </cell>
          <cell r="I318">
            <v>27434</v>
          </cell>
          <cell r="J318">
            <v>36539</v>
          </cell>
          <cell r="K318">
            <v>9844</v>
          </cell>
          <cell r="L318" t="str">
            <v>MA</v>
          </cell>
          <cell r="M318">
            <v>21</v>
          </cell>
          <cell r="N318" t="str">
            <v>A1</v>
          </cell>
          <cell r="O318" t="str">
            <v>MA</v>
          </cell>
          <cell r="P318">
            <v>7</v>
          </cell>
          <cell r="Q318" t="str">
            <v>Other Locations</v>
          </cell>
          <cell r="R318" t="str">
            <v>Sagar (Mp)</v>
          </cell>
          <cell r="S318" t="str">
            <v xml:space="preserve"> </v>
          </cell>
          <cell r="T318" t="str">
            <v>BL</v>
          </cell>
          <cell r="U318">
            <v>2001</v>
          </cell>
          <cell r="V318">
            <v>21150</v>
          </cell>
          <cell r="W318">
            <v>3550</v>
          </cell>
          <cell r="X318">
            <v>3500</v>
          </cell>
          <cell r="AA318">
            <v>500</v>
          </cell>
          <cell r="AB318">
            <v>150</v>
          </cell>
          <cell r="AD318" t="str">
            <v>CV</v>
          </cell>
          <cell r="AE318">
            <v>0</v>
          </cell>
          <cell r="AG318">
            <v>2750</v>
          </cell>
          <cell r="AH318">
            <v>10450</v>
          </cell>
          <cell r="AI318">
            <v>125400</v>
          </cell>
          <cell r="AJ318">
            <v>17500</v>
          </cell>
          <cell r="AK318">
            <v>20000</v>
          </cell>
          <cell r="AL318">
            <v>10000</v>
          </cell>
          <cell r="AQ318">
            <v>11502</v>
          </cell>
          <cell r="AR318">
            <v>184402</v>
          </cell>
        </row>
        <row r="319">
          <cell r="M319">
            <v>21</v>
          </cell>
          <cell r="N319" t="str">
            <v>A1</v>
          </cell>
          <cell r="P319">
            <v>7</v>
          </cell>
          <cell r="S319" t="str">
            <v xml:space="preserve"> </v>
          </cell>
          <cell r="U319">
            <v>2002</v>
          </cell>
          <cell r="W319">
            <v>4500</v>
          </cell>
          <cell r="X319">
            <v>4000</v>
          </cell>
          <cell r="Z319">
            <v>0</v>
          </cell>
          <cell r="AA319">
            <v>500</v>
          </cell>
          <cell r="AB319">
            <v>150</v>
          </cell>
          <cell r="AC319">
            <v>0</v>
          </cell>
          <cell r="AF319">
            <v>0</v>
          </cell>
          <cell r="AG319">
            <v>2750</v>
          </cell>
          <cell r="AH319">
            <v>11900</v>
          </cell>
          <cell r="AI319">
            <v>142800</v>
          </cell>
          <cell r="AJ319">
            <v>17500</v>
          </cell>
          <cell r="AK319">
            <v>20000</v>
          </cell>
          <cell r="AL319">
            <v>15000</v>
          </cell>
          <cell r="AM319">
            <v>0</v>
          </cell>
          <cell r="AN319">
            <v>0</v>
          </cell>
          <cell r="AO319">
            <v>0</v>
          </cell>
          <cell r="AP319">
            <v>0</v>
          </cell>
          <cell r="AQ319">
            <v>14580</v>
          </cell>
          <cell r="AR319">
            <v>209880</v>
          </cell>
          <cell r="AS319">
            <v>0</v>
          </cell>
        </row>
        <row r="320">
          <cell r="P320">
            <v>7</v>
          </cell>
          <cell r="S320" t="str">
            <v xml:space="preserve"> </v>
          </cell>
          <cell r="U320" t="str">
            <v>DIFF.</v>
          </cell>
          <cell r="W320">
            <v>950</v>
          </cell>
          <cell r="X320">
            <v>500</v>
          </cell>
          <cell r="Z320">
            <v>0</v>
          </cell>
          <cell r="AA320">
            <v>0</v>
          </cell>
          <cell r="AB320">
            <v>0</v>
          </cell>
          <cell r="AC320">
            <v>0</v>
          </cell>
          <cell r="AE320">
            <v>0</v>
          </cell>
          <cell r="AF320">
            <v>0</v>
          </cell>
          <cell r="AG320">
            <v>0</v>
          </cell>
          <cell r="AH320">
            <v>1450</v>
          </cell>
          <cell r="AI320">
            <v>17400</v>
          </cell>
          <cell r="AJ320">
            <v>0</v>
          </cell>
          <cell r="AK320">
            <v>0</v>
          </cell>
          <cell r="AL320">
            <v>5000</v>
          </cell>
          <cell r="AM320">
            <v>0</v>
          </cell>
          <cell r="AN320">
            <v>0</v>
          </cell>
          <cell r="AO320">
            <v>0</v>
          </cell>
          <cell r="AP320">
            <v>0</v>
          </cell>
          <cell r="AQ320">
            <v>3078</v>
          </cell>
          <cell r="AR320">
            <v>25478</v>
          </cell>
          <cell r="AS320">
            <v>13.82</v>
          </cell>
        </row>
        <row r="321">
          <cell r="P321">
            <v>7</v>
          </cell>
          <cell r="S321" t="str">
            <v xml:space="preserve"> </v>
          </cell>
        </row>
        <row r="322">
          <cell r="G322">
            <v>2413</v>
          </cell>
          <cell r="H322" t="str">
            <v>MR SACHIN SOOD</v>
          </cell>
          <cell r="I322">
            <v>26772</v>
          </cell>
          <cell r="J322">
            <v>36542</v>
          </cell>
          <cell r="K322">
            <v>10506</v>
          </cell>
          <cell r="L322" t="str">
            <v>MA</v>
          </cell>
          <cell r="M322">
            <v>21</v>
          </cell>
          <cell r="N322" t="str">
            <v>A1</v>
          </cell>
          <cell r="O322" t="str">
            <v>MA</v>
          </cell>
          <cell r="P322">
            <v>7</v>
          </cell>
          <cell r="Q322" t="str">
            <v>Other Locations</v>
          </cell>
          <cell r="R322" t="str">
            <v>Hissar (Haryana)</v>
          </cell>
          <cell r="S322" t="str">
            <v xml:space="preserve"> </v>
          </cell>
          <cell r="T322" t="str">
            <v>BA</v>
          </cell>
          <cell r="U322">
            <v>2001</v>
          </cell>
          <cell r="V322">
            <v>21150</v>
          </cell>
          <cell r="W322">
            <v>3550</v>
          </cell>
          <cell r="X322">
            <v>3500</v>
          </cell>
          <cell r="AA322">
            <v>500</v>
          </cell>
          <cell r="AB322">
            <v>150</v>
          </cell>
          <cell r="AD322" t="str">
            <v>CV</v>
          </cell>
          <cell r="AE322">
            <v>0</v>
          </cell>
          <cell r="AG322">
            <v>2750</v>
          </cell>
          <cell r="AH322">
            <v>10450</v>
          </cell>
          <cell r="AI322">
            <v>125400</v>
          </cell>
          <cell r="AJ322">
            <v>17500</v>
          </cell>
          <cell r="AK322">
            <v>20000</v>
          </cell>
          <cell r="AL322">
            <v>10000</v>
          </cell>
          <cell r="AQ322">
            <v>11502</v>
          </cell>
          <cell r="AR322">
            <v>184402</v>
          </cell>
        </row>
        <row r="323">
          <cell r="M323">
            <v>21</v>
          </cell>
          <cell r="N323" t="str">
            <v>A1</v>
          </cell>
          <cell r="P323">
            <v>7</v>
          </cell>
          <cell r="S323" t="str">
            <v xml:space="preserve"> </v>
          </cell>
          <cell r="U323">
            <v>2002</v>
          </cell>
          <cell r="W323">
            <v>4650</v>
          </cell>
          <cell r="X323">
            <v>4000</v>
          </cell>
          <cell r="Z323">
            <v>0</v>
          </cell>
          <cell r="AA323">
            <v>500</v>
          </cell>
          <cell r="AB323">
            <v>150</v>
          </cell>
          <cell r="AC323">
            <v>0</v>
          </cell>
          <cell r="AF323">
            <v>0</v>
          </cell>
          <cell r="AG323">
            <v>2750</v>
          </cell>
          <cell r="AH323">
            <v>12050</v>
          </cell>
          <cell r="AI323">
            <v>144600</v>
          </cell>
          <cell r="AJ323">
            <v>17500</v>
          </cell>
          <cell r="AK323">
            <v>20000</v>
          </cell>
          <cell r="AL323">
            <v>15000</v>
          </cell>
          <cell r="AM323">
            <v>0</v>
          </cell>
          <cell r="AN323">
            <v>0</v>
          </cell>
          <cell r="AO323">
            <v>0</v>
          </cell>
          <cell r="AP323">
            <v>0</v>
          </cell>
          <cell r="AQ323">
            <v>15066</v>
          </cell>
          <cell r="AR323">
            <v>212166</v>
          </cell>
          <cell r="AS323">
            <v>0</v>
          </cell>
        </row>
        <row r="324">
          <cell r="P324">
            <v>7</v>
          </cell>
          <cell r="S324" t="str">
            <v xml:space="preserve"> </v>
          </cell>
          <cell r="U324" t="str">
            <v>DIFF.</v>
          </cell>
          <cell r="W324">
            <v>1100</v>
          </cell>
          <cell r="X324">
            <v>500</v>
          </cell>
          <cell r="Z324">
            <v>0</v>
          </cell>
          <cell r="AA324">
            <v>0</v>
          </cell>
          <cell r="AB324">
            <v>0</v>
          </cell>
          <cell r="AC324">
            <v>0</v>
          </cell>
          <cell r="AE324">
            <v>0</v>
          </cell>
          <cell r="AF324">
            <v>0</v>
          </cell>
          <cell r="AG324">
            <v>0</v>
          </cell>
          <cell r="AH324">
            <v>1600</v>
          </cell>
          <cell r="AI324">
            <v>19200</v>
          </cell>
          <cell r="AJ324">
            <v>0</v>
          </cell>
          <cell r="AK324">
            <v>0</v>
          </cell>
          <cell r="AL324">
            <v>5000</v>
          </cell>
          <cell r="AM324">
            <v>0</v>
          </cell>
          <cell r="AN324">
            <v>0</v>
          </cell>
          <cell r="AO324">
            <v>0</v>
          </cell>
          <cell r="AP324">
            <v>0</v>
          </cell>
          <cell r="AQ324">
            <v>3564</v>
          </cell>
          <cell r="AR324">
            <v>27764</v>
          </cell>
          <cell r="AS324">
            <v>15.06</v>
          </cell>
        </row>
        <row r="325">
          <cell r="P325">
            <v>7</v>
          </cell>
          <cell r="S325" t="str">
            <v xml:space="preserve"> </v>
          </cell>
        </row>
        <row r="326">
          <cell r="G326">
            <v>2414</v>
          </cell>
          <cell r="H326" t="str">
            <v>MR TATHAGATHA SANYAL</v>
          </cell>
          <cell r="I326">
            <v>27922</v>
          </cell>
          <cell r="J326">
            <v>36549</v>
          </cell>
          <cell r="K326">
            <v>9356</v>
          </cell>
          <cell r="L326" t="str">
            <v>MA</v>
          </cell>
          <cell r="M326">
            <v>21</v>
          </cell>
          <cell r="N326" t="str">
            <v>A1</v>
          </cell>
          <cell r="O326" t="str">
            <v>MA</v>
          </cell>
          <cell r="P326">
            <v>7</v>
          </cell>
          <cell r="Q326" t="str">
            <v>Other Locations</v>
          </cell>
          <cell r="R326" t="str">
            <v>Varanasi (Up)</v>
          </cell>
          <cell r="S326" t="str">
            <v xml:space="preserve"> </v>
          </cell>
          <cell r="T326" t="str">
            <v>CA</v>
          </cell>
          <cell r="U326">
            <v>2001</v>
          </cell>
          <cell r="V326">
            <v>18000</v>
          </cell>
          <cell r="W326">
            <v>3550</v>
          </cell>
          <cell r="X326">
            <v>3500</v>
          </cell>
          <cell r="AA326">
            <v>500</v>
          </cell>
          <cell r="AB326">
            <v>150</v>
          </cell>
          <cell r="AD326" t="str">
            <v>CV</v>
          </cell>
          <cell r="AE326">
            <v>0</v>
          </cell>
          <cell r="AG326">
            <v>2750</v>
          </cell>
          <cell r="AH326">
            <v>10450</v>
          </cell>
          <cell r="AI326">
            <v>125400</v>
          </cell>
          <cell r="AJ326">
            <v>17500</v>
          </cell>
          <cell r="AK326">
            <v>20000</v>
          </cell>
          <cell r="AL326">
            <v>10000</v>
          </cell>
          <cell r="AQ326">
            <v>11502</v>
          </cell>
          <cell r="AR326">
            <v>184402</v>
          </cell>
        </row>
        <row r="327">
          <cell r="M327">
            <v>21</v>
          </cell>
          <cell r="N327" t="str">
            <v>A1</v>
          </cell>
          <cell r="P327">
            <v>7</v>
          </cell>
          <cell r="S327" t="str">
            <v xml:space="preserve"> </v>
          </cell>
          <cell r="U327">
            <v>2002</v>
          </cell>
          <cell r="W327">
            <v>4300</v>
          </cell>
          <cell r="X327">
            <v>4000</v>
          </cell>
          <cell r="Z327">
            <v>0</v>
          </cell>
          <cell r="AA327">
            <v>500</v>
          </cell>
          <cell r="AB327">
            <v>150</v>
          </cell>
          <cell r="AC327">
            <v>0</v>
          </cell>
          <cell r="AF327">
            <v>0</v>
          </cell>
          <cell r="AG327">
            <v>2750</v>
          </cell>
          <cell r="AH327">
            <v>11700</v>
          </cell>
          <cell r="AI327">
            <v>140400</v>
          </cell>
          <cell r="AJ327">
            <v>17500</v>
          </cell>
          <cell r="AK327">
            <v>20000</v>
          </cell>
          <cell r="AL327">
            <v>15000</v>
          </cell>
          <cell r="AM327">
            <v>0</v>
          </cell>
          <cell r="AN327">
            <v>0</v>
          </cell>
          <cell r="AO327">
            <v>0</v>
          </cell>
          <cell r="AP327">
            <v>0</v>
          </cell>
          <cell r="AQ327">
            <v>13932</v>
          </cell>
          <cell r="AR327">
            <v>206832</v>
          </cell>
          <cell r="AS327">
            <v>0</v>
          </cell>
        </row>
        <row r="328">
          <cell r="P328">
            <v>7</v>
          </cell>
          <cell r="S328" t="str">
            <v xml:space="preserve"> </v>
          </cell>
          <cell r="U328" t="str">
            <v>DIFF.</v>
          </cell>
          <cell r="W328">
            <v>750</v>
          </cell>
          <cell r="X328">
            <v>500</v>
          </cell>
          <cell r="Z328">
            <v>0</v>
          </cell>
          <cell r="AA328">
            <v>0</v>
          </cell>
          <cell r="AB328">
            <v>0</v>
          </cell>
          <cell r="AC328">
            <v>0</v>
          </cell>
          <cell r="AE328">
            <v>0</v>
          </cell>
          <cell r="AF328">
            <v>0</v>
          </cell>
          <cell r="AG328">
            <v>0</v>
          </cell>
          <cell r="AH328">
            <v>1250</v>
          </cell>
          <cell r="AI328">
            <v>15000</v>
          </cell>
          <cell r="AJ328">
            <v>0</v>
          </cell>
          <cell r="AK328">
            <v>0</v>
          </cell>
          <cell r="AL328">
            <v>5000</v>
          </cell>
          <cell r="AM328">
            <v>0</v>
          </cell>
          <cell r="AN328">
            <v>0</v>
          </cell>
          <cell r="AO328">
            <v>0</v>
          </cell>
          <cell r="AP328">
            <v>0</v>
          </cell>
          <cell r="AQ328">
            <v>2430</v>
          </cell>
          <cell r="AR328">
            <v>22430</v>
          </cell>
          <cell r="AS328">
            <v>12.16</v>
          </cell>
        </row>
        <row r="329">
          <cell r="P329">
            <v>7</v>
          </cell>
          <cell r="S329" t="str">
            <v xml:space="preserve"> </v>
          </cell>
        </row>
        <row r="330">
          <cell r="G330">
            <v>2416</v>
          </cell>
          <cell r="H330" t="str">
            <v>MR MANISH PANCHAL</v>
          </cell>
          <cell r="I330">
            <v>27247</v>
          </cell>
          <cell r="J330">
            <v>36594</v>
          </cell>
          <cell r="K330">
            <v>10031</v>
          </cell>
          <cell r="L330" t="str">
            <v>MA</v>
          </cell>
          <cell r="M330">
            <v>21</v>
          </cell>
          <cell r="N330" t="str">
            <v>A1</v>
          </cell>
          <cell r="O330" t="str">
            <v>MA</v>
          </cell>
          <cell r="P330">
            <v>7</v>
          </cell>
          <cell r="Q330" t="str">
            <v>Other Locations</v>
          </cell>
          <cell r="R330" t="str">
            <v>Sujalpur (Mp)</v>
          </cell>
          <cell r="S330" t="str">
            <v xml:space="preserve"> </v>
          </cell>
          <cell r="T330" t="str">
            <v>D</v>
          </cell>
          <cell r="U330">
            <v>2001</v>
          </cell>
          <cell r="V330">
            <v>11000</v>
          </cell>
          <cell r="W330">
            <v>3550</v>
          </cell>
          <cell r="X330">
            <v>3500</v>
          </cell>
          <cell r="AA330">
            <v>500</v>
          </cell>
          <cell r="AB330">
            <v>150</v>
          </cell>
          <cell r="AC330">
            <v>800</v>
          </cell>
          <cell r="AE330">
            <v>0</v>
          </cell>
          <cell r="AG330">
            <v>2750</v>
          </cell>
          <cell r="AH330">
            <v>11250</v>
          </cell>
          <cell r="AI330">
            <v>135000</v>
          </cell>
          <cell r="AJ330">
            <v>17500</v>
          </cell>
          <cell r="AK330">
            <v>20000</v>
          </cell>
          <cell r="AL330">
            <v>10000</v>
          </cell>
          <cell r="AQ330">
            <v>11502</v>
          </cell>
          <cell r="AR330">
            <v>194002</v>
          </cell>
        </row>
        <row r="331">
          <cell r="M331">
            <v>21</v>
          </cell>
          <cell r="N331" t="str">
            <v>A1</v>
          </cell>
          <cell r="P331">
            <v>7</v>
          </cell>
          <cell r="S331" t="str">
            <v xml:space="preserve"> </v>
          </cell>
          <cell r="U331">
            <v>2002</v>
          </cell>
          <cell r="W331">
            <v>3900</v>
          </cell>
          <cell r="X331">
            <v>4000</v>
          </cell>
          <cell r="Z331">
            <v>0</v>
          </cell>
          <cell r="AA331">
            <v>500</v>
          </cell>
          <cell r="AB331">
            <v>150</v>
          </cell>
          <cell r="AC331">
            <v>800</v>
          </cell>
          <cell r="AF331">
            <v>0</v>
          </cell>
          <cell r="AG331">
            <v>2750</v>
          </cell>
          <cell r="AH331">
            <v>12100</v>
          </cell>
          <cell r="AI331">
            <v>145200</v>
          </cell>
          <cell r="AJ331">
            <v>17500</v>
          </cell>
          <cell r="AK331">
            <v>20000</v>
          </cell>
          <cell r="AL331">
            <v>15000</v>
          </cell>
          <cell r="AM331">
            <v>0</v>
          </cell>
          <cell r="AN331">
            <v>0</v>
          </cell>
          <cell r="AO331">
            <v>0</v>
          </cell>
          <cell r="AP331">
            <v>0</v>
          </cell>
          <cell r="AQ331">
            <v>12636</v>
          </cell>
          <cell r="AR331">
            <v>210336</v>
          </cell>
          <cell r="AS331">
            <v>0</v>
          </cell>
        </row>
        <row r="332">
          <cell r="P332">
            <v>7</v>
          </cell>
          <cell r="S332" t="str">
            <v xml:space="preserve"> </v>
          </cell>
          <cell r="U332" t="str">
            <v>DIFF.</v>
          </cell>
          <cell r="W332">
            <v>350</v>
          </cell>
          <cell r="X332">
            <v>500</v>
          </cell>
          <cell r="Z332">
            <v>0</v>
          </cell>
          <cell r="AA332">
            <v>0</v>
          </cell>
          <cell r="AB332">
            <v>0</v>
          </cell>
          <cell r="AC332">
            <v>0</v>
          </cell>
          <cell r="AE332">
            <v>0</v>
          </cell>
          <cell r="AF332">
            <v>0</v>
          </cell>
          <cell r="AG332">
            <v>0</v>
          </cell>
          <cell r="AH332">
            <v>850</v>
          </cell>
          <cell r="AI332">
            <v>10200</v>
          </cell>
          <cell r="AJ332">
            <v>0</v>
          </cell>
          <cell r="AK332">
            <v>0</v>
          </cell>
          <cell r="AL332">
            <v>5000</v>
          </cell>
          <cell r="AM332">
            <v>0</v>
          </cell>
          <cell r="AN332">
            <v>0</v>
          </cell>
          <cell r="AO332">
            <v>0</v>
          </cell>
          <cell r="AP332">
            <v>0</v>
          </cell>
          <cell r="AQ332">
            <v>1134</v>
          </cell>
          <cell r="AR332">
            <v>16334</v>
          </cell>
          <cell r="AS332">
            <v>8.42</v>
          </cell>
        </row>
        <row r="333">
          <cell r="P333">
            <v>7</v>
          </cell>
          <cell r="S333" t="str">
            <v xml:space="preserve"> </v>
          </cell>
        </row>
        <row r="334">
          <cell r="G334">
            <v>2417</v>
          </cell>
          <cell r="H334" t="str">
            <v>MR BIRENDRA KUMAR</v>
          </cell>
          <cell r="I334">
            <v>27304</v>
          </cell>
          <cell r="J334">
            <v>36595</v>
          </cell>
          <cell r="K334">
            <v>9974</v>
          </cell>
          <cell r="L334" t="str">
            <v>MA</v>
          </cell>
          <cell r="M334">
            <v>21</v>
          </cell>
          <cell r="N334" t="str">
            <v>A1</v>
          </cell>
          <cell r="O334" t="str">
            <v>MA</v>
          </cell>
          <cell r="P334">
            <v>7</v>
          </cell>
          <cell r="Q334" t="str">
            <v>Other Locations</v>
          </cell>
          <cell r="R334" t="str">
            <v>Guna (Mp)</v>
          </cell>
          <cell r="S334" t="str">
            <v xml:space="preserve"> </v>
          </cell>
          <cell r="T334" t="str">
            <v>BL</v>
          </cell>
          <cell r="U334">
            <v>2001</v>
          </cell>
          <cell r="V334">
            <v>21150</v>
          </cell>
          <cell r="W334">
            <v>3550</v>
          </cell>
          <cell r="X334">
            <v>3500</v>
          </cell>
          <cell r="AA334">
            <v>500</v>
          </cell>
          <cell r="AB334">
            <v>150</v>
          </cell>
          <cell r="AD334" t="str">
            <v>CV</v>
          </cell>
          <cell r="AE334">
            <v>0</v>
          </cell>
          <cell r="AG334">
            <v>2750</v>
          </cell>
          <cell r="AH334">
            <v>10450</v>
          </cell>
          <cell r="AI334">
            <v>125400</v>
          </cell>
          <cell r="AJ334">
            <v>17500</v>
          </cell>
          <cell r="AK334">
            <v>20000</v>
          </cell>
          <cell r="AL334">
            <v>10000</v>
          </cell>
          <cell r="AQ334">
            <v>11502</v>
          </cell>
          <cell r="AR334">
            <v>184402</v>
          </cell>
        </row>
        <row r="335">
          <cell r="M335">
            <v>21</v>
          </cell>
          <cell r="N335" t="str">
            <v>A1</v>
          </cell>
          <cell r="P335">
            <v>7</v>
          </cell>
          <cell r="S335" t="str">
            <v xml:space="preserve"> </v>
          </cell>
          <cell r="U335">
            <v>2002</v>
          </cell>
          <cell r="W335">
            <v>4500</v>
          </cell>
          <cell r="X335">
            <v>4000</v>
          </cell>
          <cell r="Z335">
            <v>0</v>
          </cell>
          <cell r="AA335">
            <v>500</v>
          </cell>
          <cell r="AB335">
            <v>150</v>
          </cell>
          <cell r="AC335">
            <v>0</v>
          </cell>
          <cell r="AF335">
            <v>0</v>
          </cell>
          <cell r="AG335">
            <v>2750</v>
          </cell>
          <cell r="AH335">
            <v>11900</v>
          </cell>
          <cell r="AI335">
            <v>142800</v>
          </cell>
          <cell r="AJ335">
            <v>17500</v>
          </cell>
          <cell r="AK335">
            <v>20000</v>
          </cell>
          <cell r="AL335">
            <v>15000</v>
          </cell>
          <cell r="AM335">
            <v>0</v>
          </cell>
          <cell r="AN335">
            <v>0</v>
          </cell>
          <cell r="AO335">
            <v>0</v>
          </cell>
          <cell r="AP335">
            <v>0</v>
          </cell>
          <cell r="AQ335">
            <v>14580</v>
          </cell>
          <cell r="AR335">
            <v>209880</v>
          </cell>
          <cell r="AS335">
            <v>0</v>
          </cell>
        </row>
        <row r="336">
          <cell r="P336">
            <v>7</v>
          </cell>
          <cell r="S336" t="str">
            <v xml:space="preserve"> </v>
          </cell>
          <cell r="U336" t="str">
            <v>DIFF.</v>
          </cell>
          <cell r="W336">
            <v>950</v>
          </cell>
          <cell r="X336">
            <v>500</v>
          </cell>
          <cell r="Z336">
            <v>0</v>
          </cell>
          <cell r="AA336">
            <v>0</v>
          </cell>
          <cell r="AB336">
            <v>0</v>
          </cell>
          <cell r="AC336">
            <v>0</v>
          </cell>
          <cell r="AE336">
            <v>0</v>
          </cell>
          <cell r="AF336">
            <v>0</v>
          </cell>
          <cell r="AG336">
            <v>0</v>
          </cell>
          <cell r="AH336">
            <v>1450</v>
          </cell>
          <cell r="AI336">
            <v>17400</v>
          </cell>
          <cell r="AJ336">
            <v>0</v>
          </cell>
          <cell r="AK336">
            <v>0</v>
          </cell>
          <cell r="AL336">
            <v>5000</v>
          </cell>
          <cell r="AM336">
            <v>0</v>
          </cell>
          <cell r="AN336">
            <v>0</v>
          </cell>
          <cell r="AO336">
            <v>0</v>
          </cell>
          <cell r="AP336">
            <v>0</v>
          </cell>
          <cell r="AQ336">
            <v>3078</v>
          </cell>
          <cell r="AR336">
            <v>25478</v>
          </cell>
          <cell r="AS336">
            <v>13.82</v>
          </cell>
        </row>
        <row r="337">
          <cell r="P337">
            <v>7</v>
          </cell>
          <cell r="S337" t="str">
            <v xml:space="preserve"> </v>
          </cell>
        </row>
        <row r="338">
          <cell r="G338">
            <v>1206</v>
          </cell>
          <cell r="H338" t="str">
            <v>MRS D'SOUZA E</v>
          </cell>
          <cell r="I338">
            <v>18309</v>
          </cell>
          <cell r="J338">
            <v>27274</v>
          </cell>
          <cell r="K338">
            <v>18969</v>
          </cell>
          <cell r="L338" t="str">
            <v>MA</v>
          </cell>
          <cell r="M338">
            <v>22</v>
          </cell>
          <cell r="O338" t="str">
            <v>MA</v>
          </cell>
          <cell r="P338">
            <v>1</v>
          </cell>
          <cell r="Q338" t="str">
            <v>Mumbai</v>
          </cell>
          <cell r="R338" t="str">
            <v>Ho</v>
          </cell>
          <cell r="S338" t="str">
            <v xml:space="preserve"> </v>
          </cell>
          <cell r="T338" t="str">
            <v>CL</v>
          </cell>
          <cell r="U338">
            <v>2001</v>
          </cell>
          <cell r="V338">
            <v>22250</v>
          </cell>
          <cell r="W338">
            <v>9857</v>
          </cell>
          <cell r="X338">
            <v>4000</v>
          </cell>
          <cell r="AA338">
            <v>500</v>
          </cell>
          <cell r="AB338">
            <v>150</v>
          </cell>
          <cell r="AC338">
            <v>850</v>
          </cell>
          <cell r="AE338">
            <v>1000</v>
          </cell>
          <cell r="AG338">
            <v>3250</v>
          </cell>
          <cell r="AH338">
            <v>19607</v>
          </cell>
          <cell r="AI338">
            <v>235284</v>
          </cell>
          <cell r="AJ338">
            <v>20000</v>
          </cell>
          <cell r="AK338">
            <v>25000</v>
          </cell>
          <cell r="AL338">
            <v>10000</v>
          </cell>
          <cell r="AQ338">
            <v>31937</v>
          </cell>
          <cell r="AR338">
            <v>322221</v>
          </cell>
        </row>
        <row r="339">
          <cell r="M339">
            <v>22</v>
          </cell>
          <cell r="P339">
            <v>1</v>
          </cell>
          <cell r="S339" t="str">
            <v xml:space="preserve"> </v>
          </cell>
          <cell r="U339">
            <v>2002</v>
          </cell>
          <cell r="W339">
            <v>10707</v>
          </cell>
          <cell r="X339">
            <v>6000</v>
          </cell>
          <cell r="Z339">
            <v>0</v>
          </cell>
          <cell r="AA339">
            <v>500</v>
          </cell>
          <cell r="AB339">
            <v>150</v>
          </cell>
          <cell r="AC339">
            <v>850</v>
          </cell>
          <cell r="AF339">
            <v>0</v>
          </cell>
          <cell r="AG339">
            <v>3250</v>
          </cell>
          <cell r="AH339">
            <v>21457</v>
          </cell>
          <cell r="AI339">
            <v>257484</v>
          </cell>
          <cell r="AJ339">
            <v>20000</v>
          </cell>
          <cell r="AK339">
            <v>25000</v>
          </cell>
          <cell r="AL339">
            <v>15000</v>
          </cell>
          <cell r="AM339">
            <v>0</v>
          </cell>
          <cell r="AN339">
            <v>0</v>
          </cell>
          <cell r="AO339">
            <v>0</v>
          </cell>
          <cell r="AP339">
            <v>0</v>
          </cell>
          <cell r="AQ339">
            <v>34691</v>
          </cell>
          <cell r="AR339">
            <v>352175</v>
          </cell>
          <cell r="AS339">
            <v>0</v>
          </cell>
        </row>
        <row r="340">
          <cell r="P340">
            <v>1</v>
          </cell>
          <cell r="S340" t="str">
            <v xml:space="preserve"> </v>
          </cell>
          <cell r="U340" t="str">
            <v>DIFF.</v>
          </cell>
          <cell r="W340">
            <v>850</v>
          </cell>
          <cell r="X340">
            <v>2000</v>
          </cell>
          <cell r="Z340">
            <v>0</v>
          </cell>
          <cell r="AA340">
            <v>0</v>
          </cell>
          <cell r="AB340">
            <v>0</v>
          </cell>
          <cell r="AC340">
            <v>0</v>
          </cell>
          <cell r="AE340">
            <v>-1000</v>
          </cell>
          <cell r="AF340">
            <v>0</v>
          </cell>
          <cell r="AG340">
            <v>0</v>
          </cell>
          <cell r="AH340">
            <v>1850</v>
          </cell>
          <cell r="AI340">
            <v>22200</v>
          </cell>
          <cell r="AJ340">
            <v>0</v>
          </cell>
          <cell r="AK340">
            <v>0</v>
          </cell>
          <cell r="AL340">
            <v>5000</v>
          </cell>
          <cell r="AM340">
            <v>0</v>
          </cell>
          <cell r="AN340">
            <v>0</v>
          </cell>
          <cell r="AO340">
            <v>0</v>
          </cell>
          <cell r="AP340">
            <v>0</v>
          </cell>
          <cell r="AQ340">
            <v>2754</v>
          </cell>
          <cell r="AR340">
            <v>29954</v>
          </cell>
          <cell r="AS340">
            <v>9.3000000000000007</v>
          </cell>
        </row>
        <row r="341">
          <cell r="P341">
            <v>1</v>
          </cell>
          <cell r="S341" t="str">
            <v xml:space="preserve"> </v>
          </cell>
        </row>
        <row r="342">
          <cell r="G342">
            <v>1386</v>
          </cell>
          <cell r="H342" t="str">
            <v>MR VALSARAJAN P</v>
          </cell>
          <cell r="I342">
            <v>19899</v>
          </cell>
          <cell r="J342">
            <v>29312</v>
          </cell>
          <cell r="K342">
            <v>17379</v>
          </cell>
          <cell r="L342" t="str">
            <v>MA</v>
          </cell>
          <cell r="M342">
            <v>22</v>
          </cell>
          <cell r="N342" t="str">
            <v>A3</v>
          </cell>
          <cell r="O342" t="str">
            <v>MAM</v>
          </cell>
          <cell r="P342">
            <v>7</v>
          </cell>
          <cell r="Q342" t="str">
            <v>Other Locations</v>
          </cell>
          <cell r="R342" t="str">
            <v>Hyderabad</v>
          </cell>
          <cell r="S342" t="str">
            <v xml:space="preserve"> </v>
          </cell>
          <cell r="T342" t="str">
            <v>BA</v>
          </cell>
          <cell r="U342">
            <v>2001</v>
          </cell>
          <cell r="V342">
            <v>26250</v>
          </cell>
          <cell r="W342">
            <v>10890</v>
          </cell>
          <cell r="X342">
            <v>4000</v>
          </cell>
          <cell r="AA342">
            <v>500</v>
          </cell>
          <cell r="AB342">
            <v>150</v>
          </cell>
          <cell r="AC342">
            <v>850</v>
          </cell>
          <cell r="AE342">
            <v>0</v>
          </cell>
          <cell r="AG342">
            <v>3250</v>
          </cell>
          <cell r="AH342">
            <v>19640</v>
          </cell>
          <cell r="AI342">
            <v>235680</v>
          </cell>
          <cell r="AJ342">
            <v>20000</v>
          </cell>
          <cell r="AK342">
            <v>25000</v>
          </cell>
          <cell r="AL342">
            <v>10000</v>
          </cell>
          <cell r="AQ342">
            <v>35284</v>
          </cell>
          <cell r="AR342">
            <v>325964</v>
          </cell>
        </row>
        <row r="343">
          <cell r="M343">
            <v>22</v>
          </cell>
          <cell r="N343" t="str">
            <v>A3</v>
          </cell>
          <cell r="P343">
            <v>7</v>
          </cell>
          <cell r="S343" t="str">
            <v xml:space="preserve"> </v>
          </cell>
          <cell r="U343">
            <v>2002</v>
          </cell>
          <cell r="W343">
            <v>12140</v>
          </cell>
          <cell r="X343">
            <v>4500</v>
          </cell>
          <cell r="Z343">
            <v>0</v>
          </cell>
          <cell r="AA343">
            <v>500</v>
          </cell>
          <cell r="AB343">
            <v>150</v>
          </cell>
          <cell r="AC343">
            <v>850</v>
          </cell>
          <cell r="AF343">
            <v>0</v>
          </cell>
          <cell r="AG343">
            <v>3250</v>
          </cell>
          <cell r="AH343">
            <v>21390</v>
          </cell>
          <cell r="AI343">
            <v>256680</v>
          </cell>
          <cell r="AJ343">
            <v>20000</v>
          </cell>
          <cell r="AK343">
            <v>25000</v>
          </cell>
          <cell r="AL343">
            <v>15000</v>
          </cell>
          <cell r="AM343">
            <v>0</v>
          </cell>
          <cell r="AN343">
            <v>0</v>
          </cell>
          <cell r="AO343">
            <v>0</v>
          </cell>
          <cell r="AP343">
            <v>0</v>
          </cell>
          <cell r="AQ343">
            <v>39334</v>
          </cell>
          <cell r="AR343">
            <v>356014</v>
          </cell>
          <cell r="AS343">
            <v>0</v>
          </cell>
        </row>
        <row r="344">
          <cell r="P344">
            <v>7</v>
          </cell>
          <cell r="S344" t="str">
            <v xml:space="preserve"> </v>
          </cell>
          <cell r="U344" t="str">
            <v>DIFF.</v>
          </cell>
          <cell r="W344">
            <v>1250</v>
          </cell>
          <cell r="X344">
            <v>500</v>
          </cell>
          <cell r="Z344">
            <v>0</v>
          </cell>
          <cell r="AA344">
            <v>0</v>
          </cell>
          <cell r="AB344">
            <v>0</v>
          </cell>
          <cell r="AC344">
            <v>0</v>
          </cell>
          <cell r="AE344">
            <v>0</v>
          </cell>
          <cell r="AF344">
            <v>0</v>
          </cell>
          <cell r="AG344">
            <v>0</v>
          </cell>
          <cell r="AH344">
            <v>1750</v>
          </cell>
          <cell r="AI344">
            <v>21000</v>
          </cell>
          <cell r="AJ344">
            <v>0</v>
          </cell>
          <cell r="AK344">
            <v>0</v>
          </cell>
          <cell r="AL344">
            <v>5000</v>
          </cell>
          <cell r="AM344">
            <v>0</v>
          </cell>
          <cell r="AN344">
            <v>0</v>
          </cell>
          <cell r="AO344">
            <v>0</v>
          </cell>
          <cell r="AP344">
            <v>0</v>
          </cell>
          <cell r="AQ344">
            <v>4050</v>
          </cell>
          <cell r="AR344">
            <v>30050</v>
          </cell>
          <cell r="AS344">
            <v>9.2200000000000006</v>
          </cell>
        </row>
        <row r="345">
          <cell r="P345">
            <v>7</v>
          </cell>
          <cell r="S345" t="str">
            <v xml:space="preserve"> </v>
          </cell>
        </row>
        <row r="346">
          <cell r="G346">
            <v>1485</v>
          </cell>
          <cell r="H346" t="str">
            <v>MR SODAH V H</v>
          </cell>
          <cell r="I346">
            <v>20341</v>
          </cell>
          <cell r="J346">
            <v>29952</v>
          </cell>
          <cell r="K346">
            <v>16937</v>
          </cell>
          <cell r="L346" t="str">
            <v>MA</v>
          </cell>
          <cell r="M346">
            <v>22</v>
          </cell>
          <cell r="O346" t="str">
            <v>MAM</v>
          </cell>
          <cell r="P346">
            <v>1</v>
          </cell>
          <cell r="Q346" t="str">
            <v>Mumbai</v>
          </cell>
          <cell r="R346" t="str">
            <v>Ho</v>
          </cell>
          <cell r="S346" t="str">
            <v xml:space="preserve"> </v>
          </cell>
          <cell r="T346" t="str">
            <v>CL</v>
          </cell>
          <cell r="U346">
            <v>2001</v>
          </cell>
          <cell r="V346">
            <v>22250</v>
          </cell>
          <cell r="W346">
            <v>11392</v>
          </cell>
          <cell r="X346">
            <v>4000</v>
          </cell>
          <cell r="AA346">
            <v>500</v>
          </cell>
          <cell r="AB346">
            <v>150</v>
          </cell>
          <cell r="AC346">
            <v>850</v>
          </cell>
          <cell r="AE346">
            <v>1000</v>
          </cell>
          <cell r="AG346">
            <v>3250</v>
          </cell>
          <cell r="AH346">
            <v>21142</v>
          </cell>
          <cell r="AI346">
            <v>253704</v>
          </cell>
          <cell r="AJ346">
            <v>20000</v>
          </cell>
          <cell r="AK346">
            <v>25000</v>
          </cell>
          <cell r="AL346">
            <v>10000</v>
          </cell>
          <cell r="AQ346">
            <v>36910</v>
          </cell>
          <cell r="AR346">
            <v>345614</v>
          </cell>
        </row>
        <row r="347">
          <cell r="M347">
            <v>22</v>
          </cell>
          <cell r="P347">
            <v>1</v>
          </cell>
          <cell r="S347" t="str">
            <v xml:space="preserve"> </v>
          </cell>
          <cell r="U347">
            <v>2002</v>
          </cell>
          <cell r="W347">
            <v>12242</v>
          </cell>
          <cell r="X347">
            <v>6000</v>
          </cell>
          <cell r="Z347">
            <v>0</v>
          </cell>
          <cell r="AA347">
            <v>500</v>
          </cell>
          <cell r="AB347">
            <v>150</v>
          </cell>
          <cell r="AC347">
            <v>850</v>
          </cell>
          <cell r="AF347">
            <v>0</v>
          </cell>
          <cell r="AG347">
            <v>3250</v>
          </cell>
          <cell r="AH347">
            <v>22992</v>
          </cell>
          <cell r="AI347">
            <v>275904</v>
          </cell>
          <cell r="AJ347">
            <v>20000</v>
          </cell>
          <cell r="AK347">
            <v>25000</v>
          </cell>
          <cell r="AL347">
            <v>15000</v>
          </cell>
          <cell r="AM347">
            <v>0</v>
          </cell>
          <cell r="AN347">
            <v>0</v>
          </cell>
          <cell r="AO347">
            <v>0</v>
          </cell>
          <cell r="AP347">
            <v>0</v>
          </cell>
          <cell r="AQ347">
            <v>39664</v>
          </cell>
          <cell r="AR347">
            <v>375568</v>
          </cell>
          <cell r="AS347">
            <v>0</v>
          </cell>
        </row>
        <row r="348">
          <cell r="P348">
            <v>1</v>
          </cell>
          <cell r="S348" t="str">
            <v xml:space="preserve"> </v>
          </cell>
          <cell r="U348" t="str">
            <v>DIFF.</v>
          </cell>
          <cell r="W348">
            <v>850</v>
          </cell>
          <cell r="X348">
            <v>2000</v>
          </cell>
          <cell r="Z348">
            <v>0</v>
          </cell>
          <cell r="AA348">
            <v>0</v>
          </cell>
          <cell r="AB348">
            <v>0</v>
          </cell>
          <cell r="AC348">
            <v>0</v>
          </cell>
          <cell r="AE348">
            <v>-1000</v>
          </cell>
          <cell r="AF348">
            <v>0</v>
          </cell>
          <cell r="AG348">
            <v>0</v>
          </cell>
          <cell r="AH348">
            <v>1850</v>
          </cell>
          <cell r="AI348">
            <v>22200</v>
          </cell>
          <cell r="AJ348">
            <v>0</v>
          </cell>
          <cell r="AK348">
            <v>0</v>
          </cell>
          <cell r="AL348">
            <v>5000</v>
          </cell>
          <cell r="AM348">
            <v>0</v>
          </cell>
          <cell r="AN348">
            <v>0</v>
          </cell>
          <cell r="AO348">
            <v>0</v>
          </cell>
          <cell r="AP348">
            <v>0</v>
          </cell>
          <cell r="AQ348">
            <v>2754</v>
          </cell>
          <cell r="AR348">
            <v>29954</v>
          </cell>
          <cell r="AS348">
            <v>8.67</v>
          </cell>
        </row>
        <row r="349">
          <cell r="P349">
            <v>1</v>
          </cell>
          <cell r="S349" t="str">
            <v xml:space="preserve"> </v>
          </cell>
        </row>
        <row r="350">
          <cell r="G350">
            <v>1622</v>
          </cell>
          <cell r="H350" t="str">
            <v>MR KALATHIA B T</v>
          </cell>
          <cell r="I350">
            <v>20650</v>
          </cell>
          <cell r="J350">
            <v>30895</v>
          </cell>
          <cell r="K350">
            <v>16628</v>
          </cell>
          <cell r="L350" t="str">
            <v>MA</v>
          </cell>
          <cell r="M350">
            <v>22</v>
          </cell>
          <cell r="N350" t="str">
            <v>A4</v>
          </cell>
          <cell r="O350" t="str">
            <v>MAM</v>
          </cell>
          <cell r="P350">
            <v>7</v>
          </cell>
          <cell r="Q350" t="str">
            <v>Other Locations</v>
          </cell>
          <cell r="R350" t="str">
            <v>Surendranagar</v>
          </cell>
          <cell r="S350" t="str">
            <v xml:space="preserve"> </v>
          </cell>
          <cell r="T350" t="str">
            <v>BA</v>
          </cell>
          <cell r="U350">
            <v>2001</v>
          </cell>
          <cell r="V350">
            <v>26250</v>
          </cell>
          <cell r="W350">
            <v>10209</v>
          </cell>
          <cell r="X350">
            <v>4000</v>
          </cell>
          <cell r="AA350">
            <v>500</v>
          </cell>
          <cell r="AB350">
            <v>150</v>
          </cell>
          <cell r="AC350">
            <v>0</v>
          </cell>
          <cell r="AD350" t="str">
            <v>CV</v>
          </cell>
          <cell r="AE350">
            <v>0</v>
          </cell>
          <cell r="AF350">
            <v>500</v>
          </cell>
          <cell r="AG350">
            <v>3250</v>
          </cell>
          <cell r="AH350">
            <v>18609</v>
          </cell>
          <cell r="AI350">
            <v>223308</v>
          </cell>
          <cell r="AJ350">
            <v>20000</v>
          </cell>
          <cell r="AK350">
            <v>25000</v>
          </cell>
          <cell r="AL350">
            <v>10000</v>
          </cell>
          <cell r="AM350">
            <v>0</v>
          </cell>
          <cell r="AN350">
            <v>0</v>
          </cell>
          <cell r="AO350">
            <v>0</v>
          </cell>
          <cell r="AP350">
            <v>0</v>
          </cell>
          <cell r="AQ350">
            <v>33077</v>
          </cell>
          <cell r="AR350">
            <v>311385</v>
          </cell>
          <cell r="AS350">
            <v>0</v>
          </cell>
        </row>
        <row r="351">
          <cell r="M351">
            <v>22</v>
          </cell>
          <cell r="N351" t="str">
            <v>A4</v>
          </cell>
          <cell r="P351">
            <v>7</v>
          </cell>
          <cell r="S351" t="str">
            <v xml:space="preserve"> </v>
          </cell>
          <cell r="U351">
            <v>2002</v>
          </cell>
          <cell r="W351">
            <v>12509</v>
          </cell>
          <cell r="X351">
            <v>4500</v>
          </cell>
          <cell r="Z351">
            <v>0</v>
          </cell>
          <cell r="AA351">
            <v>500</v>
          </cell>
          <cell r="AB351">
            <v>150</v>
          </cell>
          <cell r="AC351">
            <v>0</v>
          </cell>
          <cell r="AF351">
            <v>500</v>
          </cell>
          <cell r="AG351">
            <v>3250</v>
          </cell>
          <cell r="AH351">
            <v>21409</v>
          </cell>
          <cell r="AI351">
            <v>256908</v>
          </cell>
          <cell r="AJ351">
            <v>20000</v>
          </cell>
          <cell r="AK351">
            <v>25000</v>
          </cell>
          <cell r="AL351">
            <v>15000</v>
          </cell>
          <cell r="AM351">
            <v>0</v>
          </cell>
          <cell r="AN351">
            <v>0</v>
          </cell>
          <cell r="AO351">
            <v>0</v>
          </cell>
          <cell r="AP351">
            <v>0</v>
          </cell>
          <cell r="AQ351">
            <v>40529</v>
          </cell>
          <cell r="AR351">
            <v>357437</v>
          </cell>
          <cell r="AS351">
            <v>0</v>
          </cell>
        </row>
        <row r="352">
          <cell r="P352">
            <v>7</v>
          </cell>
          <cell r="S352" t="str">
            <v xml:space="preserve"> </v>
          </cell>
          <cell r="U352" t="str">
            <v>DIFF.</v>
          </cell>
          <cell r="W352">
            <v>2300</v>
          </cell>
          <cell r="X352">
            <v>500</v>
          </cell>
          <cell r="Z352">
            <v>0</v>
          </cell>
          <cell r="AA352">
            <v>0</v>
          </cell>
          <cell r="AB352">
            <v>0</v>
          </cell>
          <cell r="AC352">
            <v>0</v>
          </cell>
          <cell r="AE352">
            <v>0</v>
          </cell>
          <cell r="AF352">
            <v>0</v>
          </cell>
          <cell r="AG352">
            <v>0</v>
          </cell>
          <cell r="AH352">
            <v>2800</v>
          </cell>
          <cell r="AI352">
            <v>33600</v>
          </cell>
          <cell r="AJ352">
            <v>0</v>
          </cell>
          <cell r="AK352">
            <v>0</v>
          </cell>
          <cell r="AL352">
            <v>5000</v>
          </cell>
          <cell r="AM352">
            <v>0</v>
          </cell>
          <cell r="AN352">
            <v>0</v>
          </cell>
          <cell r="AO352">
            <v>0</v>
          </cell>
          <cell r="AP352">
            <v>0</v>
          </cell>
          <cell r="AQ352">
            <v>7452</v>
          </cell>
          <cell r="AR352">
            <v>46052</v>
          </cell>
          <cell r="AS352">
            <v>14.79</v>
          </cell>
        </row>
        <row r="353">
          <cell r="P353">
            <v>7</v>
          </cell>
          <cell r="S353" t="str">
            <v xml:space="preserve"> </v>
          </cell>
        </row>
        <row r="354">
          <cell r="G354">
            <v>1631</v>
          </cell>
          <cell r="H354" t="str">
            <v>MR BADGUJAR P S</v>
          </cell>
          <cell r="I354">
            <v>20300</v>
          </cell>
          <cell r="J354">
            <v>30895</v>
          </cell>
          <cell r="K354">
            <v>16978</v>
          </cell>
          <cell r="L354" t="str">
            <v>MA</v>
          </cell>
          <cell r="M354">
            <v>22</v>
          </cell>
          <cell r="N354" t="str">
            <v>A4</v>
          </cell>
          <cell r="O354" t="str">
            <v>MAM</v>
          </cell>
          <cell r="P354">
            <v>7</v>
          </cell>
          <cell r="Q354" t="str">
            <v>Other Locations</v>
          </cell>
          <cell r="R354" t="str">
            <v>Sangli (Maharashtra)</v>
          </cell>
          <cell r="S354" t="str">
            <v xml:space="preserve"> </v>
          </cell>
          <cell r="T354" t="str">
            <v>CL</v>
          </cell>
          <cell r="U354">
            <v>2001</v>
          </cell>
          <cell r="V354">
            <v>22250</v>
          </cell>
          <cell r="W354">
            <v>10230</v>
          </cell>
          <cell r="X354">
            <v>4000</v>
          </cell>
          <cell r="AA354">
            <v>500</v>
          </cell>
          <cell r="AB354">
            <v>150</v>
          </cell>
          <cell r="AC354">
            <v>0</v>
          </cell>
          <cell r="AD354" t="str">
            <v>CV</v>
          </cell>
          <cell r="AE354">
            <v>0</v>
          </cell>
          <cell r="AF354">
            <v>500</v>
          </cell>
          <cell r="AG354">
            <v>3250</v>
          </cell>
          <cell r="AH354">
            <v>18630</v>
          </cell>
          <cell r="AI354">
            <v>223560</v>
          </cell>
          <cell r="AJ354">
            <v>20000</v>
          </cell>
          <cell r="AK354">
            <v>25000</v>
          </cell>
          <cell r="AL354">
            <v>10000</v>
          </cell>
          <cell r="AM354">
            <v>0</v>
          </cell>
          <cell r="AN354">
            <v>0</v>
          </cell>
          <cell r="AO354">
            <v>0</v>
          </cell>
          <cell r="AP354">
            <v>0</v>
          </cell>
          <cell r="AQ354">
            <v>33145</v>
          </cell>
          <cell r="AR354">
            <v>311705</v>
          </cell>
          <cell r="AS354">
            <v>0</v>
          </cell>
        </row>
        <row r="355">
          <cell r="M355">
            <v>22</v>
          </cell>
          <cell r="N355" t="str">
            <v>A4</v>
          </cell>
          <cell r="P355">
            <v>7</v>
          </cell>
          <cell r="S355" t="str">
            <v xml:space="preserve"> </v>
          </cell>
          <cell r="U355">
            <v>2002</v>
          </cell>
          <cell r="W355">
            <v>11730</v>
          </cell>
          <cell r="X355">
            <v>4500</v>
          </cell>
          <cell r="Z355">
            <v>0</v>
          </cell>
          <cell r="AA355">
            <v>500</v>
          </cell>
          <cell r="AB355">
            <v>150</v>
          </cell>
          <cell r="AC355">
            <v>0</v>
          </cell>
          <cell r="AF355">
            <v>500</v>
          </cell>
          <cell r="AG355">
            <v>3250</v>
          </cell>
          <cell r="AH355">
            <v>20630</v>
          </cell>
          <cell r="AI355">
            <v>247560</v>
          </cell>
          <cell r="AJ355">
            <v>20000</v>
          </cell>
          <cell r="AK355">
            <v>25000</v>
          </cell>
          <cell r="AL355">
            <v>15000</v>
          </cell>
          <cell r="AM355">
            <v>0</v>
          </cell>
          <cell r="AN355">
            <v>0</v>
          </cell>
          <cell r="AO355">
            <v>0</v>
          </cell>
          <cell r="AP355">
            <v>0</v>
          </cell>
          <cell r="AQ355">
            <v>38005</v>
          </cell>
          <cell r="AR355">
            <v>345565</v>
          </cell>
          <cell r="AS355">
            <v>0</v>
          </cell>
        </row>
        <row r="356">
          <cell r="P356">
            <v>7</v>
          </cell>
          <cell r="S356" t="str">
            <v xml:space="preserve"> </v>
          </cell>
          <cell r="U356" t="str">
            <v>DIFF.</v>
          </cell>
          <cell r="W356">
            <v>1500</v>
          </cell>
          <cell r="X356">
            <v>500</v>
          </cell>
          <cell r="Z356">
            <v>0</v>
          </cell>
          <cell r="AA356">
            <v>0</v>
          </cell>
          <cell r="AB356">
            <v>0</v>
          </cell>
          <cell r="AC356">
            <v>0</v>
          </cell>
          <cell r="AE356">
            <v>0</v>
          </cell>
          <cell r="AF356">
            <v>0</v>
          </cell>
          <cell r="AG356">
            <v>0</v>
          </cell>
          <cell r="AH356">
            <v>2000</v>
          </cell>
          <cell r="AI356">
            <v>24000</v>
          </cell>
          <cell r="AJ356">
            <v>0</v>
          </cell>
          <cell r="AK356">
            <v>0</v>
          </cell>
          <cell r="AL356">
            <v>5000</v>
          </cell>
          <cell r="AM356">
            <v>0</v>
          </cell>
          <cell r="AN356">
            <v>0</v>
          </cell>
          <cell r="AO356">
            <v>0</v>
          </cell>
          <cell r="AP356">
            <v>0</v>
          </cell>
          <cell r="AQ356">
            <v>4860</v>
          </cell>
          <cell r="AR356">
            <v>33860</v>
          </cell>
          <cell r="AS356">
            <v>10.86</v>
          </cell>
        </row>
        <row r="357">
          <cell r="P357">
            <v>7</v>
          </cell>
          <cell r="S357" t="str">
            <v xml:space="preserve"> </v>
          </cell>
        </row>
        <row r="358">
          <cell r="G358">
            <v>1789</v>
          </cell>
          <cell r="H358" t="str">
            <v>MR BOGLE V B</v>
          </cell>
          <cell r="I358">
            <v>22148</v>
          </cell>
          <cell r="J358">
            <v>32736</v>
          </cell>
          <cell r="K358">
            <v>15130</v>
          </cell>
          <cell r="L358" t="str">
            <v>MA</v>
          </cell>
          <cell r="M358">
            <v>22</v>
          </cell>
          <cell r="N358" t="str">
            <v>A4</v>
          </cell>
          <cell r="O358" t="str">
            <v>MAM</v>
          </cell>
          <cell r="P358">
            <v>7</v>
          </cell>
          <cell r="Q358" t="str">
            <v>Other Locations</v>
          </cell>
          <cell r="R358" t="str">
            <v>Nasik (Maharashtra)</v>
          </cell>
          <cell r="S358" t="str">
            <v xml:space="preserve"> </v>
          </cell>
          <cell r="T358" t="str">
            <v>CA</v>
          </cell>
          <cell r="U358">
            <v>2001</v>
          </cell>
          <cell r="V358">
            <v>22250</v>
          </cell>
          <cell r="W358">
            <v>8487</v>
          </cell>
          <cell r="X358">
            <v>4000</v>
          </cell>
          <cell r="AA358">
            <v>500</v>
          </cell>
          <cell r="AB358">
            <v>150</v>
          </cell>
          <cell r="AC358">
            <v>0</v>
          </cell>
          <cell r="AD358" t="str">
            <v>CV</v>
          </cell>
          <cell r="AE358">
            <v>0</v>
          </cell>
          <cell r="AF358">
            <v>500</v>
          </cell>
          <cell r="AG358">
            <v>3250</v>
          </cell>
          <cell r="AH358">
            <v>16887</v>
          </cell>
          <cell r="AI358">
            <v>202644</v>
          </cell>
          <cell r="AJ358">
            <v>20000</v>
          </cell>
          <cell r="AK358">
            <v>25000</v>
          </cell>
          <cell r="AL358">
            <v>10000</v>
          </cell>
          <cell r="AM358">
            <v>0</v>
          </cell>
          <cell r="AN358">
            <v>0</v>
          </cell>
          <cell r="AO358">
            <v>0</v>
          </cell>
          <cell r="AP358">
            <v>0</v>
          </cell>
          <cell r="AQ358">
            <v>27498</v>
          </cell>
          <cell r="AR358">
            <v>285142</v>
          </cell>
          <cell r="AS358">
            <v>0</v>
          </cell>
        </row>
        <row r="359">
          <cell r="M359">
            <v>22</v>
          </cell>
          <cell r="N359" t="str">
            <v>A4</v>
          </cell>
          <cell r="P359">
            <v>7</v>
          </cell>
          <cell r="S359" t="str">
            <v xml:space="preserve"> </v>
          </cell>
          <cell r="U359">
            <v>2002</v>
          </cell>
          <cell r="W359">
            <v>10137</v>
          </cell>
          <cell r="X359">
            <v>4500</v>
          </cell>
          <cell r="Z359">
            <v>0</v>
          </cell>
          <cell r="AA359">
            <v>500</v>
          </cell>
          <cell r="AB359">
            <v>150</v>
          </cell>
          <cell r="AC359">
            <v>0</v>
          </cell>
          <cell r="AF359">
            <v>500</v>
          </cell>
          <cell r="AG359">
            <v>3250</v>
          </cell>
          <cell r="AH359">
            <v>19037</v>
          </cell>
          <cell r="AI359">
            <v>228444</v>
          </cell>
          <cell r="AJ359">
            <v>20000</v>
          </cell>
          <cell r="AK359">
            <v>25000</v>
          </cell>
          <cell r="AL359">
            <v>15000</v>
          </cell>
          <cell r="AM359">
            <v>0</v>
          </cell>
          <cell r="AN359">
            <v>0</v>
          </cell>
          <cell r="AO359">
            <v>0</v>
          </cell>
          <cell r="AP359">
            <v>0</v>
          </cell>
          <cell r="AQ359">
            <v>32844</v>
          </cell>
          <cell r="AR359">
            <v>321288</v>
          </cell>
          <cell r="AS359">
            <v>0</v>
          </cell>
        </row>
        <row r="360">
          <cell r="P360">
            <v>7</v>
          </cell>
          <cell r="S360" t="str">
            <v xml:space="preserve"> </v>
          </cell>
          <cell r="U360" t="str">
            <v>DIFF.</v>
          </cell>
          <cell r="W360">
            <v>1650</v>
          </cell>
          <cell r="X360">
            <v>500</v>
          </cell>
          <cell r="Z360">
            <v>0</v>
          </cell>
          <cell r="AA360">
            <v>0</v>
          </cell>
          <cell r="AB360">
            <v>0</v>
          </cell>
          <cell r="AC360">
            <v>0</v>
          </cell>
          <cell r="AE360">
            <v>0</v>
          </cell>
          <cell r="AF360">
            <v>0</v>
          </cell>
          <cell r="AG360">
            <v>0</v>
          </cell>
          <cell r="AH360">
            <v>2150</v>
          </cell>
          <cell r="AI360">
            <v>25800</v>
          </cell>
          <cell r="AJ360">
            <v>0</v>
          </cell>
          <cell r="AK360">
            <v>0</v>
          </cell>
          <cell r="AL360">
            <v>5000</v>
          </cell>
          <cell r="AM360">
            <v>0</v>
          </cell>
          <cell r="AN360">
            <v>0</v>
          </cell>
          <cell r="AO360">
            <v>0</v>
          </cell>
          <cell r="AP360">
            <v>0</v>
          </cell>
          <cell r="AQ360">
            <v>5346</v>
          </cell>
          <cell r="AR360">
            <v>36146</v>
          </cell>
          <cell r="AS360">
            <v>12.68</v>
          </cell>
        </row>
        <row r="361">
          <cell r="P361">
            <v>7</v>
          </cell>
          <cell r="S361" t="str">
            <v xml:space="preserve"> </v>
          </cell>
        </row>
        <row r="362">
          <cell r="G362">
            <v>1899</v>
          </cell>
          <cell r="H362" t="str">
            <v>MR NANDANIA P N</v>
          </cell>
          <cell r="I362">
            <v>24289</v>
          </cell>
          <cell r="J362">
            <v>33883</v>
          </cell>
          <cell r="K362">
            <v>12989</v>
          </cell>
          <cell r="L362" t="str">
            <v>MA</v>
          </cell>
          <cell r="M362">
            <v>22</v>
          </cell>
          <cell r="N362" t="str">
            <v>A3</v>
          </cell>
          <cell r="O362" t="str">
            <v>MAM</v>
          </cell>
          <cell r="P362">
            <v>7</v>
          </cell>
          <cell r="Q362" t="str">
            <v>Other Locations</v>
          </cell>
          <cell r="R362" t="str">
            <v>Bhopal (Mp)</v>
          </cell>
          <cell r="S362" t="str">
            <v xml:space="preserve"> </v>
          </cell>
          <cell r="T362" t="str">
            <v>BA</v>
          </cell>
          <cell r="U362">
            <v>2001</v>
          </cell>
          <cell r="V362">
            <v>26250</v>
          </cell>
          <cell r="W362">
            <v>10029</v>
          </cell>
          <cell r="X362">
            <v>4000</v>
          </cell>
          <cell r="AA362">
            <v>500</v>
          </cell>
          <cell r="AB362">
            <v>150</v>
          </cell>
          <cell r="AC362">
            <v>0</v>
          </cell>
          <cell r="AD362" t="str">
            <v>CV</v>
          </cell>
          <cell r="AE362">
            <v>0</v>
          </cell>
          <cell r="AG362">
            <v>3250</v>
          </cell>
          <cell r="AH362">
            <v>17929</v>
          </cell>
          <cell r="AI362">
            <v>215148</v>
          </cell>
          <cell r="AJ362">
            <v>20000</v>
          </cell>
          <cell r="AK362">
            <v>25000</v>
          </cell>
          <cell r="AL362">
            <v>10000</v>
          </cell>
          <cell r="AQ362">
            <v>32494</v>
          </cell>
          <cell r="AR362">
            <v>302642</v>
          </cell>
        </row>
        <row r="363">
          <cell r="M363">
            <v>22</v>
          </cell>
          <cell r="N363" t="str">
            <v>A3</v>
          </cell>
          <cell r="P363">
            <v>7</v>
          </cell>
          <cell r="S363" t="str">
            <v xml:space="preserve"> </v>
          </cell>
          <cell r="U363">
            <v>2002</v>
          </cell>
          <cell r="W363">
            <v>11279</v>
          </cell>
          <cell r="X363">
            <v>4500</v>
          </cell>
          <cell r="Z363">
            <v>0</v>
          </cell>
          <cell r="AA363">
            <v>500</v>
          </cell>
          <cell r="AB363">
            <v>150</v>
          </cell>
          <cell r="AC363">
            <v>0</v>
          </cell>
          <cell r="AF363">
            <v>0</v>
          </cell>
          <cell r="AG363">
            <v>3250</v>
          </cell>
          <cell r="AH363">
            <v>19679</v>
          </cell>
          <cell r="AI363">
            <v>236148</v>
          </cell>
          <cell r="AJ363">
            <v>20000</v>
          </cell>
          <cell r="AK363">
            <v>25000</v>
          </cell>
          <cell r="AL363">
            <v>15000</v>
          </cell>
          <cell r="AM363">
            <v>0</v>
          </cell>
          <cell r="AN363">
            <v>0</v>
          </cell>
          <cell r="AO363">
            <v>0</v>
          </cell>
          <cell r="AP363">
            <v>0</v>
          </cell>
          <cell r="AQ363">
            <v>36544</v>
          </cell>
          <cell r="AR363">
            <v>332692</v>
          </cell>
          <cell r="AS363">
            <v>0</v>
          </cell>
        </row>
        <row r="364">
          <cell r="P364">
            <v>7</v>
          </cell>
          <cell r="S364" t="str">
            <v xml:space="preserve"> </v>
          </cell>
          <cell r="U364" t="str">
            <v>DIFF.</v>
          </cell>
          <cell r="W364">
            <v>1250</v>
          </cell>
          <cell r="X364">
            <v>500</v>
          </cell>
          <cell r="Z364">
            <v>0</v>
          </cell>
          <cell r="AA364">
            <v>0</v>
          </cell>
          <cell r="AB364">
            <v>0</v>
          </cell>
          <cell r="AC364">
            <v>0</v>
          </cell>
          <cell r="AE364">
            <v>0</v>
          </cell>
          <cell r="AF364">
            <v>0</v>
          </cell>
          <cell r="AG364">
            <v>0</v>
          </cell>
          <cell r="AH364">
            <v>1750</v>
          </cell>
          <cell r="AI364">
            <v>21000</v>
          </cell>
          <cell r="AJ364">
            <v>0</v>
          </cell>
          <cell r="AK364">
            <v>0</v>
          </cell>
          <cell r="AL364">
            <v>5000</v>
          </cell>
          <cell r="AM364">
            <v>0</v>
          </cell>
          <cell r="AN364">
            <v>0</v>
          </cell>
          <cell r="AO364">
            <v>0</v>
          </cell>
          <cell r="AP364">
            <v>0</v>
          </cell>
          <cell r="AQ364">
            <v>4050</v>
          </cell>
          <cell r="AR364">
            <v>30050</v>
          </cell>
          <cell r="AS364">
            <v>9.93</v>
          </cell>
        </row>
        <row r="365">
          <cell r="P365">
            <v>7</v>
          </cell>
          <cell r="S365" t="str">
            <v xml:space="preserve"> </v>
          </cell>
        </row>
        <row r="366">
          <cell r="G366">
            <v>1905</v>
          </cell>
          <cell r="H366" t="str">
            <v>MR REDDY C R</v>
          </cell>
          <cell r="I366">
            <v>22285</v>
          </cell>
          <cell r="J366">
            <v>33970</v>
          </cell>
          <cell r="K366">
            <v>14993</v>
          </cell>
          <cell r="L366" t="str">
            <v>MA</v>
          </cell>
          <cell r="M366">
            <v>22</v>
          </cell>
          <cell r="N366" t="str">
            <v>A4</v>
          </cell>
          <cell r="O366" t="str">
            <v>MAM</v>
          </cell>
          <cell r="P366">
            <v>7</v>
          </cell>
          <cell r="Q366" t="str">
            <v>Other Locations</v>
          </cell>
          <cell r="R366" t="str">
            <v>Warangal (Ap)</v>
          </cell>
          <cell r="S366" t="str">
            <v xml:space="preserve"> </v>
          </cell>
          <cell r="T366" t="str">
            <v>BA</v>
          </cell>
          <cell r="U366">
            <v>2001</v>
          </cell>
          <cell r="V366">
            <v>26250</v>
          </cell>
          <cell r="W366">
            <v>8922</v>
          </cell>
          <cell r="X366">
            <v>4000</v>
          </cell>
          <cell r="AA366">
            <v>500</v>
          </cell>
          <cell r="AB366">
            <v>150</v>
          </cell>
          <cell r="AC366">
            <v>0</v>
          </cell>
          <cell r="AD366" t="str">
            <v>CV</v>
          </cell>
          <cell r="AE366">
            <v>0</v>
          </cell>
          <cell r="AF366">
            <v>500</v>
          </cell>
          <cell r="AG366">
            <v>3250</v>
          </cell>
          <cell r="AH366">
            <v>17322</v>
          </cell>
          <cell r="AI366">
            <v>207864</v>
          </cell>
          <cell r="AJ366">
            <v>20000</v>
          </cell>
          <cell r="AK366">
            <v>25000</v>
          </cell>
          <cell r="AL366">
            <v>10000</v>
          </cell>
          <cell r="AM366">
            <v>0</v>
          </cell>
          <cell r="AN366">
            <v>0</v>
          </cell>
          <cell r="AO366">
            <v>0</v>
          </cell>
          <cell r="AP366">
            <v>0</v>
          </cell>
          <cell r="AQ366">
            <v>28907</v>
          </cell>
          <cell r="AR366">
            <v>291771</v>
          </cell>
          <cell r="AS366">
            <v>0</v>
          </cell>
        </row>
        <row r="367">
          <cell r="M367">
            <v>22</v>
          </cell>
          <cell r="N367" t="str">
            <v>A4</v>
          </cell>
          <cell r="P367">
            <v>7</v>
          </cell>
          <cell r="S367" t="str">
            <v xml:space="preserve"> </v>
          </cell>
          <cell r="U367">
            <v>2002</v>
          </cell>
          <cell r="W367">
            <v>11222</v>
          </cell>
          <cell r="X367">
            <v>4500</v>
          </cell>
          <cell r="Z367">
            <v>0</v>
          </cell>
          <cell r="AA367">
            <v>500</v>
          </cell>
          <cell r="AB367">
            <v>150</v>
          </cell>
          <cell r="AC367">
            <v>0</v>
          </cell>
          <cell r="AF367">
            <v>500</v>
          </cell>
          <cell r="AG367">
            <v>3250</v>
          </cell>
          <cell r="AH367">
            <v>20122</v>
          </cell>
          <cell r="AI367">
            <v>241464</v>
          </cell>
          <cell r="AJ367">
            <v>20000</v>
          </cell>
          <cell r="AK367">
            <v>25000</v>
          </cell>
          <cell r="AL367">
            <v>15000</v>
          </cell>
          <cell r="AM367">
            <v>0</v>
          </cell>
          <cell r="AN367">
            <v>0</v>
          </cell>
          <cell r="AO367">
            <v>0</v>
          </cell>
          <cell r="AP367">
            <v>0</v>
          </cell>
          <cell r="AQ367">
            <v>36359</v>
          </cell>
          <cell r="AR367">
            <v>337823</v>
          </cell>
          <cell r="AS367">
            <v>0</v>
          </cell>
        </row>
        <row r="368">
          <cell r="P368">
            <v>7</v>
          </cell>
          <cell r="S368" t="str">
            <v xml:space="preserve"> </v>
          </cell>
          <cell r="U368" t="str">
            <v>DIFF.</v>
          </cell>
          <cell r="W368">
            <v>2300</v>
          </cell>
          <cell r="X368">
            <v>500</v>
          </cell>
          <cell r="Z368">
            <v>0</v>
          </cell>
          <cell r="AA368">
            <v>0</v>
          </cell>
          <cell r="AB368">
            <v>0</v>
          </cell>
          <cell r="AC368">
            <v>0</v>
          </cell>
          <cell r="AE368">
            <v>0</v>
          </cell>
          <cell r="AF368">
            <v>0</v>
          </cell>
          <cell r="AG368">
            <v>0</v>
          </cell>
          <cell r="AH368">
            <v>2800</v>
          </cell>
          <cell r="AI368">
            <v>33600</v>
          </cell>
          <cell r="AJ368">
            <v>0</v>
          </cell>
          <cell r="AK368">
            <v>0</v>
          </cell>
          <cell r="AL368">
            <v>5000</v>
          </cell>
          <cell r="AM368">
            <v>0</v>
          </cell>
          <cell r="AN368">
            <v>0</v>
          </cell>
          <cell r="AO368">
            <v>0</v>
          </cell>
          <cell r="AP368">
            <v>0</v>
          </cell>
          <cell r="AQ368">
            <v>7452</v>
          </cell>
          <cell r="AR368">
            <v>46052</v>
          </cell>
          <cell r="AS368">
            <v>15.78</v>
          </cell>
        </row>
        <row r="369">
          <cell r="P369">
            <v>7</v>
          </cell>
          <cell r="S369" t="str">
            <v xml:space="preserve"> </v>
          </cell>
        </row>
        <row r="370">
          <cell r="G370">
            <v>2178</v>
          </cell>
          <cell r="H370" t="str">
            <v>MR BHAKARE A H</v>
          </cell>
          <cell r="I370">
            <v>24629</v>
          </cell>
          <cell r="J370">
            <v>35991</v>
          </cell>
          <cell r="K370">
            <v>12649</v>
          </cell>
          <cell r="L370" t="str">
            <v>MA</v>
          </cell>
          <cell r="M370">
            <v>22</v>
          </cell>
          <cell r="N370" t="str">
            <v>A3</v>
          </cell>
          <cell r="O370" t="str">
            <v>MAM</v>
          </cell>
          <cell r="P370">
            <v>7</v>
          </cell>
          <cell r="Q370" t="str">
            <v>Other Locations</v>
          </cell>
          <cell r="R370" t="str">
            <v>Nagpur (Maharashtra)</v>
          </cell>
          <cell r="S370" t="str">
            <v xml:space="preserve"> </v>
          </cell>
          <cell r="T370" t="str">
            <v>CA</v>
          </cell>
          <cell r="U370">
            <v>2001</v>
          </cell>
          <cell r="V370">
            <v>22250</v>
          </cell>
          <cell r="W370">
            <v>10090</v>
          </cell>
          <cell r="X370">
            <v>4000</v>
          </cell>
          <cell r="AA370">
            <v>500</v>
          </cell>
          <cell r="AB370">
            <v>150</v>
          </cell>
          <cell r="AC370">
            <v>0</v>
          </cell>
          <cell r="AD370" t="str">
            <v>CV</v>
          </cell>
          <cell r="AE370">
            <v>0</v>
          </cell>
          <cell r="AG370">
            <v>3250</v>
          </cell>
          <cell r="AH370">
            <v>17990</v>
          </cell>
          <cell r="AI370">
            <v>215880</v>
          </cell>
          <cell r="AJ370">
            <v>20000</v>
          </cell>
          <cell r="AK370">
            <v>25000</v>
          </cell>
          <cell r="AL370">
            <v>10000</v>
          </cell>
          <cell r="AQ370">
            <v>32692</v>
          </cell>
          <cell r="AR370">
            <v>303572</v>
          </cell>
        </row>
        <row r="371">
          <cell r="M371">
            <v>22</v>
          </cell>
          <cell r="N371" t="str">
            <v>A3</v>
          </cell>
          <cell r="P371">
            <v>7</v>
          </cell>
          <cell r="S371" t="str">
            <v xml:space="preserve"> </v>
          </cell>
          <cell r="U371">
            <v>2002</v>
          </cell>
          <cell r="W371">
            <v>11040</v>
          </cell>
          <cell r="X371">
            <v>4500</v>
          </cell>
          <cell r="Z371">
            <v>0</v>
          </cell>
          <cell r="AA371">
            <v>500</v>
          </cell>
          <cell r="AB371">
            <v>150</v>
          </cell>
          <cell r="AC371">
            <v>0</v>
          </cell>
          <cell r="AF371">
            <v>0</v>
          </cell>
          <cell r="AG371">
            <v>3250</v>
          </cell>
          <cell r="AH371">
            <v>19440</v>
          </cell>
          <cell r="AI371">
            <v>233280</v>
          </cell>
          <cell r="AJ371">
            <v>20000</v>
          </cell>
          <cell r="AK371">
            <v>25000</v>
          </cell>
          <cell r="AL371">
            <v>15000</v>
          </cell>
          <cell r="AM371">
            <v>0</v>
          </cell>
          <cell r="AN371">
            <v>0</v>
          </cell>
          <cell r="AO371">
            <v>0</v>
          </cell>
          <cell r="AP371">
            <v>0</v>
          </cell>
          <cell r="AQ371">
            <v>35770</v>
          </cell>
          <cell r="AR371">
            <v>329050</v>
          </cell>
          <cell r="AS371">
            <v>0</v>
          </cell>
        </row>
        <row r="372">
          <cell r="P372">
            <v>7</v>
          </cell>
          <cell r="S372" t="str">
            <v xml:space="preserve"> </v>
          </cell>
          <cell r="U372" t="str">
            <v>DIFF.</v>
          </cell>
          <cell r="W372">
            <v>950</v>
          </cell>
          <cell r="X372">
            <v>500</v>
          </cell>
          <cell r="Z372">
            <v>0</v>
          </cell>
          <cell r="AA372">
            <v>0</v>
          </cell>
          <cell r="AB372">
            <v>0</v>
          </cell>
          <cell r="AC372">
            <v>0</v>
          </cell>
          <cell r="AE372">
            <v>0</v>
          </cell>
          <cell r="AF372">
            <v>0</v>
          </cell>
          <cell r="AG372">
            <v>0</v>
          </cell>
          <cell r="AH372">
            <v>1450</v>
          </cell>
          <cell r="AI372">
            <v>17400</v>
          </cell>
          <cell r="AJ372">
            <v>0</v>
          </cell>
          <cell r="AK372">
            <v>0</v>
          </cell>
          <cell r="AL372">
            <v>5000</v>
          </cell>
          <cell r="AM372">
            <v>0</v>
          </cell>
          <cell r="AN372">
            <v>0</v>
          </cell>
          <cell r="AO372">
            <v>0</v>
          </cell>
          <cell r="AP372">
            <v>0</v>
          </cell>
          <cell r="AQ372">
            <v>3078</v>
          </cell>
          <cell r="AR372">
            <v>25478</v>
          </cell>
          <cell r="AS372">
            <v>8.39</v>
          </cell>
        </row>
        <row r="373">
          <cell r="P373">
            <v>7</v>
          </cell>
          <cell r="S373" t="str">
            <v xml:space="preserve"> </v>
          </cell>
        </row>
        <row r="374">
          <cell r="G374">
            <v>2246</v>
          </cell>
          <cell r="H374" t="str">
            <v>MR DUBEY T</v>
          </cell>
          <cell r="I374">
            <v>26778</v>
          </cell>
          <cell r="J374" t="str">
            <v>14.06.2000</v>
          </cell>
          <cell r="K374">
            <v>10500</v>
          </cell>
          <cell r="L374" t="str">
            <v>MA</v>
          </cell>
          <cell r="M374">
            <v>22</v>
          </cell>
          <cell r="N374" t="str">
            <v>A4</v>
          </cell>
          <cell r="O374" t="str">
            <v>MAM</v>
          </cell>
          <cell r="P374">
            <v>7</v>
          </cell>
          <cell r="Q374" t="str">
            <v>Other Locations</v>
          </cell>
          <cell r="R374" t="str">
            <v>Bikaner (Rajasthan)</v>
          </cell>
          <cell r="S374" t="str">
            <v xml:space="preserve"> </v>
          </cell>
          <cell r="T374" t="str">
            <v>BP</v>
          </cell>
          <cell r="U374">
            <v>2001</v>
          </cell>
          <cell r="V374">
            <v>26250</v>
          </cell>
          <cell r="W374">
            <v>8600</v>
          </cell>
          <cell r="X374">
            <v>4000</v>
          </cell>
          <cell r="AA374">
            <v>500</v>
          </cell>
          <cell r="AB374">
            <v>150</v>
          </cell>
          <cell r="AC374">
            <v>0</v>
          </cell>
          <cell r="AD374" t="str">
            <v>CV</v>
          </cell>
          <cell r="AE374">
            <v>0</v>
          </cell>
          <cell r="AF374">
            <v>500</v>
          </cell>
          <cell r="AG374">
            <v>3250</v>
          </cell>
          <cell r="AH374">
            <v>17000</v>
          </cell>
          <cell r="AI374">
            <v>204000</v>
          </cell>
          <cell r="AJ374">
            <v>20000</v>
          </cell>
          <cell r="AK374">
            <v>25000</v>
          </cell>
          <cell r="AL374">
            <v>10000</v>
          </cell>
          <cell r="AM374">
            <v>0</v>
          </cell>
          <cell r="AN374">
            <v>0</v>
          </cell>
          <cell r="AO374">
            <v>0</v>
          </cell>
          <cell r="AP374">
            <v>0</v>
          </cell>
          <cell r="AQ374">
            <v>27864</v>
          </cell>
          <cell r="AR374">
            <v>286864</v>
          </cell>
          <cell r="AS374">
            <v>0</v>
          </cell>
        </row>
        <row r="375">
          <cell r="M375">
            <v>22</v>
          </cell>
          <cell r="N375" t="str">
            <v>A4</v>
          </cell>
          <cell r="P375">
            <v>7</v>
          </cell>
          <cell r="S375" t="str">
            <v xml:space="preserve"> </v>
          </cell>
          <cell r="U375">
            <v>2002</v>
          </cell>
          <cell r="W375">
            <v>11300</v>
          </cell>
          <cell r="X375">
            <v>4500</v>
          </cell>
          <cell r="Z375">
            <v>0</v>
          </cell>
          <cell r="AA375">
            <v>500</v>
          </cell>
          <cell r="AB375">
            <v>150</v>
          </cell>
          <cell r="AC375">
            <v>0</v>
          </cell>
          <cell r="AF375">
            <v>500</v>
          </cell>
          <cell r="AG375">
            <v>3250</v>
          </cell>
          <cell r="AH375">
            <v>20200</v>
          </cell>
          <cell r="AI375">
            <v>242400</v>
          </cell>
          <cell r="AJ375">
            <v>20000</v>
          </cell>
          <cell r="AK375">
            <v>25000</v>
          </cell>
          <cell r="AL375">
            <v>15000</v>
          </cell>
          <cell r="AM375">
            <v>0</v>
          </cell>
          <cell r="AN375">
            <v>0</v>
          </cell>
          <cell r="AO375">
            <v>0</v>
          </cell>
          <cell r="AP375">
            <v>0</v>
          </cell>
          <cell r="AQ375">
            <v>36612</v>
          </cell>
          <cell r="AR375">
            <v>339012</v>
          </cell>
          <cell r="AS375">
            <v>0</v>
          </cell>
        </row>
        <row r="376">
          <cell r="P376">
            <v>7</v>
          </cell>
          <cell r="S376" t="str">
            <v xml:space="preserve"> </v>
          </cell>
          <cell r="U376" t="str">
            <v>DIFF.</v>
          </cell>
          <cell r="W376">
            <v>2700</v>
          </cell>
          <cell r="X376">
            <v>500</v>
          </cell>
          <cell r="Z376">
            <v>0</v>
          </cell>
          <cell r="AA376">
            <v>0</v>
          </cell>
          <cell r="AB376">
            <v>0</v>
          </cell>
          <cell r="AC376">
            <v>0</v>
          </cell>
          <cell r="AE376">
            <v>0</v>
          </cell>
          <cell r="AF376">
            <v>0</v>
          </cell>
          <cell r="AG376">
            <v>0</v>
          </cell>
          <cell r="AH376">
            <v>3200</v>
          </cell>
          <cell r="AI376">
            <v>38400</v>
          </cell>
          <cell r="AJ376">
            <v>0</v>
          </cell>
          <cell r="AK376">
            <v>0</v>
          </cell>
          <cell r="AL376">
            <v>5000</v>
          </cell>
          <cell r="AM376">
            <v>0</v>
          </cell>
          <cell r="AN376">
            <v>0</v>
          </cell>
          <cell r="AO376">
            <v>0</v>
          </cell>
          <cell r="AP376">
            <v>0</v>
          </cell>
          <cell r="AQ376">
            <v>8748</v>
          </cell>
          <cell r="AR376">
            <v>52148</v>
          </cell>
          <cell r="AS376">
            <v>18.18</v>
          </cell>
        </row>
        <row r="377">
          <cell r="P377">
            <v>7</v>
          </cell>
          <cell r="S377" t="str">
            <v xml:space="preserve"> </v>
          </cell>
        </row>
        <row r="378">
          <cell r="G378">
            <v>2267</v>
          </cell>
          <cell r="H378" t="str">
            <v>MR CHOPRA KARAN</v>
          </cell>
          <cell r="I378">
            <v>27351</v>
          </cell>
          <cell r="J378">
            <v>36986</v>
          </cell>
          <cell r="K378">
            <v>9927</v>
          </cell>
          <cell r="L378" t="str">
            <v>MA</v>
          </cell>
          <cell r="M378">
            <v>22</v>
          </cell>
          <cell r="O378" t="str">
            <v>MAL</v>
          </cell>
          <cell r="P378">
            <v>1</v>
          </cell>
          <cell r="Q378" t="str">
            <v>Mumbai</v>
          </cell>
          <cell r="R378" t="str">
            <v>Ho</v>
          </cell>
          <cell r="S378" t="str">
            <v xml:space="preserve"> </v>
          </cell>
          <cell r="T378" t="str">
            <v>BA</v>
          </cell>
          <cell r="U378">
            <v>2001</v>
          </cell>
          <cell r="V378">
            <v>18750</v>
          </cell>
          <cell r="W378">
            <v>11000</v>
          </cell>
          <cell r="X378">
            <v>4000</v>
          </cell>
          <cell r="AA378">
            <v>500</v>
          </cell>
          <cell r="AB378">
            <v>150</v>
          </cell>
          <cell r="AC378">
            <v>850</v>
          </cell>
          <cell r="AE378">
            <v>1000</v>
          </cell>
          <cell r="AG378">
            <v>3250</v>
          </cell>
          <cell r="AH378">
            <v>20750</v>
          </cell>
          <cell r="AI378">
            <v>249000</v>
          </cell>
          <cell r="AJ378">
            <v>20000</v>
          </cell>
          <cell r="AK378">
            <v>25000</v>
          </cell>
          <cell r="AL378">
            <v>10000</v>
          </cell>
          <cell r="AQ378">
            <v>35640</v>
          </cell>
          <cell r="AR378">
            <v>339640</v>
          </cell>
        </row>
        <row r="379">
          <cell r="M379">
            <v>22</v>
          </cell>
          <cell r="P379">
            <v>1</v>
          </cell>
          <cell r="S379" t="str">
            <v xml:space="preserve"> </v>
          </cell>
          <cell r="U379">
            <v>2002</v>
          </cell>
          <cell r="W379">
            <v>12250</v>
          </cell>
          <cell r="X379">
            <v>6000</v>
          </cell>
          <cell r="Z379">
            <v>0</v>
          </cell>
          <cell r="AA379">
            <v>500</v>
          </cell>
          <cell r="AB379">
            <v>150</v>
          </cell>
          <cell r="AC379">
            <v>850</v>
          </cell>
          <cell r="AF379">
            <v>0</v>
          </cell>
          <cell r="AG379">
            <v>3250</v>
          </cell>
          <cell r="AH379">
            <v>23000</v>
          </cell>
          <cell r="AI379">
            <v>276000</v>
          </cell>
          <cell r="AJ379">
            <v>20000</v>
          </cell>
          <cell r="AK379">
            <v>25000</v>
          </cell>
          <cell r="AL379">
            <v>15000</v>
          </cell>
          <cell r="AM379">
            <v>0</v>
          </cell>
          <cell r="AN379">
            <v>0</v>
          </cell>
          <cell r="AO379">
            <v>0</v>
          </cell>
          <cell r="AP379">
            <v>0</v>
          </cell>
          <cell r="AQ379">
            <v>39690</v>
          </cell>
          <cell r="AR379">
            <v>375690</v>
          </cell>
          <cell r="AS379">
            <v>0</v>
          </cell>
        </row>
        <row r="380">
          <cell r="P380">
            <v>1</v>
          </cell>
          <cell r="S380" t="str">
            <v xml:space="preserve"> </v>
          </cell>
          <cell r="U380" t="str">
            <v>DIFF.</v>
          </cell>
          <cell r="W380">
            <v>1250</v>
          </cell>
          <cell r="X380">
            <v>2000</v>
          </cell>
          <cell r="Z380">
            <v>0</v>
          </cell>
          <cell r="AA380">
            <v>0</v>
          </cell>
          <cell r="AB380">
            <v>0</v>
          </cell>
          <cell r="AC380">
            <v>0</v>
          </cell>
          <cell r="AE380">
            <v>-1000</v>
          </cell>
          <cell r="AF380">
            <v>0</v>
          </cell>
          <cell r="AG380">
            <v>0</v>
          </cell>
          <cell r="AH380">
            <v>2250</v>
          </cell>
          <cell r="AI380">
            <v>27000</v>
          </cell>
          <cell r="AJ380">
            <v>0</v>
          </cell>
          <cell r="AK380">
            <v>0</v>
          </cell>
          <cell r="AL380">
            <v>5000</v>
          </cell>
          <cell r="AM380">
            <v>0</v>
          </cell>
          <cell r="AN380">
            <v>0</v>
          </cell>
          <cell r="AO380">
            <v>0</v>
          </cell>
          <cell r="AP380">
            <v>0</v>
          </cell>
          <cell r="AQ380">
            <v>4050</v>
          </cell>
          <cell r="AR380">
            <v>36050</v>
          </cell>
          <cell r="AS380">
            <v>10.61</v>
          </cell>
        </row>
        <row r="381">
          <cell r="P381">
            <v>1</v>
          </cell>
          <cell r="S381" t="str">
            <v xml:space="preserve"> </v>
          </cell>
        </row>
        <row r="382">
          <cell r="G382">
            <v>2277</v>
          </cell>
          <cell r="H382" t="str">
            <v>MR MAWAL S J</v>
          </cell>
          <cell r="I382">
            <v>26197</v>
          </cell>
          <cell r="J382">
            <v>37040</v>
          </cell>
          <cell r="K382">
            <v>11081</v>
          </cell>
          <cell r="L382" t="str">
            <v>MA</v>
          </cell>
          <cell r="M382">
            <v>22</v>
          </cell>
          <cell r="N382" t="str">
            <v>A3</v>
          </cell>
          <cell r="O382" t="str">
            <v>MAM</v>
          </cell>
          <cell r="P382">
            <v>7</v>
          </cell>
          <cell r="Q382" t="str">
            <v>Other Locations</v>
          </cell>
          <cell r="R382" t="str">
            <v>Jalna (Maharashtra)</v>
          </cell>
          <cell r="S382" t="str">
            <v xml:space="preserve"> </v>
          </cell>
          <cell r="U382">
            <v>2001</v>
          </cell>
          <cell r="V382">
            <v>14585</v>
          </cell>
          <cell r="W382">
            <v>9000</v>
          </cell>
          <cell r="X382">
            <v>4000</v>
          </cell>
          <cell r="AA382">
            <v>500</v>
          </cell>
          <cell r="AB382">
            <v>150</v>
          </cell>
          <cell r="AC382">
            <v>0</v>
          </cell>
          <cell r="AD382" t="str">
            <v>CV</v>
          </cell>
          <cell r="AE382">
            <v>0</v>
          </cell>
          <cell r="AG382">
            <v>3250</v>
          </cell>
          <cell r="AH382">
            <v>16900</v>
          </cell>
          <cell r="AI382">
            <v>202800</v>
          </cell>
          <cell r="AJ382">
            <v>20000</v>
          </cell>
          <cell r="AK382">
            <v>25000</v>
          </cell>
          <cell r="AL382">
            <v>10000</v>
          </cell>
          <cell r="AQ382">
            <v>29160</v>
          </cell>
          <cell r="AR382">
            <v>286960</v>
          </cell>
        </row>
        <row r="383">
          <cell r="M383">
            <v>22</v>
          </cell>
          <cell r="N383" t="str">
            <v>A3</v>
          </cell>
          <cell r="P383">
            <v>7</v>
          </cell>
          <cell r="S383" t="str">
            <v xml:space="preserve"> </v>
          </cell>
          <cell r="U383">
            <v>2002</v>
          </cell>
          <cell r="W383">
            <v>9500</v>
          </cell>
          <cell r="X383">
            <v>4500</v>
          </cell>
          <cell r="Z383">
            <v>0</v>
          </cell>
          <cell r="AA383">
            <v>500</v>
          </cell>
          <cell r="AB383">
            <v>150</v>
          </cell>
          <cell r="AC383">
            <v>0</v>
          </cell>
          <cell r="AF383">
            <v>0</v>
          </cell>
          <cell r="AG383">
            <v>3250</v>
          </cell>
          <cell r="AH383">
            <v>17900</v>
          </cell>
          <cell r="AI383">
            <v>214800</v>
          </cell>
          <cell r="AJ383">
            <v>20000</v>
          </cell>
          <cell r="AK383">
            <v>25000</v>
          </cell>
          <cell r="AL383">
            <v>15000</v>
          </cell>
          <cell r="AM383">
            <v>0</v>
          </cell>
          <cell r="AN383">
            <v>0</v>
          </cell>
          <cell r="AO383">
            <v>0</v>
          </cell>
          <cell r="AP383">
            <v>0</v>
          </cell>
          <cell r="AQ383">
            <v>30780</v>
          </cell>
          <cell r="AR383">
            <v>305580</v>
          </cell>
          <cell r="AS383">
            <v>0</v>
          </cell>
        </row>
        <row r="384">
          <cell r="P384">
            <v>7</v>
          </cell>
          <cell r="S384" t="str">
            <v xml:space="preserve"> </v>
          </cell>
          <cell r="U384" t="str">
            <v>DIFF.</v>
          </cell>
          <cell r="W384">
            <v>500</v>
          </cell>
          <cell r="X384">
            <v>500</v>
          </cell>
          <cell r="Z384">
            <v>0</v>
          </cell>
          <cell r="AA384">
            <v>0</v>
          </cell>
          <cell r="AB384">
            <v>0</v>
          </cell>
          <cell r="AC384">
            <v>0</v>
          </cell>
          <cell r="AE384">
            <v>0</v>
          </cell>
          <cell r="AF384">
            <v>0</v>
          </cell>
          <cell r="AG384">
            <v>0</v>
          </cell>
          <cell r="AH384">
            <v>1000</v>
          </cell>
          <cell r="AI384">
            <v>12000</v>
          </cell>
          <cell r="AJ384">
            <v>0</v>
          </cell>
          <cell r="AK384">
            <v>0</v>
          </cell>
          <cell r="AL384">
            <v>5000</v>
          </cell>
          <cell r="AM384">
            <v>0</v>
          </cell>
          <cell r="AN384">
            <v>0</v>
          </cell>
          <cell r="AO384">
            <v>0</v>
          </cell>
          <cell r="AP384">
            <v>0</v>
          </cell>
          <cell r="AQ384">
            <v>1620</v>
          </cell>
          <cell r="AR384">
            <v>18620</v>
          </cell>
          <cell r="AS384">
            <v>6.49</v>
          </cell>
        </row>
        <row r="385">
          <cell r="P385">
            <v>7</v>
          </cell>
          <cell r="S385" t="str">
            <v xml:space="preserve"> </v>
          </cell>
        </row>
        <row r="386">
          <cell r="G386">
            <v>2278</v>
          </cell>
          <cell r="H386" t="str">
            <v>MR SHARMA K J</v>
          </cell>
          <cell r="I386">
            <v>25925</v>
          </cell>
          <cell r="J386">
            <v>37053</v>
          </cell>
          <cell r="K386">
            <v>11353</v>
          </cell>
          <cell r="L386" t="str">
            <v>MA</v>
          </cell>
          <cell r="M386">
            <v>22</v>
          </cell>
          <cell r="N386" t="str">
            <v>A3</v>
          </cell>
          <cell r="O386" t="str">
            <v>MAM</v>
          </cell>
          <cell r="P386">
            <v>7</v>
          </cell>
          <cell r="Q386" t="str">
            <v>Other Locations</v>
          </cell>
          <cell r="R386" t="str">
            <v>Abohar (Punjab)</v>
          </cell>
          <cell r="S386" t="str">
            <v xml:space="preserve"> </v>
          </cell>
          <cell r="U386">
            <v>2001</v>
          </cell>
          <cell r="V386">
            <v>14075</v>
          </cell>
          <cell r="W386">
            <v>9000</v>
          </cell>
          <cell r="X386">
            <v>4000</v>
          </cell>
          <cell r="AA386">
            <v>500</v>
          </cell>
          <cell r="AB386">
            <v>150</v>
          </cell>
          <cell r="AC386">
            <v>0</v>
          </cell>
          <cell r="AD386" t="str">
            <v>CV</v>
          </cell>
          <cell r="AE386">
            <v>0</v>
          </cell>
          <cell r="AG386">
            <v>3250</v>
          </cell>
          <cell r="AH386">
            <v>16900</v>
          </cell>
          <cell r="AI386">
            <v>202800</v>
          </cell>
          <cell r="AJ386">
            <v>20000</v>
          </cell>
          <cell r="AK386">
            <v>25000</v>
          </cell>
          <cell r="AL386">
            <v>10000</v>
          </cell>
          <cell r="AQ386">
            <v>29160</v>
          </cell>
          <cell r="AR386">
            <v>286960</v>
          </cell>
        </row>
        <row r="387">
          <cell r="M387">
            <v>22</v>
          </cell>
          <cell r="N387" t="str">
            <v>A3</v>
          </cell>
          <cell r="P387">
            <v>7</v>
          </cell>
          <cell r="S387" t="str">
            <v xml:space="preserve"> </v>
          </cell>
          <cell r="U387">
            <v>2002</v>
          </cell>
          <cell r="W387">
            <v>9500</v>
          </cell>
          <cell r="X387">
            <v>4500</v>
          </cell>
          <cell r="Z387">
            <v>0</v>
          </cell>
          <cell r="AA387">
            <v>500</v>
          </cell>
          <cell r="AB387">
            <v>150</v>
          </cell>
          <cell r="AC387">
            <v>0</v>
          </cell>
          <cell r="AF387">
            <v>0</v>
          </cell>
          <cell r="AG387">
            <v>3250</v>
          </cell>
          <cell r="AH387">
            <v>17900</v>
          </cell>
          <cell r="AI387">
            <v>214800</v>
          </cell>
          <cell r="AJ387">
            <v>20000</v>
          </cell>
          <cell r="AK387">
            <v>25000</v>
          </cell>
          <cell r="AL387">
            <v>15000</v>
          </cell>
          <cell r="AM387">
            <v>0</v>
          </cell>
          <cell r="AN387">
            <v>0</v>
          </cell>
          <cell r="AO387">
            <v>0</v>
          </cell>
          <cell r="AP387">
            <v>0</v>
          </cell>
          <cell r="AQ387">
            <v>30780</v>
          </cell>
          <cell r="AR387">
            <v>305580</v>
          </cell>
          <cell r="AS387">
            <v>0</v>
          </cell>
        </row>
        <row r="388">
          <cell r="P388">
            <v>7</v>
          </cell>
          <cell r="S388" t="str">
            <v xml:space="preserve"> </v>
          </cell>
          <cell r="U388" t="str">
            <v>DIFF.</v>
          </cell>
          <cell r="W388">
            <v>500</v>
          </cell>
          <cell r="X388">
            <v>500</v>
          </cell>
          <cell r="Z388">
            <v>0</v>
          </cell>
          <cell r="AA388">
            <v>0</v>
          </cell>
          <cell r="AB388">
            <v>0</v>
          </cell>
          <cell r="AC388">
            <v>0</v>
          </cell>
          <cell r="AE388">
            <v>0</v>
          </cell>
          <cell r="AF388">
            <v>0</v>
          </cell>
          <cell r="AG388">
            <v>0</v>
          </cell>
          <cell r="AH388">
            <v>1000</v>
          </cell>
          <cell r="AI388">
            <v>12000</v>
          </cell>
          <cell r="AJ388">
            <v>0</v>
          </cell>
          <cell r="AK388">
            <v>0</v>
          </cell>
          <cell r="AL388">
            <v>5000</v>
          </cell>
          <cell r="AM388">
            <v>0</v>
          </cell>
          <cell r="AN388">
            <v>0</v>
          </cell>
          <cell r="AO388">
            <v>0</v>
          </cell>
          <cell r="AP388">
            <v>0</v>
          </cell>
          <cell r="AQ388">
            <v>1620</v>
          </cell>
          <cell r="AR388">
            <v>18620</v>
          </cell>
          <cell r="AS388">
            <v>6.49</v>
          </cell>
        </row>
        <row r="389">
          <cell r="P389">
            <v>7</v>
          </cell>
          <cell r="S389" t="str">
            <v xml:space="preserve"> </v>
          </cell>
        </row>
        <row r="390">
          <cell r="G390">
            <v>2282</v>
          </cell>
          <cell r="H390" t="str">
            <v>MR SHARMA A M</v>
          </cell>
          <cell r="I390">
            <v>25082</v>
          </cell>
          <cell r="J390">
            <v>37060</v>
          </cell>
          <cell r="K390">
            <v>12196</v>
          </cell>
          <cell r="L390" t="str">
            <v>MA</v>
          </cell>
          <cell r="M390">
            <v>22</v>
          </cell>
          <cell r="N390" t="str">
            <v>A3</v>
          </cell>
          <cell r="O390" t="str">
            <v>MAM</v>
          </cell>
          <cell r="P390">
            <v>4</v>
          </cell>
          <cell r="Q390" t="str">
            <v>Kolkatta</v>
          </cell>
          <cell r="R390" t="str">
            <v>Kolkatta</v>
          </cell>
          <cell r="S390" t="str">
            <v xml:space="preserve"> </v>
          </cell>
          <cell r="U390">
            <v>2001</v>
          </cell>
          <cell r="V390">
            <v>13550</v>
          </cell>
          <cell r="W390">
            <v>10500</v>
          </cell>
          <cell r="X390">
            <v>4000</v>
          </cell>
          <cell r="AA390">
            <v>500</v>
          </cell>
          <cell r="AB390">
            <v>150</v>
          </cell>
          <cell r="AC390">
            <v>850</v>
          </cell>
          <cell r="AE390">
            <v>450</v>
          </cell>
          <cell r="AG390">
            <v>3250</v>
          </cell>
          <cell r="AH390">
            <v>19700</v>
          </cell>
          <cell r="AI390">
            <v>236400</v>
          </cell>
          <cell r="AJ390">
            <v>20000</v>
          </cell>
          <cell r="AK390">
            <v>25000</v>
          </cell>
          <cell r="AL390">
            <v>10000</v>
          </cell>
          <cell r="AQ390">
            <v>34020</v>
          </cell>
          <cell r="AR390">
            <v>325420</v>
          </cell>
        </row>
        <row r="391">
          <cell r="M391">
            <v>22</v>
          </cell>
          <cell r="N391" t="str">
            <v>A3</v>
          </cell>
          <cell r="P391">
            <v>4</v>
          </cell>
          <cell r="S391" t="str">
            <v xml:space="preserve"> </v>
          </cell>
          <cell r="U391">
            <v>2002</v>
          </cell>
          <cell r="W391">
            <v>11000</v>
          </cell>
          <cell r="X391">
            <v>5000</v>
          </cell>
          <cell r="Z391">
            <v>0</v>
          </cell>
          <cell r="AA391">
            <v>500</v>
          </cell>
          <cell r="AB391">
            <v>150</v>
          </cell>
          <cell r="AC391">
            <v>850</v>
          </cell>
          <cell r="AF391">
            <v>0</v>
          </cell>
          <cell r="AG391">
            <v>3250</v>
          </cell>
          <cell r="AH391">
            <v>20750</v>
          </cell>
          <cell r="AI391">
            <v>249000</v>
          </cell>
          <cell r="AJ391">
            <v>20000</v>
          </cell>
          <cell r="AK391">
            <v>25000</v>
          </cell>
          <cell r="AL391">
            <v>15000</v>
          </cell>
          <cell r="AM391">
            <v>0</v>
          </cell>
          <cell r="AN391">
            <v>0</v>
          </cell>
          <cell r="AO391">
            <v>0</v>
          </cell>
          <cell r="AP391">
            <v>0</v>
          </cell>
          <cell r="AQ391">
            <v>35640</v>
          </cell>
          <cell r="AR391">
            <v>344640</v>
          </cell>
          <cell r="AS391">
            <v>0</v>
          </cell>
        </row>
        <row r="392">
          <cell r="P392">
            <v>4</v>
          </cell>
          <cell r="S392" t="str">
            <v xml:space="preserve"> </v>
          </cell>
          <cell r="U392" t="str">
            <v>DIFF.</v>
          </cell>
          <cell r="W392">
            <v>500</v>
          </cell>
          <cell r="X392">
            <v>1000</v>
          </cell>
          <cell r="Z392">
            <v>0</v>
          </cell>
          <cell r="AA392">
            <v>0</v>
          </cell>
          <cell r="AB392">
            <v>0</v>
          </cell>
          <cell r="AC392">
            <v>0</v>
          </cell>
          <cell r="AE392">
            <v>-450</v>
          </cell>
          <cell r="AF392">
            <v>0</v>
          </cell>
          <cell r="AG392">
            <v>0</v>
          </cell>
          <cell r="AH392">
            <v>1050</v>
          </cell>
          <cell r="AI392">
            <v>12600</v>
          </cell>
          <cell r="AJ392">
            <v>0</v>
          </cell>
          <cell r="AK392">
            <v>0</v>
          </cell>
          <cell r="AL392">
            <v>5000</v>
          </cell>
          <cell r="AM392">
            <v>0</v>
          </cell>
          <cell r="AN392">
            <v>0</v>
          </cell>
          <cell r="AO392">
            <v>0</v>
          </cell>
          <cell r="AP392">
            <v>0</v>
          </cell>
          <cell r="AQ392">
            <v>1620</v>
          </cell>
          <cell r="AR392">
            <v>19220</v>
          </cell>
          <cell r="AS392">
            <v>5.91</v>
          </cell>
        </row>
        <row r="393">
          <cell r="P393">
            <v>4</v>
          </cell>
          <cell r="S393" t="str">
            <v xml:space="preserve"> </v>
          </cell>
        </row>
        <row r="394">
          <cell r="G394">
            <v>2286</v>
          </cell>
          <cell r="H394" t="str">
            <v>MR SANTOSH KUMAR SHARMA</v>
          </cell>
          <cell r="I394">
            <v>26521</v>
          </cell>
          <cell r="J394">
            <v>37074</v>
          </cell>
          <cell r="K394">
            <v>10757</v>
          </cell>
          <cell r="L394" t="str">
            <v>MA</v>
          </cell>
          <cell r="M394">
            <v>22</v>
          </cell>
          <cell r="N394" t="str">
            <v>A3</v>
          </cell>
          <cell r="O394" t="str">
            <v>MAT</v>
          </cell>
          <cell r="P394">
            <v>4</v>
          </cell>
          <cell r="Q394" t="str">
            <v>Kolkatta</v>
          </cell>
          <cell r="R394" t="str">
            <v>Kolkatta</v>
          </cell>
          <cell r="S394" t="str">
            <v xml:space="preserve"> </v>
          </cell>
          <cell r="U394">
            <v>2001</v>
          </cell>
          <cell r="V394">
            <v>12500</v>
          </cell>
          <cell r="W394">
            <v>9000</v>
          </cell>
          <cell r="X394">
            <v>4000</v>
          </cell>
          <cell r="AA394">
            <v>500</v>
          </cell>
          <cell r="AB394">
            <v>150</v>
          </cell>
          <cell r="AC394">
            <v>850</v>
          </cell>
          <cell r="AE394">
            <v>450</v>
          </cell>
          <cell r="AG394">
            <v>3250</v>
          </cell>
          <cell r="AH394">
            <v>18200</v>
          </cell>
          <cell r="AI394">
            <v>218400</v>
          </cell>
          <cell r="AJ394">
            <v>20000</v>
          </cell>
          <cell r="AK394">
            <v>25000</v>
          </cell>
          <cell r="AL394">
            <v>10000</v>
          </cell>
          <cell r="AQ394">
            <v>29160</v>
          </cell>
          <cell r="AR394">
            <v>302560</v>
          </cell>
        </row>
        <row r="395">
          <cell r="M395">
            <v>22</v>
          </cell>
          <cell r="N395" t="str">
            <v>A3</v>
          </cell>
          <cell r="P395">
            <v>4</v>
          </cell>
          <cell r="S395" t="str">
            <v xml:space="preserve"> </v>
          </cell>
          <cell r="U395">
            <v>2002</v>
          </cell>
          <cell r="W395">
            <v>10000</v>
          </cell>
          <cell r="X395">
            <v>5000</v>
          </cell>
          <cell r="Z395">
            <v>0</v>
          </cell>
          <cell r="AA395">
            <v>500</v>
          </cell>
          <cell r="AB395">
            <v>150</v>
          </cell>
          <cell r="AC395">
            <v>850</v>
          </cell>
          <cell r="AF395">
            <v>0</v>
          </cell>
          <cell r="AG395">
            <v>3250</v>
          </cell>
          <cell r="AH395">
            <v>19750</v>
          </cell>
          <cell r="AI395">
            <v>237000</v>
          </cell>
          <cell r="AJ395">
            <v>20000</v>
          </cell>
          <cell r="AK395">
            <v>25000</v>
          </cell>
          <cell r="AL395">
            <v>15000</v>
          </cell>
          <cell r="AM395">
            <v>0</v>
          </cell>
          <cell r="AN395">
            <v>0</v>
          </cell>
          <cell r="AO395">
            <v>0</v>
          </cell>
          <cell r="AP395">
            <v>0</v>
          </cell>
          <cell r="AQ395">
            <v>32400</v>
          </cell>
          <cell r="AR395">
            <v>329400</v>
          </cell>
          <cell r="AS395">
            <v>0</v>
          </cell>
        </row>
        <row r="396">
          <cell r="P396">
            <v>4</v>
          </cell>
          <cell r="S396" t="str">
            <v xml:space="preserve"> </v>
          </cell>
          <cell r="U396" t="str">
            <v>DIFF.</v>
          </cell>
          <cell r="W396">
            <v>1000</v>
          </cell>
          <cell r="X396">
            <v>1000</v>
          </cell>
          <cell r="Z396">
            <v>0</v>
          </cell>
          <cell r="AA396">
            <v>0</v>
          </cell>
          <cell r="AB396">
            <v>0</v>
          </cell>
          <cell r="AC396">
            <v>0</v>
          </cell>
          <cell r="AE396">
            <v>-450</v>
          </cell>
          <cell r="AF396">
            <v>0</v>
          </cell>
          <cell r="AG396">
            <v>0</v>
          </cell>
          <cell r="AH396">
            <v>1550</v>
          </cell>
          <cell r="AI396">
            <v>18600</v>
          </cell>
          <cell r="AJ396">
            <v>0</v>
          </cell>
          <cell r="AK396">
            <v>0</v>
          </cell>
          <cell r="AL396">
            <v>5000</v>
          </cell>
          <cell r="AM396">
            <v>0</v>
          </cell>
          <cell r="AN396">
            <v>0</v>
          </cell>
          <cell r="AO396">
            <v>0</v>
          </cell>
          <cell r="AP396">
            <v>0</v>
          </cell>
          <cell r="AQ396">
            <v>3240</v>
          </cell>
          <cell r="AR396">
            <v>26840</v>
          </cell>
          <cell r="AS396">
            <v>8.8699999999999992</v>
          </cell>
        </row>
        <row r="397">
          <cell r="P397">
            <v>4</v>
          </cell>
          <cell r="S397" t="str">
            <v xml:space="preserve"> </v>
          </cell>
        </row>
        <row r="398">
          <cell r="G398">
            <v>2298</v>
          </cell>
          <cell r="H398" t="str">
            <v>MR DUTTA JAYDEEP</v>
          </cell>
          <cell r="I398">
            <v>24473</v>
          </cell>
          <cell r="J398">
            <v>32664</v>
          </cell>
          <cell r="K398">
            <v>12805</v>
          </cell>
          <cell r="L398" t="str">
            <v>MA</v>
          </cell>
          <cell r="M398">
            <v>22</v>
          </cell>
          <cell r="N398" t="str">
            <v>A3</v>
          </cell>
          <cell r="O398" t="str">
            <v>MA</v>
          </cell>
          <cell r="P398">
            <v>7</v>
          </cell>
          <cell r="Q398" t="str">
            <v>Other Locations</v>
          </cell>
          <cell r="R398" t="str">
            <v>Siliguri (Wb)</v>
          </cell>
          <cell r="S398" t="str">
            <v xml:space="preserve"> </v>
          </cell>
          <cell r="T398" t="str">
            <v>BA</v>
          </cell>
          <cell r="U398">
            <v>2001</v>
          </cell>
          <cell r="V398">
            <v>26250</v>
          </cell>
          <cell r="W398">
            <v>10275</v>
          </cell>
          <cell r="X398">
            <v>4000</v>
          </cell>
          <cell r="AA398">
            <v>500</v>
          </cell>
          <cell r="AB398">
            <v>150</v>
          </cell>
          <cell r="AC398">
            <v>850</v>
          </cell>
          <cell r="AE398">
            <v>0</v>
          </cell>
          <cell r="AG398">
            <v>3250</v>
          </cell>
          <cell r="AH398">
            <v>19025</v>
          </cell>
          <cell r="AI398">
            <v>228300</v>
          </cell>
          <cell r="AJ398">
            <v>20000</v>
          </cell>
          <cell r="AK398">
            <v>25000</v>
          </cell>
          <cell r="AL398">
            <v>10000</v>
          </cell>
          <cell r="AQ398">
            <v>33291</v>
          </cell>
          <cell r="AR398">
            <v>316591</v>
          </cell>
        </row>
        <row r="399">
          <cell r="M399">
            <v>22</v>
          </cell>
          <cell r="N399" t="str">
            <v>A3</v>
          </cell>
          <cell r="P399">
            <v>7</v>
          </cell>
          <cell r="S399" t="str">
            <v xml:space="preserve"> </v>
          </cell>
          <cell r="U399">
            <v>2002</v>
          </cell>
          <cell r="W399">
            <v>11525</v>
          </cell>
          <cell r="X399">
            <v>4500</v>
          </cell>
          <cell r="Z399">
            <v>0</v>
          </cell>
          <cell r="AA399">
            <v>500</v>
          </cell>
          <cell r="AB399">
            <v>150</v>
          </cell>
          <cell r="AC399">
            <v>850</v>
          </cell>
          <cell r="AF399">
            <v>0</v>
          </cell>
          <cell r="AG399">
            <v>3250</v>
          </cell>
          <cell r="AH399">
            <v>20775</v>
          </cell>
          <cell r="AI399">
            <v>249300</v>
          </cell>
          <cell r="AJ399">
            <v>20000</v>
          </cell>
          <cell r="AK399">
            <v>25000</v>
          </cell>
          <cell r="AL399">
            <v>15000</v>
          </cell>
          <cell r="AM399">
            <v>0</v>
          </cell>
          <cell r="AN399">
            <v>0</v>
          </cell>
          <cell r="AO399">
            <v>0</v>
          </cell>
          <cell r="AP399">
            <v>0</v>
          </cell>
          <cell r="AQ399">
            <v>37341</v>
          </cell>
          <cell r="AR399">
            <v>346641</v>
          </cell>
          <cell r="AS399">
            <v>0</v>
          </cell>
        </row>
        <row r="400">
          <cell r="P400">
            <v>7</v>
          </cell>
          <cell r="S400" t="str">
            <v xml:space="preserve"> </v>
          </cell>
          <cell r="U400" t="str">
            <v>DIFF.</v>
          </cell>
          <cell r="W400">
            <v>1250</v>
          </cell>
          <cell r="X400">
            <v>500</v>
          </cell>
          <cell r="Z400">
            <v>0</v>
          </cell>
          <cell r="AA400">
            <v>0</v>
          </cell>
          <cell r="AB400">
            <v>0</v>
          </cell>
          <cell r="AC400">
            <v>0</v>
          </cell>
          <cell r="AE400">
            <v>0</v>
          </cell>
          <cell r="AF400">
            <v>0</v>
          </cell>
          <cell r="AG400">
            <v>0</v>
          </cell>
          <cell r="AH400">
            <v>1750</v>
          </cell>
          <cell r="AI400">
            <v>21000</v>
          </cell>
          <cell r="AJ400">
            <v>0</v>
          </cell>
          <cell r="AK400">
            <v>0</v>
          </cell>
          <cell r="AL400">
            <v>5000</v>
          </cell>
          <cell r="AM400">
            <v>0</v>
          </cell>
          <cell r="AN400">
            <v>0</v>
          </cell>
          <cell r="AO400">
            <v>0</v>
          </cell>
          <cell r="AP400">
            <v>0</v>
          </cell>
          <cell r="AQ400">
            <v>4050</v>
          </cell>
          <cell r="AR400">
            <v>30050</v>
          </cell>
          <cell r="AS400">
            <v>9.49</v>
          </cell>
        </row>
        <row r="401">
          <cell r="P401">
            <v>7</v>
          </cell>
          <cell r="S401" t="str">
            <v xml:space="preserve"> </v>
          </cell>
        </row>
        <row r="402">
          <cell r="G402">
            <v>2299</v>
          </cell>
          <cell r="H402" t="str">
            <v>MR GOSWAMI SUSHIL</v>
          </cell>
          <cell r="I402">
            <v>21674</v>
          </cell>
          <cell r="J402">
            <v>32671</v>
          </cell>
          <cell r="K402">
            <v>15604</v>
          </cell>
          <cell r="L402" t="str">
            <v>MA</v>
          </cell>
          <cell r="M402">
            <v>22</v>
          </cell>
          <cell r="N402" t="str">
            <v>A3</v>
          </cell>
          <cell r="O402" t="str">
            <v>MA</v>
          </cell>
          <cell r="P402">
            <v>7</v>
          </cell>
          <cell r="Q402" t="str">
            <v>Other Locations</v>
          </cell>
          <cell r="R402" t="str">
            <v>Midnapore (Wb)</v>
          </cell>
          <cell r="S402" t="str">
            <v xml:space="preserve"> </v>
          </cell>
          <cell r="T402" t="str">
            <v>BA</v>
          </cell>
          <cell r="U402">
            <v>2001</v>
          </cell>
          <cell r="V402">
            <v>26250</v>
          </cell>
          <cell r="W402">
            <v>10215</v>
          </cell>
          <cell r="X402">
            <v>4000</v>
          </cell>
          <cell r="AA402">
            <v>500</v>
          </cell>
          <cell r="AB402">
            <v>150</v>
          </cell>
          <cell r="AD402" t="str">
            <v>CV</v>
          </cell>
          <cell r="AE402">
            <v>0</v>
          </cell>
          <cell r="AG402">
            <v>3250</v>
          </cell>
          <cell r="AH402">
            <v>18115</v>
          </cell>
          <cell r="AI402">
            <v>217380</v>
          </cell>
          <cell r="AJ402">
            <v>20000</v>
          </cell>
          <cell r="AK402">
            <v>25000</v>
          </cell>
          <cell r="AL402">
            <v>10000</v>
          </cell>
          <cell r="AQ402">
            <v>33097</v>
          </cell>
          <cell r="AR402">
            <v>305477</v>
          </cell>
        </row>
        <row r="403">
          <cell r="M403">
            <v>22</v>
          </cell>
          <cell r="N403" t="str">
            <v>A3</v>
          </cell>
          <cell r="P403">
            <v>7</v>
          </cell>
          <cell r="S403" t="str">
            <v xml:space="preserve"> </v>
          </cell>
          <cell r="U403">
            <v>2002</v>
          </cell>
          <cell r="W403">
            <v>11465</v>
          </cell>
          <cell r="X403">
            <v>4500</v>
          </cell>
          <cell r="Z403">
            <v>0</v>
          </cell>
          <cell r="AA403">
            <v>500</v>
          </cell>
          <cell r="AB403">
            <v>150</v>
          </cell>
          <cell r="AC403">
            <v>0</v>
          </cell>
          <cell r="AF403">
            <v>0</v>
          </cell>
          <cell r="AG403">
            <v>3250</v>
          </cell>
          <cell r="AH403">
            <v>19865</v>
          </cell>
          <cell r="AI403">
            <v>238380</v>
          </cell>
          <cell r="AJ403">
            <v>20000</v>
          </cell>
          <cell r="AK403">
            <v>25000</v>
          </cell>
          <cell r="AL403">
            <v>15000</v>
          </cell>
          <cell r="AM403">
            <v>0</v>
          </cell>
          <cell r="AN403">
            <v>0</v>
          </cell>
          <cell r="AO403">
            <v>0</v>
          </cell>
          <cell r="AP403">
            <v>0</v>
          </cell>
          <cell r="AQ403">
            <v>37147</v>
          </cell>
          <cell r="AR403">
            <v>335527</v>
          </cell>
          <cell r="AS403">
            <v>0</v>
          </cell>
        </row>
        <row r="404">
          <cell r="P404">
            <v>7</v>
          </cell>
          <cell r="S404" t="str">
            <v xml:space="preserve"> </v>
          </cell>
          <cell r="U404" t="str">
            <v>DIFF.</v>
          </cell>
          <cell r="W404">
            <v>1250</v>
          </cell>
          <cell r="X404">
            <v>500</v>
          </cell>
          <cell r="Z404">
            <v>0</v>
          </cell>
          <cell r="AA404">
            <v>0</v>
          </cell>
          <cell r="AB404">
            <v>0</v>
          </cell>
          <cell r="AC404">
            <v>0</v>
          </cell>
          <cell r="AE404">
            <v>0</v>
          </cell>
          <cell r="AF404">
            <v>0</v>
          </cell>
          <cell r="AG404">
            <v>0</v>
          </cell>
          <cell r="AH404">
            <v>1750</v>
          </cell>
          <cell r="AI404">
            <v>21000</v>
          </cell>
          <cell r="AJ404">
            <v>0</v>
          </cell>
          <cell r="AK404">
            <v>0</v>
          </cell>
          <cell r="AL404">
            <v>5000</v>
          </cell>
          <cell r="AM404">
            <v>0</v>
          </cell>
          <cell r="AN404">
            <v>0</v>
          </cell>
          <cell r="AO404">
            <v>0</v>
          </cell>
          <cell r="AP404">
            <v>0</v>
          </cell>
          <cell r="AQ404">
            <v>4050</v>
          </cell>
          <cell r="AR404">
            <v>30050</v>
          </cell>
          <cell r="AS404">
            <v>9.84</v>
          </cell>
        </row>
        <row r="405">
          <cell r="P405">
            <v>7</v>
          </cell>
          <cell r="S405" t="str">
            <v xml:space="preserve"> </v>
          </cell>
        </row>
        <row r="406">
          <cell r="G406">
            <v>2304</v>
          </cell>
          <cell r="H406" t="str">
            <v>MR JONPURI N K</v>
          </cell>
          <cell r="I406">
            <v>24294</v>
          </cell>
          <cell r="J406">
            <v>33178</v>
          </cell>
          <cell r="K406">
            <v>12984</v>
          </cell>
          <cell r="L406" t="str">
            <v>MA</v>
          </cell>
          <cell r="M406">
            <v>22</v>
          </cell>
          <cell r="N406" t="str">
            <v>A3</v>
          </cell>
          <cell r="O406" t="str">
            <v>MA</v>
          </cell>
          <cell r="P406">
            <v>7</v>
          </cell>
          <cell r="Q406" t="str">
            <v>Other Locations</v>
          </cell>
          <cell r="R406" t="str">
            <v>Purnea (Orissa)</v>
          </cell>
          <cell r="S406" t="str">
            <v xml:space="preserve"> </v>
          </cell>
          <cell r="T406" t="str">
            <v>CL</v>
          </cell>
          <cell r="U406">
            <v>2001</v>
          </cell>
          <cell r="V406">
            <v>22250</v>
          </cell>
          <cell r="W406">
            <v>10035</v>
          </cell>
          <cell r="X406">
            <v>4000</v>
          </cell>
          <cell r="AA406">
            <v>500</v>
          </cell>
          <cell r="AB406">
            <v>150</v>
          </cell>
          <cell r="AD406" t="str">
            <v>CV</v>
          </cell>
          <cell r="AE406">
            <v>0</v>
          </cell>
          <cell r="AG406">
            <v>3250</v>
          </cell>
          <cell r="AH406">
            <v>17935</v>
          </cell>
          <cell r="AI406">
            <v>215220</v>
          </cell>
          <cell r="AJ406">
            <v>20000</v>
          </cell>
          <cell r="AK406">
            <v>25000</v>
          </cell>
          <cell r="AL406">
            <v>10000</v>
          </cell>
          <cell r="AQ406">
            <v>32513</v>
          </cell>
          <cell r="AR406">
            <v>302733</v>
          </cell>
        </row>
        <row r="407">
          <cell r="M407">
            <v>22</v>
          </cell>
          <cell r="N407" t="str">
            <v>A3</v>
          </cell>
          <cell r="P407">
            <v>7</v>
          </cell>
          <cell r="S407" t="str">
            <v xml:space="preserve"> </v>
          </cell>
          <cell r="U407">
            <v>2002</v>
          </cell>
          <cell r="W407">
            <v>10885</v>
          </cell>
          <cell r="X407">
            <v>4500</v>
          </cell>
          <cell r="Z407">
            <v>0</v>
          </cell>
          <cell r="AA407">
            <v>500</v>
          </cell>
          <cell r="AB407">
            <v>150</v>
          </cell>
          <cell r="AC407">
            <v>0</v>
          </cell>
          <cell r="AF407">
            <v>0</v>
          </cell>
          <cell r="AG407">
            <v>3250</v>
          </cell>
          <cell r="AH407">
            <v>19285</v>
          </cell>
          <cell r="AI407">
            <v>231420</v>
          </cell>
          <cell r="AJ407">
            <v>20000</v>
          </cell>
          <cell r="AK407">
            <v>25000</v>
          </cell>
          <cell r="AL407">
            <v>15000</v>
          </cell>
          <cell r="AM407">
            <v>0</v>
          </cell>
          <cell r="AN407">
            <v>0</v>
          </cell>
          <cell r="AO407">
            <v>0</v>
          </cell>
          <cell r="AP407">
            <v>0</v>
          </cell>
          <cell r="AQ407">
            <v>35267</v>
          </cell>
          <cell r="AR407">
            <v>326687</v>
          </cell>
          <cell r="AS407">
            <v>0</v>
          </cell>
        </row>
        <row r="408">
          <cell r="P408">
            <v>7</v>
          </cell>
          <cell r="S408" t="str">
            <v xml:space="preserve"> </v>
          </cell>
          <cell r="U408" t="str">
            <v>DIFF.</v>
          </cell>
          <cell r="W408">
            <v>850</v>
          </cell>
          <cell r="X408">
            <v>500</v>
          </cell>
          <cell r="Z408">
            <v>0</v>
          </cell>
          <cell r="AA408">
            <v>0</v>
          </cell>
          <cell r="AB408">
            <v>0</v>
          </cell>
          <cell r="AC408">
            <v>0</v>
          </cell>
          <cell r="AE408">
            <v>0</v>
          </cell>
          <cell r="AF408">
            <v>0</v>
          </cell>
          <cell r="AG408">
            <v>0</v>
          </cell>
          <cell r="AH408">
            <v>1350</v>
          </cell>
          <cell r="AI408">
            <v>16200</v>
          </cell>
          <cell r="AJ408">
            <v>0</v>
          </cell>
          <cell r="AK408">
            <v>0</v>
          </cell>
          <cell r="AL408">
            <v>5000</v>
          </cell>
          <cell r="AM408">
            <v>0</v>
          </cell>
          <cell r="AN408">
            <v>0</v>
          </cell>
          <cell r="AO408">
            <v>0</v>
          </cell>
          <cell r="AP408">
            <v>0</v>
          </cell>
          <cell r="AQ408">
            <v>2754</v>
          </cell>
          <cell r="AR408">
            <v>23954</v>
          </cell>
          <cell r="AS408">
            <v>7.91</v>
          </cell>
        </row>
        <row r="409">
          <cell r="P409">
            <v>7</v>
          </cell>
          <cell r="S409" t="str">
            <v xml:space="preserve"> </v>
          </cell>
        </row>
        <row r="410">
          <cell r="G410">
            <v>2317</v>
          </cell>
          <cell r="H410" t="str">
            <v>MR R. SRINIVASAN</v>
          </cell>
          <cell r="I410">
            <v>25718</v>
          </cell>
          <cell r="J410">
            <v>34922</v>
          </cell>
          <cell r="K410">
            <v>11560</v>
          </cell>
          <cell r="L410" t="str">
            <v>MA</v>
          </cell>
          <cell r="M410">
            <v>22</v>
          </cell>
          <cell r="N410" t="str">
            <v>A3</v>
          </cell>
          <cell r="O410" t="str">
            <v>MA</v>
          </cell>
          <cell r="P410">
            <v>7</v>
          </cell>
          <cell r="Q410" t="str">
            <v>Other Locations</v>
          </cell>
          <cell r="R410" t="str">
            <v>Coimbatore (Tn)</v>
          </cell>
          <cell r="S410" t="str">
            <v xml:space="preserve"> </v>
          </cell>
          <cell r="T410" t="str">
            <v>CL</v>
          </cell>
          <cell r="U410">
            <v>2001</v>
          </cell>
          <cell r="V410">
            <v>22250</v>
          </cell>
          <cell r="W410">
            <v>8045</v>
          </cell>
          <cell r="X410">
            <v>4000</v>
          </cell>
          <cell r="AA410">
            <v>500</v>
          </cell>
          <cell r="AB410">
            <v>150</v>
          </cell>
          <cell r="AC410">
            <v>850</v>
          </cell>
          <cell r="AE410">
            <v>0</v>
          </cell>
          <cell r="AG410">
            <v>3250</v>
          </cell>
          <cell r="AH410">
            <v>16795</v>
          </cell>
          <cell r="AI410">
            <v>201540</v>
          </cell>
          <cell r="AJ410">
            <v>20000</v>
          </cell>
          <cell r="AK410">
            <v>25000</v>
          </cell>
          <cell r="AL410">
            <v>10000</v>
          </cell>
          <cell r="AQ410">
            <v>26066</v>
          </cell>
          <cell r="AR410">
            <v>282606</v>
          </cell>
        </row>
        <row r="411">
          <cell r="M411">
            <v>22</v>
          </cell>
          <cell r="N411" t="str">
            <v>A3</v>
          </cell>
          <cell r="P411">
            <v>7</v>
          </cell>
          <cell r="S411" t="str">
            <v xml:space="preserve"> </v>
          </cell>
          <cell r="U411">
            <v>2002</v>
          </cell>
          <cell r="W411">
            <v>8895</v>
          </cell>
          <cell r="X411">
            <v>4500</v>
          </cell>
          <cell r="Z411">
            <v>0</v>
          </cell>
          <cell r="AA411">
            <v>500</v>
          </cell>
          <cell r="AB411">
            <v>150</v>
          </cell>
          <cell r="AC411">
            <v>850</v>
          </cell>
          <cell r="AF411">
            <v>0</v>
          </cell>
          <cell r="AG411">
            <v>3250</v>
          </cell>
          <cell r="AH411">
            <v>18145</v>
          </cell>
          <cell r="AI411">
            <v>217740</v>
          </cell>
          <cell r="AJ411">
            <v>20000</v>
          </cell>
          <cell r="AK411">
            <v>25000</v>
          </cell>
          <cell r="AL411">
            <v>15000</v>
          </cell>
          <cell r="AM411">
            <v>0</v>
          </cell>
          <cell r="AN411">
            <v>0</v>
          </cell>
          <cell r="AO411">
            <v>0</v>
          </cell>
          <cell r="AP411">
            <v>0</v>
          </cell>
          <cell r="AQ411">
            <v>28820</v>
          </cell>
          <cell r="AR411">
            <v>306560</v>
          </cell>
          <cell r="AS411">
            <v>0</v>
          </cell>
        </row>
        <row r="412">
          <cell r="P412">
            <v>7</v>
          </cell>
          <cell r="S412" t="str">
            <v xml:space="preserve"> </v>
          </cell>
          <cell r="U412" t="str">
            <v>DIFF.</v>
          </cell>
          <cell r="W412">
            <v>850</v>
          </cell>
          <cell r="X412">
            <v>500</v>
          </cell>
          <cell r="Z412">
            <v>0</v>
          </cell>
          <cell r="AA412">
            <v>0</v>
          </cell>
          <cell r="AB412">
            <v>0</v>
          </cell>
          <cell r="AC412">
            <v>0</v>
          </cell>
          <cell r="AE412">
            <v>0</v>
          </cell>
          <cell r="AF412">
            <v>0</v>
          </cell>
          <cell r="AG412">
            <v>0</v>
          </cell>
          <cell r="AH412">
            <v>1350</v>
          </cell>
          <cell r="AI412">
            <v>16200</v>
          </cell>
          <cell r="AJ412">
            <v>0</v>
          </cell>
          <cell r="AK412">
            <v>0</v>
          </cell>
          <cell r="AL412">
            <v>5000</v>
          </cell>
          <cell r="AM412">
            <v>0</v>
          </cell>
          <cell r="AN412">
            <v>0</v>
          </cell>
          <cell r="AO412">
            <v>0</v>
          </cell>
          <cell r="AP412">
            <v>0</v>
          </cell>
          <cell r="AQ412">
            <v>2754</v>
          </cell>
          <cell r="AR412">
            <v>23954</v>
          </cell>
          <cell r="AS412">
            <v>8.48</v>
          </cell>
        </row>
        <row r="413">
          <cell r="P413">
            <v>7</v>
          </cell>
          <cell r="S413" t="str">
            <v xml:space="preserve"> </v>
          </cell>
        </row>
        <row r="414">
          <cell r="G414">
            <v>2367</v>
          </cell>
          <cell r="H414" t="str">
            <v>MR J. UNNIKRISHNAN</v>
          </cell>
          <cell r="I414">
            <v>26416</v>
          </cell>
          <cell r="J414">
            <v>36073</v>
          </cell>
          <cell r="K414">
            <v>10862</v>
          </cell>
          <cell r="L414" t="str">
            <v>MA</v>
          </cell>
          <cell r="M414">
            <v>22</v>
          </cell>
          <cell r="N414" t="str">
            <v>A4</v>
          </cell>
          <cell r="O414" t="str">
            <v>MA</v>
          </cell>
          <cell r="P414">
            <v>2</v>
          </cell>
          <cell r="Q414" t="str">
            <v>Chennai</v>
          </cell>
          <cell r="R414" t="str">
            <v>Chennai</v>
          </cell>
          <cell r="S414" t="str">
            <v xml:space="preserve"> </v>
          </cell>
          <cell r="T414" t="str">
            <v>CA</v>
          </cell>
          <cell r="U414">
            <v>2001</v>
          </cell>
          <cell r="V414">
            <v>22250</v>
          </cell>
          <cell r="W414">
            <v>8370</v>
          </cell>
          <cell r="X414">
            <v>4000</v>
          </cell>
          <cell r="AA414">
            <v>500</v>
          </cell>
          <cell r="AB414">
            <v>150</v>
          </cell>
          <cell r="AC414">
            <v>850</v>
          </cell>
          <cell r="AE414">
            <v>450</v>
          </cell>
          <cell r="AF414">
            <v>500</v>
          </cell>
          <cell r="AG414">
            <v>3250</v>
          </cell>
          <cell r="AH414">
            <v>18070</v>
          </cell>
          <cell r="AI414">
            <v>216840</v>
          </cell>
          <cell r="AJ414">
            <v>20000</v>
          </cell>
          <cell r="AK414">
            <v>25000</v>
          </cell>
          <cell r="AL414">
            <v>10000</v>
          </cell>
          <cell r="AM414">
            <v>0</v>
          </cell>
          <cell r="AN414">
            <v>0</v>
          </cell>
          <cell r="AO414">
            <v>0</v>
          </cell>
          <cell r="AP414">
            <v>0</v>
          </cell>
          <cell r="AQ414">
            <v>27119</v>
          </cell>
          <cell r="AR414">
            <v>298959</v>
          </cell>
          <cell r="AS414">
            <v>0</v>
          </cell>
        </row>
        <row r="415">
          <cell r="M415">
            <v>22</v>
          </cell>
          <cell r="N415" t="str">
            <v>A4</v>
          </cell>
          <cell r="P415">
            <v>2</v>
          </cell>
          <cell r="S415" t="str">
            <v xml:space="preserve"> </v>
          </cell>
          <cell r="U415">
            <v>2002</v>
          </cell>
          <cell r="W415">
            <v>10020</v>
          </cell>
          <cell r="X415">
            <v>5000</v>
          </cell>
          <cell r="Z415">
            <v>0</v>
          </cell>
          <cell r="AA415">
            <v>500</v>
          </cell>
          <cell r="AB415">
            <v>150</v>
          </cell>
          <cell r="AC415">
            <v>850</v>
          </cell>
          <cell r="AF415">
            <v>500</v>
          </cell>
          <cell r="AG415">
            <v>3250</v>
          </cell>
          <cell r="AH415">
            <v>20270</v>
          </cell>
          <cell r="AI415">
            <v>243240</v>
          </cell>
          <cell r="AJ415">
            <v>20000</v>
          </cell>
          <cell r="AK415">
            <v>25000</v>
          </cell>
          <cell r="AL415">
            <v>15000</v>
          </cell>
          <cell r="AM415">
            <v>0</v>
          </cell>
          <cell r="AN415">
            <v>0</v>
          </cell>
          <cell r="AO415">
            <v>0</v>
          </cell>
          <cell r="AP415">
            <v>0</v>
          </cell>
          <cell r="AQ415">
            <v>32465</v>
          </cell>
          <cell r="AR415">
            <v>335705</v>
          </cell>
          <cell r="AS415">
            <v>0</v>
          </cell>
        </row>
        <row r="416">
          <cell r="P416">
            <v>2</v>
          </cell>
          <cell r="S416" t="str">
            <v xml:space="preserve"> </v>
          </cell>
          <cell r="U416" t="str">
            <v>DIFF.</v>
          </cell>
          <cell r="W416">
            <v>1650</v>
          </cell>
          <cell r="X416">
            <v>1000</v>
          </cell>
          <cell r="Z416">
            <v>0</v>
          </cell>
          <cell r="AA416">
            <v>0</v>
          </cell>
          <cell r="AB416">
            <v>0</v>
          </cell>
          <cell r="AC416">
            <v>0</v>
          </cell>
          <cell r="AE416">
            <v>-450</v>
          </cell>
          <cell r="AF416">
            <v>0</v>
          </cell>
          <cell r="AG416">
            <v>0</v>
          </cell>
          <cell r="AH416">
            <v>2200</v>
          </cell>
          <cell r="AI416">
            <v>26400</v>
          </cell>
          <cell r="AJ416">
            <v>0</v>
          </cell>
          <cell r="AK416">
            <v>0</v>
          </cell>
          <cell r="AL416">
            <v>5000</v>
          </cell>
          <cell r="AM416">
            <v>0</v>
          </cell>
          <cell r="AN416">
            <v>0</v>
          </cell>
          <cell r="AO416">
            <v>0</v>
          </cell>
          <cell r="AP416">
            <v>0</v>
          </cell>
          <cell r="AQ416">
            <v>5346</v>
          </cell>
          <cell r="AR416">
            <v>36746</v>
          </cell>
          <cell r="AS416">
            <v>12.29</v>
          </cell>
        </row>
        <row r="417">
          <cell r="P417">
            <v>2</v>
          </cell>
          <cell r="S417" t="str">
            <v xml:space="preserve"> </v>
          </cell>
        </row>
        <row r="418">
          <cell r="G418">
            <v>2368</v>
          </cell>
          <cell r="H418" t="str">
            <v>MR PRASHANT S JOSHI</v>
          </cell>
          <cell r="I418">
            <v>26397</v>
          </cell>
          <cell r="J418">
            <v>36101</v>
          </cell>
          <cell r="K418">
            <v>10881</v>
          </cell>
          <cell r="L418" t="str">
            <v>MA</v>
          </cell>
          <cell r="M418">
            <v>22</v>
          </cell>
          <cell r="O418" t="str">
            <v>MA</v>
          </cell>
          <cell r="P418">
            <v>1</v>
          </cell>
          <cell r="Q418" t="str">
            <v>Mumbai</v>
          </cell>
          <cell r="R418" t="str">
            <v>Ho</v>
          </cell>
          <cell r="S418" t="str">
            <v xml:space="preserve"> </v>
          </cell>
          <cell r="T418" t="str">
            <v>BA</v>
          </cell>
          <cell r="U418">
            <v>2001</v>
          </cell>
          <cell r="V418">
            <v>26250</v>
          </cell>
          <cell r="W418">
            <v>9165</v>
          </cell>
          <cell r="X418">
            <v>4000</v>
          </cell>
          <cell r="AA418">
            <v>500</v>
          </cell>
          <cell r="AB418">
            <v>150</v>
          </cell>
          <cell r="AC418">
            <v>850</v>
          </cell>
          <cell r="AE418">
            <v>1000</v>
          </cell>
          <cell r="AG418">
            <v>3250</v>
          </cell>
          <cell r="AH418">
            <v>18915</v>
          </cell>
          <cell r="AI418">
            <v>226980</v>
          </cell>
          <cell r="AJ418">
            <v>20000</v>
          </cell>
          <cell r="AK418">
            <v>25000</v>
          </cell>
          <cell r="AL418">
            <v>10000</v>
          </cell>
          <cell r="AQ418">
            <v>29695</v>
          </cell>
          <cell r="AR418">
            <v>311675</v>
          </cell>
        </row>
        <row r="419">
          <cell r="M419">
            <v>22</v>
          </cell>
          <cell r="P419">
            <v>1</v>
          </cell>
          <cell r="S419" t="str">
            <v xml:space="preserve"> </v>
          </cell>
          <cell r="U419">
            <v>2002</v>
          </cell>
          <cell r="W419">
            <v>10415</v>
          </cell>
          <cell r="X419">
            <v>6000</v>
          </cell>
          <cell r="Z419">
            <v>0</v>
          </cell>
          <cell r="AA419">
            <v>500</v>
          </cell>
          <cell r="AB419">
            <v>150</v>
          </cell>
          <cell r="AC419">
            <v>850</v>
          </cell>
          <cell r="AF419">
            <v>0</v>
          </cell>
          <cell r="AG419">
            <v>3250</v>
          </cell>
          <cell r="AH419">
            <v>21165</v>
          </cell>
          <cell r="AI419">
            <v>253980</v>
          </cell>
          <cell r="AJ419">
            <v>20000</v>
          </cell>
          <cell r="AK419">
            <v>25000</v>
          </cell>
          <cell r="AL419">
            <v>15000</v>
          </cell>
          <cell r="AM419">
            <v>0</v>
          </cell>
          <cell r="AN419">
            <v>0</v>
          </cell>
          <cell r="AO419">
            <v>0</v>
          </cell>
          <cell r="AP419">
            <v>0</v>
          </cell>
          <cell r="AQ419">
            <v>33745</v>
          </cell>
          <cell r="AR419">
            <v>347725</v>
          </cell>
          <cell r="AS419">
            <v>0</v>
          </cell>
        </row>
        <row r="420">
          <cell r="P420">
            <v>1</v>
          </cell>
          <cell r="S420" t="str">
            <v xml:space="preserve"> </v>
          </cell>
          <cell r="U420" t="str">
            <v>DIFF.</v>
          </cell>
          <cell r="W420">
            <v>1250</v>
          </cell>
          <cell r="X420">
            <v>2000</v>
          </cell>
          <cell r="Z420">
            <v>0</v>
          </cell>
          <cell r="AA420">
            <v>0</v>
          </cell>
          <cell r="AB420">
            <v>0</v>
          </cell>
          <cell r="AC420">
            <v>0</v>
          </cell>
          <cell r="AE420">
            <v>-1000</v>
          </cell>
          <cell r="AF420">
            <v>0</v>
          </cell>
          <cell r="AG420">
            <v>0</v>
          </cell>
          <cell r="AH420">
            <v>2250</v>
          </cell>
          <cell r="AI420">
            <v>27000</v>
          </cell>
          <cell r="AJ420">
            <v>0</v>
          </cell>
          <cell r="AK420">
            <v>0</v>
          </cell>
          <cell r="AL420">
            <v>5000</v>
          </cell>
          <cell r="AM420">
            <v>0</v>
          </cell>
          <cell r="AN420">
            <v>0</v>
          </cell>
          <cell r="AO420">
            <v>0</v>
          </cell>
          <cell r="AP420">
            <v>0</v>
          </cell>
          <cell r="AQ420">
            <v>4050</v>
          </cell>
          <cell r="AR420">
            <v>36050</v>
          </cell>
          <cell r="AS420">
            <v>11.57</v>
          </cell>
        </row>
        <row r="421">
          <cell r="P421">
            <v>1</v>
          </cell>
          <cell r="S421" t="str">
            <v xml:space="preserve"> </v>
          </cell>
        </row>
        <row r="422">
          <cell r="G422">
            <v>2409</v>
          </cell>
          <cell r="H422" t="str">
            <v>DR S.P. RAJASHEKHAR</v>
          </cell>
          <cell r="I422">
            <v>24624</v>
          </cell>
          <cell r="J422">
            <v>36531</v>
          </cell>
          <cell r="K422">
            <v>12654</v>
          </cell>
          <cell r="L422" t="str">
            <v>MA</v>
          </cell>
          <cell r="M422">
            <v>22</v>
          </cell>
          <cell r="N422" t="str">
            <v>A3</v>
          </cell>
          <cell r="O422" t="str">
            <v>MA</v>
          </cell>
          <cell r="P422">
            <v>7</v>
          </cell>
          <cell r="Q422" t="str">
            <v>Other Locations</v>
          </cell>
          <cell r="R422" t="str">
            <v>Hyderabad</v>
          </cell>
          <cell r="S422" t="str">
            <v xml:space="preserve"> </v>
          </cell>
          <cell r="T422" t="str">
            <v>BP</v>
          </cell>
          <cell r="U422">
            <v>2001</v>
          </cell>
          <cell r="V422">
            <v>26250</v>
          </cell>
          <cell r="W422">
            <v>9210</v>
          </cell>
          <cell r="X422">
            <v>4000</v>
          </cell>
          <cell r="AA422">
            <v>500</v>
          </cell>
          <cell r="AB422">
            <v>150</v>
          </cell>
          <cell r="AC422">
            <v>850</v>
          </cell>
          <cell r="AE422">
            <v>0</v>
          </cell>
          <cell r="AG422">
            <v>3250</v>
          </cell>
          <cell r="AH422">
            <v>17960</v>
          </cell>
          <cell r="AI422">
            <v>215520</v>
          </cell>
          <cell r="AJ422">
            <v>20000</v>
          </cell>
          <cell r="AK422">
            <v>25000</v>
          </cell>
          <cell r="AL422">
            <v>10000</v>
          </cell>
          <cell r="AQ422">
            <v>29840</v>
          </cell>
          <cell r="AR422">
            <v>300360</v>
          </cell>
        </row>
        <row r="423">
          <cell r="M423">
            <v>22</v>
          </cell>
          <cell r="N423" t="str">
            <v>A3</v>
          </cell>
          <cell r="P423">
            <v>7</v>
          </cell>
          <cell r="S423" t="str">
            <v xml:space="preserve"> </v>
          </cell>
          <cell r="U423">
            <v>2002</v>
          </cell>
          <cell r="W423">
            <v>10710</v>
          </cell>
          <cell r="X423">
            <v>4500</v>
          </cell>
          <cell r="Z423">
            <v>0</v>
          </cell>
          <cell r="AA423">
            <v>500</v>
          </cell>
          <cell r="AB423">
            <v>150</v>
          </cell>
          <cell r="AC423">
            <v>850</v>
          </cell>
          <cell r="AF423">
            <v>0</v>
          </cell>
          <cell r="AG423">
            <v>3250</v>
          </cell>
          <cell r="AH423">
            <v>19960</v>
          </cell>
          <cell r="AI423">
            <v>239520</v>
          </cell>
          <cell r="AJ423">
            <v>20000</v>
          </cell>
          <cell r="AK423">
            <v>25000</v>
          </cell>
          <cell r="AL423">
            <v>15000</v>
          </cell>
          <cell r="AM423">
            <v>0</v>
          </cell>
          <cell r="AN423">
            <v>0</v>
          </cell>
          <cell r="AO423">
            <v>0</v>
          </cell>
          <cell r="AP423">
            <v>0</v>
          </cell>
          <cell r="AQ423">
            <v>34700</v>
          </cell>
          <cell r="AR423">
            <v>334220</v>
          </cell>
          <cell r="AS423">
            <v>0</v>
          </cell>
        </row>
        <row r="424">
          <cell r="P424">
            <v>7</v>
          </cell>
          <cell r="S424" t="str">
            <v xml:space="preserve"> </v>
          </cell>
          <cell r="U424" t="str">
            <v>DIFF.</v>
          </cell>
          <cell r="W424">
            <v>1500</v>
          </cell>
          <cell r="X424">
            <v>500</v>
          </cell>
          <cell r="Z424">
            <v>0</v>
          </cell>
          <cell r="AA424">
            <v>0</v>
          </cell>
          <cell r="AB424">
            <v>0</v>
          </cell>
          <cell r="AC424">
            <v>0</v>
          </cell>
          <cell r="AE424">
            <v>0</v>
          </cell>
          <cell r="AF424">
            <v>0</v>
          </cell>
          <cell r="AG424">
            <v>0</v>
          </cell>
          <cell r="AH424">
            <v>2000</v>
          </cell>
          <cell r="AI424">
            <v>24000</v>
          </cell>
          <cell r="AJ424">
            <v>0</v>
          </cell>
          <cell r="AK424">
            <v>0</v>
          </cell>
          <cell r="AL424">
            <v>5000</v>
          </cell>
          <cell r="AM424">
            <v>0</v>
          </cell>
          <cell r="AN424">
            <v>0</v>
          </cell>
          <cell r="AO424">
            <v>0</v>
          </cell>
          <cell r="AP424">
            <v>0</v>
          </cell>
          <cell r="AQ424">
            <v>4860</v>
          </cell>
          <cell r="AR424">
            <v>33860</v>
          </cell>
          <cell r="AS424">
            <v>11.27</v>
          </cell>
        </row>
        <row r="425">
          <cell r="P425">
            <v>7</v>
          </cell>
          <cell r="S425" t="str">
            <v xml:space="preserve"> </v>
          </cell>
        </row>
        <row r="426">
          <cell r="G426">
            <v>2415</v>
          </cell>
          <cell r="H426" t="str">
            <v>MR S GANESH</v>
          </cell>
          <cell r="I426">
            <v>27312</v>
          </cell>
          <cell r="J426">
            <v>36563</v>
          </cell>
          <cell r="K426">
            <v>9966</v>
          </cell>
          <cell r="L426" t="str">
            <v>MA</v>
          </cell>
          <cell r="M426">
            <v>22</v>
          </cell>
          <cell r="O426" t="str">
            <v>MA</v>
          </cell>
          <cell r="P426">
            <v>1</v>
          </cell>
          <cell r="Q426" t="str">
            <v>Mumbai</v>
          </cell>
          <cell r="R426" t="str">
            <v>Ho</v>
          </cell>
          <cell r="S426" t="str">
            <v xml:space="preserve"> </v>
          </cell>
          <cell r="T426" t="str">
            <v>D</v>
          </cell>
          <cell r="U426">
            <v>2001</v>
          </cell>
          <cell r="V426">
            <v>14000</v>
          </cell>
          <cell r="W426">
            <v>6715</v>
          </cell>
          <cell r="X426">
            <v>4000</v>
          </cell>
          <cell r="AA426">
            <v>500</v>
          </cell>
          <cell r="AB426">
            <v>150</v>
          </cell>
          <cell r="AC426">
            <v>850</v>
          </cell>
          <cell r="AE426">
            <v>1000</v>
          </cell>
          <cell r="AG426">
            <v>3250</v>
          </cell>
          <cell r="AH426">
            <v>16465</v>
          </cell>
          <cell r="AI426">
            <v>197580</v>
          </cell>
          <cell r="AJ426">
            <v>20000</v>
          </cell>
          <cell r="AK426">
            <v>25000</v>
          </cell>
          <cell r="AL426">
            <v>10000</v>
          </cell>
          <cell r="AQ426">
            <v>21757</v>
          </cell>
          <cell r="AR426">
            <v>274337</v>
          </cell>
        </row>
        <row r="427">
          <cell r="M427">
            <v>22</v>
          </cell>
          <cell r="P427">
            <v>1</v>
          </cell>
          <cell r="S427" t="str">
            <v xml:space="preserve"> </v>
          </cell>
          <cell r="U427">
            <v>2002</v>
          </cell>
          <cell r="W427">
            <v>7165</v>
          </cell>
          <cell r="X427">
            <v>6000</v>
          </cell>
          <cell r="Z427">
            <v>0</v>
          </cell>
          <cell r="AA427">
            <v>500</v>
          </cell>
          <cell r="AB427">
            <v>150</v>
          </cell>
          <cell r="AC427">
            <v>850</v>
          </cell>
          <cell r="AF427">
            <v>0</v>
          </cell>
          <cell r="AG427">
            <v>3250</v>
          </cell>
          <cell r="AH427">
            <v>17915</v>
          </cell>
          <cell r="AI427">
            <v>214980</v>
          </cell>
          <cell r="AJ427">
            <v>20000</v>
          </cell>
          <cell r="AK427">
            <v>25000</v>
          </cell>
          <cell r="AL427">
            <v>15000</v>
          </cell>
          <cell r="AM427">
            <v>0</v>
          </cell>
          <cell r="AN427">
            <v>0</v>
          </cell>
          <cell r="AO427">
            <v>0</v>
          </cell>
          <cell r="AP427">
            <v>0</v>
          </cell>
          <cell r="AQ427">
            <v>23215</v>
          </cell>
          <cell r="AR427">
            <v>298195</v>
          </cell>
          <cell r="AS427">
            <v>0</v>
          </cell>
        </row>
        <row r="428">
          <cell r="P428">
            <v>1</v>
          </cell>
          <cell r="S428" t="str">
            <v xml:space="preserve"> </v>
          </cell>
          <cell r="U428" t="str">
            <v>DIFF.</v>
          </cell>
          <cell r="W428">
            <v>450</v>
          </cell>
          <cell r="X428">
            <v>2000</v>
          </cell>
          <cell r="Z428">
            <v>0</v>
          </cell>
          <cell r="AA428">
            <v>0</v>
          </cell>
          <cell r="AB428">
            <v>0</v>
          </cell>
          <cell r="AC428">
            <v>0</v>
          </cell>
          <cell r="AE428">
            <v>-1000</v>
          </cell>
          <cell r="AF428">
            <v>0</v>
          </cell>
          <cell r="AG428">
            <v>0</v>
          </cell>
          <cell r="AH428">
            <v>1450</v>
          </cell>
          <cell r="AI428">
            <v>17400</v>
          </cell>
          <cell r="AJ428">
            <v>0</v>
          </cell>
          <cell r="AK428">
            <v>0</v>
          </cell>
          <cell r="AL428">
            <v>5000</v>
          </cell>
          <cell r="AM428">
            <v>0</v>
          </cell>
          <cell r="AN428">
            <v>0</v>
          </cell>
          <cell r="AO428">
            <v>0</v>
          </cell>
          <cell r="AP428">
            <v>0</v>
          </cell>
          <cell r="AQ428">
            <v>1458</v>
          </cell>
          <cell r="AR428">
            <v>23858</v>
          </cell>
          <cell r="AS428">
            <v>8.6999999999999993</v>
          </cell>
        </row>
        <row r="429">
          <cell r="P429">
            <v>1</v>
          </cell>
          <cell r="S429" t="str">
            <v xml:space="preserve"> </v>
          </cell>
        </row>
        <row r="430">
          <cell r="G430">
            <v>2421</v>
          </cell>
          <cell r="H430" t="str">
            <v>MR LINGERI MANOJ</v>
          </cell>
          <cell r="I430">
            <v>25743</v>
          </cell>
          <cell r="J430">
            <v>37110</v>
          </cell>
          <cell r="K430">
            <v>11535</v>
          </cell>
          <cell r="L430" t="str">
            <v>MA</v>
          </cell>
          <cell r="M430">
            <v>22</v>
          </cell>
          <cell r="N430" t="str">
            <v>A3</v>
          </cell>
          <cell r="O430" t="str">
            <v>MAT</v>
          </cell>
          <cell r="P430">
            <v>7</v>
          </cell>
          <cell r="Q430" t="str">
            <v>Other Locations</v>
          </cell>
          <cell r="R430" t="str">
            <v>Hubli (Karnataka)</v>
          </cell>
          <cell r="S430" t="str">
            <v xml:space="preserve"> </v>
          </cell>
          <cell r="U430">
            <v>2001</v>
          </cell>
          <cell r="V430">
            <v>10420</v>
          </cell>
          <cell r="W430">
            <v>9250</v>
          </cell>
          <cell r="X430">
            <v>4000</v>
          </cell>
          <cell r="AA430">
            <v>500</v>
          </cell>
          <cell r="AB430">
            <v>150</v>
          </cell>
          <cell r="AC430">
            <v>850</v>
          </cell>
          <cell r="AE430">
            <v>0</v>
          </cell>
          <cell r="AG430">
            <v>3250</v>
          </cell>
          <cell r="AH430">
            <v>18000</v>
          </cell>
          <cell r="AI430">
            <v>216000</v>
          </cell>
          <cell r="AJ430">
            <v>20000</v>
          </cell>
          <cell r="AK430">
            <v>25000</v>
          </cell>
          <cell r="AL430">
            <v>10000</v>
          </cell>
          <cell r="AQ430">
            <v>29970</v>
          </cell>
          <cell r="AR430">
            <v>300970</v>
          </cell>
        </row>
        <row r="431">
          <cell r="M431">
            <v>22</v>
          </cell>
          <cell r="N431" t="str">
            <v>A3</v>
          </cell>
          <cell r="P431">
            <v>7</v>
          </cell>
          <cell r="S431" t="str">
            <v xml:space="preserve"> </v>
          </cell>
          <cell r="U431">
            <v>2002</v>
          </cell>
          <cell r="W431">
            <v>9250</v>
          </cell>
          <cell r="X431">
            <v>4500</v>
          </cell>
          <cell r="Z431">
            <v>0</v>
          </cell>
          <cell r="AA431">
            <v>500</v>
          </cell>
          <cell r="AB431">
            <v>150</v>
          </cell>
          <cell r="AC431">
            <v>850</v>
          </cell>
          <cell r="AF431">
            <v>0</v>
          </cell>
          <cell r="AG431">
            <v>3250</v>
          </cell>
          <cell r="AH431">
            <v>18500</v>
          </cell>
          <cell r="AI431">
            <v>222000</v>
          </cell>
          <cell r="AJ431">
            <v>20000</v>
          </cell>
          <cell r="AK431">
            <v>25000</v>
          </cell>
          <cell r="AL431">
            <v>15000</v>
          </cell>
          <cell r="AM431">
            <v>0</v>
          </cell>
          <cell r="AN431">
            <v>0</v>
          </cell>
          <cell r="AO431">
            <v>0</v>
          </cell>
          <cell r="AP431">
            <v>0</v>
          </cell>
          <cell r="AQ431">
            <v>29970</v>
          </cell>
          <cell r="AR431">
            <v>311970</v>
          </cell>
          <cell r="AS431">
            <v>0</v>
          </cell>
        </row>
        <row r="432">
          <cell r="P432">
            <v>7</v>
          </cell>
          <cell r="S432" t="str">
            <v xml:space="preserve"> </v>
          </cell>
          <cell r="U432" t="str">
            <v>DIFF.</v>
          </cell>
          <cell r="W432">
            <v>0</v>
          </cell>
          <cell r="X432">
            <v>500</v>
          </cell>
          <cell r="Z432">
            <v>0</v>
          </cell>
          <cell r="AA432">
            <v>0</v>
          </cell>
          <cell r="AB432">
            <v>0</v>
          </cell>
          <cell r="AC432">
            <v>0</v>
          </cell>
          <cell r="AE432">
            <v>0</v>
          </cell>
          <cell r="AF432">
            <v>0</v>
          </cell>
          <cell r="AG432">
            <v>0</v>
          </cell>
          <cell r="AH432">
            <v>500</v>
          </cell>
          <cell r="AI432">
            <v>6000</v>
          </cell>
          <cell r="AJ432">
            <v>0</v>
          </cell>
          <cell r="AK432">
            <v>0</v>
          </cell>
          <cell r="AL432">
            <v>5000</v>
          </cell>
          <cell r="AM432">
            <v>0</v>
          </cell>
          <cell r="AN432">
            <v>0</v>
          </cell>
          <cell r="AO432">
            <v>0</v>
          </cell>
          <cell r="AP432">
            <v>0</v>
          </cell>
          <cell r="AQ432">
            <v>0</v>
          </cell>
          <cell r="AR432">
            <v>11000</v>
          </cell>
          <cell r="AS432">
            <v>3.65</v>
          </cell>
        </row>
        <row r="433">
          <cell r="P433">
            <v>7</v>
          </cell>
          <cell r="S433" t="str">
            <v xml:space="preserve"> </v>
          </cell>
        </row>
        <row r="434">
          <cell r="G434">
            <v>2426</v>
          </cell>
          <cell r="H434" t="str">
            <v>MR RAMAN GUPTA</v>
          </cell>
          <cell r="I434">
            <v>26546</v>
          </cell>
          <cell r="J434">
            <v>37147</v>
          </cell>
          <cell r="K434">
            <v>10732</v>
          </cell>
          <cell r="L434" t="str">
            <v>MA</v>
          </cell>
          <cell r="M434">
            <v>22</v>
          </cell>
          <cell r="O434" t="str">
            <v>MAM</v>
          </cell>
          <cell r="P434">
            <v>7</v>
          </cell>
          <cell r="Q434" t="str">
            <v>Other Locations</v>
          </cell>
          <cell r="R434" t="str">
            <v>Jodhpur</v>
          </cell>
          <cell r="S434" t="str">
            <v xml:space="preserve"> </v>
          </cell>
          <cell r="U434">
            <v>2001</v>
          </cell>
          <cell r="V434">
            <v>7500</v>
          </cell>
          <cell r="W434">
            <v>8750</v>
          </cell>
          <cell r="X434">
            <v>4000</v>
          </cell>
          <cell r="AA434">
            <v>500</v>
          </cell>
          <cell r="AB434">
            <v>150</v>
          </cell>
          <cell r="AD434" t="str">
            <v>CV</v>
          </cell>
          <cell r="AE434">
            <v>0</v>
          </cell>
          <cell r="AG434">
            <v>3250</v>
          </cell>
          <cell r="AH434">
            <v>16650</v>
          </cell>
          <cell r="AI434">
            <v>199800</v>
          </cell>
          <cell r="AJ434">
            <v>20000</v>
          </cell>
          <cell r="AK434">
            <v>25000</v>
          </cell>
          <cell r="AL434">
            <v>10000</v>
          </cell>
          <cell r="AQ434">
            <v>28350</v>
          </cell>
          <cell r="AR434">
            <v>283150</v>
          </cell>
        </row>
        <row r="435">
          <cell r="M435">
            <v>22</v>
          </cell>
          <cell r="P435">
            <v>7</v>
          </cell>
          <cell r="S435" t="str">
            <v xml:space="preserve"> </v>
          </cell>
          <cell r="U435">
            <v>2002</v>
          </cell>
          <cell r="W435">
            <v>8750</v>
          </cell>
          <cell r="X435">
            <v>4500</v>
          </cell>
          <cell r="Z435">
            <v>0</v>
          </cell>
          <cell r="AA435">
            <v>500</v>
          </cell>
          <cell r="AB435">
            <v>150</v>
          </cell>
          <cell r="AC435">
            <v>0</v>
          </cell>
          <cell r="AF435">
            <v>0</v>
          </cell>
          <cell r="AG435">
            <v>3250</v>
          </cell>
          <cell r="AH435">
            <v>17150</v>
          </cell>
          <cell r="AI435">
            <v>205800</v>
          </cell>
          <cell r="AJ435">
            <v>20000</v>
          </cell>
          <cell r="AK435">
            <v>25000</v>
          </cell>
          <cell r="AL435">
            <v>15000</v>
          </cell>
          <cell r="AM435">
            <v>0</v>
          </cell>
          <cell r="AN435">
            <v>0</v>
          </cell>
          <cell r="AO435">
            <v>0</v>
          </cell>
          <cell r="AP435">
            <v>0</v>
          </cell>
          <cell r="AQ435">
            <v>28350</v>
          </cell>
          <cell r="AR435">
            <v>294150</v>
          </cell>
          <cell r="AS435">
            <v>0</v>
          </cell>
        </row>
        <row r="436">
          <cell r="P436">
            <v>7</v>
          </cell>
          <cell r="S436" t="str">
            <v xml:space="preserve"> </v>
          </cell>
          <cell r="U436" t="str">
            <v>DIFF.</v>
          </cell>
          <cell r="W436">
            <v>0</v>
          </cell>
          <cell r="X436">
            <v>500</v>
          </cell>
          <cell r="Z436">
            <v>0</v>
          </cell>
          <cell r="AA436">
            <v>0</v>
          </cell>
          <cell r="AB436">
            <v>0</v>
          </cell>
          <cell r="AC436">
            <v>0</v>
          </cell>
          <cell r="AE436">
            <v>0</v>
          </cell>
          <cell r="AF436">
            <v>0</v>
          </cell>
          <cell r="AG436">
            <v>0</v>
          </cell>
          <cell r="AH436">
            <v>500</v>
          </cell>
          <cell r="AI436">
            <v>6000</v>
          </cell>
          <cell r="AJ436">
            <v>0</v>
          </cell>
          <cell r="AK436">
            <v>0</v>
          </cell>
          <cell r="AL436">
            <v>5000</v>
          </cell>
          <cell r="AM436">
            <v>0</v>
          </cell>
          <cell r="AN436">
            <v>0</v>
          </cell>
          <cell r="AO436">
            <v>0</v>
          </cell>
          <cell r="AP436">
            <v>0</v>
          </cell>
          <cell r="AQ436">
            <v>0</v>
          </cell>
          <cell r="AR436">
            <v>11000</v>
          </cell>
          <cell r="AS436">
            <v>3.88</v>
          </cell>
        </row>
        <row r="437">
          <cell r="P437">
            <v>7</v>
          </cell>
          <cell r="S437" t="str">
            <v xml:space="preserve"> </v>
          </cell>
        </row>
        <row r="438">
          <cell r="G438">
            <v>2427</v>
          </cell>
          <cell r="H438" t="str">
            <v>MR DUJARI RAJESH</v>
          </cell>
          <cell r="I438">
            <v>27501</v>
          </cell>
          <cell r="J438">
            <v>37216</v>
          </cell>
          <cell r="K438">
            <v>9777</v>
          </cell>
          <cell r="L438" t="str">
            <v>MA</v>
          </cell>
          <cell r="M438">
            <v>22</v>
          </cell>
          <cell r="O438" t="str">
            <v>MA</v>
          </cell>
          <cell r="P438">
            <v>1</v>
          </cell>
          <cell r="Q438" t="str">
            <v>Mumbai</v>
          </cell>
          <cell r="R438" t="str">
            <v>Ho</v>
          </cell>
          <cell r="S438" t="str">
            <v xml:space="preserve"> </v>
          </cell>
          <cell r="U438">
            <v>2001</v>
          </cell>
          <cell r="V438">
            <v>2850</v>
          </cell>
          <cell r="W438">
            <v>12000</v>
          </cell>
          <cell r="X438">
            <v>4000</v>
          </cell>
          <cell r="AA438">
            <v>500</v>
          </cell>
          <cell r="AB438">
            <v>150</v>
          </cell>
          <cell r="AC438">
            <v>850</v>
          </cell>
          <cell r="AE438">
            <v>1000</v>
          </cell>
          <cell r="AG438">
            <v>3250</v>
          </cell>
          <cell r="AH438">
            <v>21750</v>
          </cell>
          <cell r="AI438">
            <v>261000</v>
          </cell>
          <cell r="AJ438">
            <v>20000</v>
          </cell>
          <cell r="AK438">
            <v>25000</v>
          </cell>
          <cell r="AL438">
            <v>10000</v>
          </cell>
          <cell r="AQ438">
            <v>38880</v>
          </cell>
          <cell r="AR438">
            <v>354880</v>
          </cell>
        </row>
        <row r="439">
          <cell r="M439">
            <v>22</v>
          </cell>
          <cell r="P439">
            <v>1</v>
          </cell>
          <cell r="S439" t="str">
            <v xml:space="preserve"> </v>
          </cell>
          <cell r="U439">
            <v>2002</v>
          </cell>
          <cell r="W439">
            <v>12000</v>
          </cell>
          <cell r="X439">
            <v>6000</v>
          </cell>
          <cell r="Z439">
            <v>0</v>
          </cell>
          <cell r="AA439">
            <v>500</v>
          </cell>
          <cell r="AB439">
            <v>150</v>
          </cell>
          <cell r="AC439">
            <v>850</v>
          </cell>
          <cell r="AF439">
            <v>0</v>
          </cell>
          <cell r="AG439">
            <v>3250</v>
          </cell>
          <cell r="AH439">
            <v>22750</v>
          </cell>
          <cell r="AI439">
            <v>273000</v>
          </cell>
          <cell r="AJ439">
            <v>20000</v>
          </cell>
          <cell r="AK439">
            <v>25000</v>
          </cell>
          <cell r="AL439">
            <v>15000</v>
          </cell>
          <cell r="AM439">
            <v>0</v>
          </cell>
          <cell r="AN439">
            <v>0</v>
          </cell>
          <cell r="AO439">
            <v>0</v>
          </cell>
          <cell r="AP439">
            <v>0</v>
          </cell>
          <cell r="AQ439">
            <v>38880</v>
          </cell>
          <cell r="AR439">
            <v>371880</v>
          </cell>
          <cell r="AS439">
            <v>0</v>
          </cell>
        </row>
        <row r="440">
          <cell r="P440">
            <v>1</v>
          </cell>
          <cell r="S440" t="str">
            <v xml:space="preserve"> </v>
          </cell>
          <cell r="U440" t="str">
            <v>DIFF.</v>
          </cell>
          <cell r="W440">
            <v>0</v>
          </cell>
          <cell r="X440">
            <v>2000</v>
          </cell>
          <cell r="Z440">
            <v>0</v>
          </cell>
          <cell r="AA440">
            <v>0</v>
          </cell>
          <cell r="AB440">
            <v>0</v>
          </cell>
          <cell r="AC440">
            <v>0</v>
          </cell>
          <cell r="AE440">
            <v>-1000</v>
          </cell>
          <cell r="AF440">
            <v>0</v>
          </cell>
          <cell r="AG440">
            <v>0</v>
          </cell>
          <cell r="AH440">
            <v>1000</v>
          </cell>
          <cell r="AI440">
            <v>12000</v>
          </cell>
          <cell r="AJ440">
            <v>0</v>
          </cell>
          <cell r="AK440">
            <v>0</v>
          </cell>
          <cell r="AL440">
            <v>5000</v>
          </cell>
          <cell r="AM440">
            <v>0</v>
          </cell>
          <cell r="AN440">
            <v>0</v>
          </cell>
          <cell r="AO440">
            <v>0</v>
          </cell>
          <cell r="AP440">
            <v>0</v>
          </cell>
          <cell r="AQ440">
            <v>0</v>
          </cell>
          <cell r="AR440">
            <v>17000</v>
          </cell>
          <cell r="AS440">
            <v>4.79</v>
          </cell>
        </row>
        <row r="441">
          <cell r="P441">
            <v>1</v>
          </cell>
          <cell r="S441" t="str">
            <v xml:space="preserve"> </v>
          </cell>
        </row>
        <row r="442">
          <cell r="G442">
            <v>1442</v>
          </cell>
          <cell r="H442" t="str">
            <v>MR GUNASEKHARAN S</v>
          </cell>
          <cell r="I442">
            <v>19832</v>
          </cell>
          <cell r="J442">
            <v>29587</v>
          </cell>
          <cell r="K442">
            <v>17446</v>
          </cell>
          <cell r="L442" t="str">
            <v>MA</v>
          </cell>
          <cell r="M442">
            <v>23</v>
          </cell>
          <cell r="N442" t="str">
            <v>A5</v>
          </cell>
          <cell r="O442" t="str">
            <v>MAM</v>
          </cell>
          <cell r="P442">
            <v>7</v>
          </cell>
          <cell r="Q442" t="str">
            <v>Other Locations</v>
          </cell>
          <cell r="R442" t="str">
            <v>Trichy (Tn)</v>
          </cell>
          <cell r="S442" t="str">
            <v xml:space="preserve"> </v>
          </cell>
          <cell r="T442" t="str">
            <v>BA</v>
          </cell>
          <cell r="U442">
            <v>2001</v>
          </cell>
          <cell r="V442">
            <v>51500</v>
          </cell>
          <cell r="W442">
            <v>14500</v>
          </cell>
          <cell r="X442">
            <v>5100</v>
          </cell>
          <cell r="AA442">
            <v>500</v>
          </cell>
          <cell r="AB442">
            <v>150</v>
          </cell>
          <cell r="AC442">
            <v>1000</v>
          </cell>
          <cell r="AE442">
            <v>0</v>
          </cell>
          <cell r="AG442">
            <v>4000</v>
          </cell>
          <cell r="AH442">
            <v>25250</v>
          </cell>
          <cell r="AI442">
            <v>303000</v>
          </cell>
          <cell r="AJ442">
            <v>25000</v>
          </cell>
          <cell r="AK442">
            <v>50000</v>
          </cell>
          <cell r="AL442">
            <v>10000</v>
          </cell>
          <cell r="AO442">
            <v>10000</v>
          </cell>
          <cell r="AQ442">
            <v>46980</v>
          </cell>
          <cell r="AR442">
            <v>444980</v>
          </cell>
        </row>
        <row r="443">
          <cell r="M443">
            <v>23</v>
          </cell>
          <cell r="N443" t="str">
            <v>A5</v>
          </cell>
          <cell r="P443">
            <v>7</v>
          </cell>
          <cell r="S443" t="str">
            <v xml:space="preserve"> </v>
          </cell>
          <cell r="U443">
            <v>2002</v>
          </cell>
          <cell r="W443">
            <v>16800</v>
          </cell>
          <cell r="X443">
            <v>6500</v>
          </cell>
          <cell r="Z443">
            <v>0</v>
          </cell>
          <cell r="AA443">
            <v>500</v>
          </cell>
          <cell r="AB443">
            <v>150</v>
          </cell>
          <cell r="AC443">
            <v>1000</v>
          </cell>
          <cell r="AF443">
            <v>0</v>
          </cell>
          <cell r="AG443">
            <v>4000</v>
          </cell>
          <cell r="AH443">
            <v>28950</v>
          </cell>
          <cell r="AI443">
            <v>347400</v>
          </cell>
          <cell r="AJ443">
            <v>25000</v>
          </cell>
          <cell r="AK443">
            <v>50000</v>
          </cell>
          <cell r="AL443">
            <v>15000</v>
          </cell>
          <cell r="AM443">
            <v>0</v>
          </cell>
          <cell r="AN443">
            <v>0</v>
          </cell>
          <cell r="AO443">
            <v>10000</v>
          </cell>
          <cell r="AP443">
            <v>0</v>
          </cell>
          <cell r="AQ443">
            <v>54432</v>
          </cell>
          <cell r="AR443">
            <v>501832</v>
          </cell>
          <cell r="AS443">
            <v>0</v>
          </cell>
        </row>
        <row r="444">
          <cell r="P444">
            <v>7</v>
          </cell>
          <cell r="S444" t="str">
            <v xml:space="preserve"> </v>
          </cell>
          <cell r="U444" t="str">
            <v>DIFF.</v>
          </cell>
          <cell r="W444">
            <v>2300</v>
          </cell>
          <cell r="X444">
            <v>1400</v>
          </cell>
          <cell r="Z444">
            <v>0</v>
          </cell>
          <cell r="AA444">
            <v>0</v>
          </cell>
          <cell r="AB444">
            <v>0</v>
          </cell>
          <cell r="AC444">
            <v>0</v>
          </cell>
          <cell r="AE444">
            <v>0</v>
          </cell>
          <cell r="AF444">
            <v>0</v>
          </cell>
          <cell r="AG444">
            <v>0</v>
          </cell>
          <cell r="AH444">
            <v>3700</v>
          </cell>
          <cell r="AI444">
            <v>44400</v>
          </cell>
          <cell r="AJ444">
            <v>0</v>
          </cell>
          <cell r="AK444">
            <v>0</v>
          </cell>
          <cell r="AL444">
            <v>5000</v>
          </cell>
          <cell r="AM444">
            <v>0</v>
          </cell>
          <cell r="AN444">
            <v>0</v>
          </cell>
          <cell r="AO444">
            <v>0</v>
          </cell>
          <cell r="AP444">
            <v>0</v>
          </cell>
          <cell r="AQ444">
            <v>7452</v>
          </cell>
          <cell r="AR444">
            <v>56852</v>
          </cell>
          <cell r="AS444">
            <v>12.78</v>
          </cell>
        </row>
        <row r="445">
          <cell r="P445">
            <v>7</v>
          </cell>
          <cell r="S445" t="str">
            <v xml:space="preserve"> </v>
          </cell>
        </row>
        <row r="446">
          <cell r="G446">
            <v>1501</v>
          </cell>
          <cell r="H446" t="str">
            <v>MR MANOHARAN G P</v>
          </cell>
          <cell r="I446">
            <v>20015</v>
          </cell>
          <cell r="J446">
            <v>29587</v>
          </cell>
          <cell r="K446">
            <v>17263</v>
          </cell>
          <cell r="L446" t="str">
            <v>MA</v>
          </cell>
          <cell r="M446">
            <v>23</v>
          </cell>
          <cell r="N446" t="str">
            <v>A5</v>
          </cell>
          <cell r="O446" t="str">
            <v>MAM</v>
          </cell>
          <cell r="P446">
            <v>7</v>
          </cell>
          <cell r="Q446" t="str">
            <v>Other Locations</v>
          </cell>
          <cell r="R446" t="str">
            <v>Coimbatore (Tn)</v>
          </cell>
          <cell r="S446" t="str">
            <v xml:space="preserve"> </v>
          </cell>
          <cell r="T446" t="str">
            <v>BA</v>
          </cell>
          <cell r="U446">
            <v>2001</v>
          </cell>
          <cell r="V446">
            <v>51500</v>
          </cell>
          <cell r="W446">
            <v>14250</v>
          </cell>
          <cell r="X446">
            <v>5000</v>
          </cell>
          <cell r="AA446">
            <v>500</v>
          </cell>
          <cell r="AB446">
            <v>150</v>
          </cell>
          <cell r="AC446">
            <v>1000</v>
          </cell>
          <cell r="AE446">
            <v>0</v>
          </cell>
          <cell r="AG446">
            <v>4000</v>
          </cell>
          <cell r="AH446">
            <v>24900</v>
          </cell>
          <cell r="AI446">
            <v>298800</v>
          </cell>
          <cell r="AJ446">
            <v>25000</v>
          </cell>
          <cell r="AK446">
            <v>50000</v>
          </cell>
          <cell r="AL446">
            <v>10000</v>
          </cell>
          <cell r="AO446">
            <v>10000</v>
          </cell>
          <cell r="AQ446">
            <v>46170</v>
          </cell>
          <cell r="AR446">
            <v>439970</v>
          </cell>
        </row>
        <row r="447">
          <cell r="M447">
            <v>23</v>
          </cell>
          <cell r="N447" t="str">
            <v>A5</v>
          </cell>
          <cell r="P447">
            <v>7</v>
          </cell>
          <cell r="S447" t="str">
            <v xml:space="preserve"> </v>
          </cell>
          <cell r="U447">
            <v>2002</v>
          </cell>
          <cell r="W447">
            <v>16550</v>
          </cell>
          <cell r="X447">
            <v>6500</v>
          </cell>
          <cell r="Z447">
            <v>0</v>
          </cell>
          <cell r="AA447">
            <v>500</v>
          </cell>
          <cell r="AB447">
            <v>150</v>
          </cell>
          <cell r="AC447">
            <v>1000</v>
          </cell>
          <cell r="AF447">
            <v>0</v>
          </cell>
          <cell r="AG447">
            <v>4000</v>
          </cell>
          <cell r="AH447">
            <v>28700</v>
          </cell>
          <cell r="AI447">
            <v>344400</v>
          </cell>
          <cell r="AJ447">
            <v>25000</v>
          </cell>
          <cell r="AK447">
            <v>50000</v>
          </cell>
          <cell r="AL447">
            <v>15000</v>
          </cell>
          <cell r="AM447">
            <v>0</v>
          </cell>
          <cell r="AN447">
            <v>0</v>
          </cell>
          <cell r="AO447">
            <v>10000</v>
          </cell>
          <cell r="AP447">
            <v>0</v>
          </cell>
          <cell r="AQ447">
            <v>53622</v>
          </cell>
          <cell r="AR447">
            <v>498022</v>
          </cell>
          <cell r="AS447">
            <v>0</v>
          </cell>
        </row>
        <row r="448">
          <cell r="P448">
            <v>7</v>
          </cell>
          <cell r="S448" t="str">
            <v xml:space="preserve"> </v>
          </cell>
          <cell r="U448" t="str">
            <v>DIFF.</v>
          </cell>
          <cell r="W448">
            <v>2300</v>
          </cell>
          <cell r="X448">
            <v>1500</v>
          </cell>
          <cell r="Z448">
            <v>0</v>
          </cell>
          <cell r="AA448">
            <v>0</v>
          </cell>
          <cell r="AB448">
            <v>0</v>
          </cell>
          <cell r="AC448">
            <v>0</v>
          </cell>
          <cell r="AE448">
            <v>0</v>
          </cell>
          <cell r="AF448">
            <v>0</v>
          </cell>
          <cell r="AG448">
            <v>0</v>
          </cell>
          <cell r="AH448">
            <v>3800</v>
          </cell>
          <cell r="AI448">
            <v>45600</v>
          </cell>
          <cell r="AJ448">
            <v>0</v>
          </cell>
          <cell r="AK448">
            <v>0</v>
          </cell>
          <cell r="AL448">
            <v>5000</v>
          </cell>
          <cell r="AM448">
            <v>0</v>
          </cell>
          <cell r="AN448">
            <v>0</v>
          </cell>
          <cell r="AO448">
            <v>0</v>
          </cell>
          <cell r="AP448">
            <v>0</v>
          </cell>
          <cell r="AQ448">
            <v>7452</v>
          </cell>
          <cell r="AR448">
            <v>58052</v>
          </cell>
          <cell r="AS448">
            <v>13.19</v>
          </cell>
        </row>
        <row r="449">
          <cell r="P449">
            <v>7</v>
          </cell>
          <cell r="S449" t="str">
            <v xml:space="preserve"> </v>
          </cell>
        </row>
        <row r="450">
          <cell r="G450">
            <v>1623</v>
          </cell>
          <cell r="H450" t="str">
            <v>MR CHITNIS A</v>
          </cell>
          <cell r="I450">
            <v>20767</v>
          </cell>
          <cell r="J450">
            <v>30895</v>
          </cell>
          <cell r="K450">
            <v>16511</v>
          </cell>
          <cell r="L450" t="str">
            <v>MA</v>
          </cell>
          <cell r="M450">
            <v>23</v>
          </cell>
          <cell r="N450" t="str">
            <v>A5</v>
          </cell>
          <cell r="O450" t="str">
            <v>MAM</v>
          </cell>
          <cell r="P450">
            <v>7</v>
          </cell>
          <cell r="Q450" t="str">
            <v>Other Locations</v>
          </cell>
          <cell r="R450" t="str">
            <v>Solapur (Maharashtra)</v>
          </cell>
          <cell r="S450" t="str">
            <v xml:space="preserve"> </v>
          </cell>
          <cell r="T450" t="str">
            <v>BA</v>
          </cell>
          <cell r="U450">
            <v>2001</v>
          </cell>
          <cell r="V450">
            <v>51500</v>
          </cell>
          <cell r="W450">
            <v>12498</v>
          </cell>
          <cell r="X450">
            <v>4350</v>
          </cell>
          <cell r="AA450">
            <v>500</v>
          </cell>
          <cell r="AB450">
            <v>150</v>
          </cell>
          <cell r="AC450">
            <v>0</v>
          </cell>
          <cell r="AD450" t="str">
            <v>CV</v>
          </cell>
          <cell r="AE450">
            <v>0</v>
          </cell>
          <cell r="AG450">
            <v>4000</v>
          </cell>
          <cell r="AH450">
            <v>21498</v>
          </cell>
          <cell r="AI450">
            <v>257976</v>
          </cell>
          <cell r="AJ450">
            <v>25000</v>
          </cell>
          <cell r="AK450">
            <v>50000</v>
          </cell>
          <cell r="AL450">
            <v>10000</v>
          </cell>
          <cell r="AO450">
            <v>10000</v>
          </cell>
          <cell r="AQ450">
            <v>40494</v>
          </cell>
          <cell r="AR450">
            <v>393470</v>
          </cell>
        </row>
        <row r="451">
          <cell r="M451">
            <v>23</v>
          </cell>
          <cell r="N451" t="str">
            <v>A5</v>
          </cell>
          <cell r="P451">
            <v>7</v>
          </cell>
          <cell r="S451" t="str">
            <v xml:space="preserve"> </v>
          </cell>
          <cell r="U451">
            <v>2002</v>
          </cell>
          <cell r="W451">
            <v>14798</v>
          </cell>
          <cell r="X451">
            <v>6500</v>
          </cell>
          <cell r="Z451">
            <v>0</v>
          </cell>
          <cell r="AA451">
            <v>500</v>
          </cell>
          <cell r="AB451">
            <v>150</v>
          </cell>
          <cell r="AC451">
            <v>0</v>
          </cell>
          <cell r="AF451">
            <v>0</v>
          </cell>
          <cell r="AG451">
            <v>4000</v>
          </cell>
          <cell r="AH451">
            <v>25948</v>
          </cell>
          <cell r="AI451">
            <v>311376</v>
          </cell>
          <cell r="AJ451">
            <v>25000</v>
          </cell>
          <cell r="AK451">
            <v>50000</v>
          </cell>
          <cell r="AL451">
            <v>15000</v>
          </cell>
          <cell r="AM451">
            <v>0</v>
          </cell>
          <cell r="AN451">
            <v>0</v>
          </cell>
          <cell r="AO451">
            <v>10000</v>
          </cell>
          <cell r="AP451">
            <v>0</v>
          </cell>
          <cell r="AQ451">
            <v>47946</v>
          </cell>
          <cell r="AR451">
            <v>459322</v>
          </cell>
          <cell r="AS451">
            <v>0</v>
          </cell>
        </row>
        <row r="452">
          <cell r="P452">
            <v>7</v>
          </cell>
          <cell r="S452" t="str">
            <v xml:space="preserve"> </v>
          </cell>
          <cell r="U452" t="str">
            <v>DIFF.</v>
          </cell>
          <cell r="W452">
            <v>2300</v>
          </cell>
          <cell r="X452">
            <v>2150</v>
          </cell>
          <cell r="Z452">
            <v>0</v>
          </cell>
          <cell r="AA452">
            <v>0</v>
          </cell>
          <cell r="AB452">
            <v>0</v>
          </cell>
          <cell r="AC452">
            <v>0</v>
          </cell>
          <cell r="AE452">
            <v>0</v>
          </cell>
          <cell r="AF452">
            <v>0</v>
          </cell>
          <cell r="AG452">
            <v>0</v>
          </cell>
          <cell r="AH452">
            <v>4450</v>
          </cell>
          <cell r="AI452">
            <v>53400</v>
          </cell>
          <cell r="AJ452">
            <v>0</v>
          </cell>
          <cell r="AK452">
            <v>0</v>
          </cell>
          <cell r="AL452">
            <v>5000</v>
          </cell>
          <cell r="AM452">
            <v>0</v>
          </cell>
          <cell r="AN452">
            <v>0</v>
          </cell>
          <cell r="AO452">
            <v>0</v>
          </cell>
          <cell r="AP452">
            <v>0</v>
          </cell>
          <cell r="AQ452">
            <v>7452</v>
          </cell>
          <cell r="AR452">
            <v>65852</v>
          </cell>
          <cell r="AS452">
            <v>16.739999999999998</v>
          </cell>
        </row>
        <row r="453">
          <cell r="P453">
            <v>7</v>
          </cell>
          <cell r="S453" t="str">
            <v xml:space="preserve"> </v>
          </cell>
        </row>
        <row r="454">
          <cell r="G454">
            <v>1649</v>
          </cell>
          <cell r="H454" t="str">
            <v>MR RAWAT H S</v>
          </cell>
          <cell r="I454">
            <v>20271</v>
          </cell>
          <cell r="J454">
            <v>31107</v>
          </cell>
          <cell r="K454">
            <v>17007</v>
          </cell>
          <cell r="L454" t="str">
            <v>MA</v>
          </cell>
          <cell r="M454">
            <v>23</v>
          </cell>
          <cell r="N454" t="str">
            <v>A6</v>
          </cell>
          <cell r="O454" t="str">
            <v>MAM</v>
          </cell>
          <cell r="P454">
            <v>7</v>
          </cell>
          <cell r="Q454" t="str">
            <v>Other Locations</v>
          </cell>
          <cell r="R454" t="str">
            <v>Lucknow (Up)</v>
          </cell>
          <cell r="S454" t="str">
            <v xml:space="preserve"> </v>
          </cell>
          <cell r="T454" t="str">
            <v>CA</v>
          </cell>
          <cell r="U454">
            <v>2001</v>
          </cell>
          <cell r="V454">
            <v>43500</v>
          </cell>
          <cell r="W454">
            <v>13043</v>
          </cell>
          <cell r="X454">
            <v>4550</v>
          </cell>
          <cell r="AA454">
            <v>500</v>
          </cell>
          <cell r="AB454">
            <v>150</v>
          </cell>
          <cell r="AC454">
            <v>0</v>
          </cell>
          <cell r="AD454" t="str">
            <v>CV</v>
          </cell>
          <cell r="AE454">
            <v>0</v>
          </cell>
          <cell r="AF454">
            <v>500</v>
          </cell>
          <cell r="AG454">
            <v>4000</v>
          </cell>
          <cell r="AH454">
            <v>22743</v>
          </cell>
          <cell r="AI454">
            <v>272916</v>
          </cell>
          <cell r="AJ454">
            <v>25000</v>
          </cell>
          <cell r="AK454">
            <v>50000</v>
          </cell>
          <cell r="AL454">
            <v>10000</v>
          </cell>
          <cell r="AM454">
            <v>0</v>
          </cell>
          <cell r="AN454">
            <v>0</v>
          </cell>
          <cell r="AO454">
            <v>10000</v>
          </cell>
          <cell r="AP454">
            <v>0</v>
          </cell>
          <cell r="AQ454">
            <v>42259</v>
          </cell>
          <cell r="AR454">
            <v>410175</v>
          </cell>
          <cell r="AS454">
            <v>0</v>
          </cell>
        </row>
        <row r="455">
          <cell r="M455">
            <v>23</v>
          </cell>
          <cell r="N455" t="str">
            <v>A6</v>
          </cell>
          <cell r="P455">
            <v>7</v>
          </cell>
          <cell r="S455" t="str">
            <v xml:space="preserve"> </v>
          </cell>
          <cell r="U455">
            <v>2002</v>
          </cell>
          <cell r="W455">
            <v>14693</v>
          </cell>
          <cell r="X455">
            <v>6500</v>
          </cell>
          <cell r="Z455">
            <v>0</v>
          </cell>
          <cell r="AA455">
            <v>500</v>
          </cell>
          <cell r="AB455">
            <v>150</v>
          </cell>
          <cell r="AC455">
            <v>0</v>
          </cell>
          <cell r="AF455">
            <v>500</v>
          </cell>
          <cell r="AG455">
            <v>4000</v>
          </cell>
          <cell r="AH455">
            <v>26343</v>
          </cell>
          <cell r="AI455">
            <v>316116</v>
          </cell>
          <cell r="AJ455">
            <v>25000</v>
          </cell>
          <cell r="AK455">
            <v>50000</v>
          </cell>
          <cell r="AL455">
            <v>15000</v>
          </cell>
          <cell r="AM455">
            <v>0</v>
          </cell>
          <cell r="AN455">
            <v>0</v>
          </cell>
          <cell r="AO455">
            <v>10000</v>
          </cell>
          <cell r="AP455">
            <v>0</v>
          </cell>
          <cell r="AQ455">
            <v>47605</v>
          </cell>
          <cell r="AR455">
            <v>463721</v>
          </cell>
          <cell r="AS455">
            <v>0</v>
          </cell>
        </row>
        <row r="456">
          <cell r="P456">
            <v>7</v>
          </cell>
          <cell r="S456" t="str">
            <v xml:space="preserve"> </v>
          </cell>
          <cell r="U456" t="str">
            <v>DIFF.</v>
          </cell>
          <cell r="W456">
            <v>1650</v>
          </cell>
          <cell r="X456">
            <v>1950</v>
          </cell>
          <cell r="Z456">
            <v>0</v>
          </cell>
          <cell r="AA456">
            <v>0</v>
          </cell>
          <cell r="AB456">
            <v>0</v>
          </cell>
          <cell r="AC456">
            <v>0</v>
          </cell>
          <cell r="AE456">
            <v>0</v>
          </cell>
          <cell r="AF456">
            <v>0</v>
          </cell>
          <cell r="AG456">
            <v>0</v>
          </cell>
          <cell r="AH456">
            <v>3600</v>
          </cell>
          <cell r="AI456">
            <v>43200</v>
          </cell>
          <cell r="AJ456">
            <v>0</v>
          </cell>
          <cell r="AK456">
            <v>0</v>
          </cell>
          <cell r="AL456">
            <v>5000</v>
          </cell>
          <cell r="AM456">
            <v>0</v>
          </cell>
          <cell r="AN456">
            <v>0</v>
          </cell>
          <cell r="AO456">
            <v>0</v>
          </cell>
          <cell r="AP456">
            <v>0</v>
          </cell>
          <cell r="AQ456">
            <v>5346</v>
          </cell>
          <cell r="AR456">
            <v>53546</v>
          </cell>
          <cell r="AS456">
            <v>13.05</v>
          </cell>
        </row>
        <row r="457">
          <cell r="P457">
            <v>7</v>
          </cell>
          <cell r="S457" t="str">
            <v xml:space="preserve"> </v>
          </cell>
        </row>
        <row r="458">
          <cell r="G458">
            <v>1698</v>
          </cell>
          <cell r="H458" t="str">
            <v>MR DESHMUKH A R</v>
          </cell>
          <cell r="I458">
            <v>20784</v>
          </cell>
          <cell r="J458">
            <v>31565</v>
          </cell>
          <cell r="K458">
            <v>16494</v>
          </cell>
          <cell r="L458" t="str">
            <v>MA</v>
          </cell>
          <cell r="M458">
            <v>23</v>
          </cell>
          <cell r="N458" t="str">
            <v>A5</v>
          </cell>
          <cell r="O458" t="str">
            <v>MAT</v>
          </cell>
          <cell r="P458">
            <v>7</v>
          </cell>
          <cell r="Q458" t="str">
            <v>Other Locations</v>
          </cell>
          <cell r="R458" t="str">
            <v>Yavatmal (Maharashtra)</v>
          </cell>
          <cell r="S458" t="str">
            <v xml:space="preserve"> </v>
          </cell>
          <cell r="T458" t="str">
            <v>CL</v>
          </cell>
          <cell r="U458">
            <v>2001</v>
          </cell>
          <cell r="V458">
            <v>43500</v>
          </cell>
          <cell r="W458">
            <v>14701</v>
          </cell>
          <cell r="X458">
            <v>5150</v>
          </cell>
          <cell r="AA458">
            <v>500</v>
          </cell>
          <cell r="AB458">
            <v>150</v>
          </cell>
          <cell r="AC458">
            <v>0</v>
          </cell>
          <cell r="AD458" t="str">
            <v>CV</v>
          </cell>
          <cell r="AE458">
            <v>0</v>
          </cell>
          <cell r="AG458">
            <v>4000</v>
          </cell>
          <cell r="AH458">
            <v>24501</v>
          </cell>
          <cell r="AI458">
            <v>294012</v>
          </cell>
          <cell r="AJ458">
            <v>25000</v>
          </cell>
          <cell r="AK458">
            <v>50000</v>
          </cell>
          <cell r="AL458">
            <v>10000</v>
          </cell>
          <cell r="AO458">
            <v>10000</v>
          </cell>
          <cell r="AQ458">
            <v>47631</v>
          </cell>
          <cell r="AR458">
            <v>436643</v>
          </cell>
        </row>
        <row r="459">
          <cell r="M459">
            <v>23</v>
          </cell>
          <cell r="N459" t="str">
            <v>A5</v>
          </cell>
          <cell r="P459">
            <v>7</v>
          </cell>
          <cell r="S459" t="str">
            <v xml:space="preserve"> </v>
          </cell>
          <cell r="U459">
            <v>2002</v>
          </cell>
          <cell r="W459">
            <v>16201</v>
          </cell>
          <cell r="X459">
            <v>6500</v>
          </cell>
          <cell r="Z459">
            <v>0</v>
          </cell>
          <cell r="AA459">
            <v>500</v>
          </cell>
          <cell r="AB459">
            <v>150</v>
          </cell>
          <cell r="AC459">
            <v>0</v>
          </cell>
          <cell r="AF459">
            <v>0</v>
          </cell>
          <cell r="AG459">
            <v>4000</v>
          </cell>
          <cell r="AH459">
            <v>27351</v>
          </cell>
          <cell r="AI459">
            <v>328212</v>
          </cell>
          <cell r="AJ459">
            <v>25000</v>
          </cell>
          <cell r="AK459">
            <v>50000</v>
          </cell>
          <cell r="AL459">
            <v>15000</v>
          </cell>
          <cell r="AM459">
            <v>0</v>
          </cell>
          <cell r="AN459">
            <v>0</v>
          </cell>
          <cell r="AO459">
            <v>10000</v>
          </cell>
          <cell r="AP459">
            <v>0</v>
          </cell>
          <cell r="AQ459">
            <v>52491</v>
          </cell>
          <cell r="AR459">
            <v>480703</v>
          </cell>
          <cell r="AS459">
            <v>0</v>
          </cell>
        </row>
        <row r="460">
          <cell r="P460">
            <v>7</v>
          </cell>
          <cell r="S460" t="str">
            <v xml:space="preserve"> </v>
          </cell>
          <cell r="U460" t="str">
            <v>DIFF.</v>
          </cell>
          <cell r="W460">
            <v>1500</v>
          </cell>
          <cell r="X460">
            <v>1350</v>
          </cell>
          <cell r="Z460">
            <v>0</v>
          </cell>
          <cell r="AA460">
            <v>0</v>
          </cell>
          <cell r="AB460">
            <v>0</v>
          </cell>
          <cell r="AC460">
            <v>0</v>
          </cell>
          <cell r="AE460">
            <v>0</v>
          </cell>
          <cell r="AF460">
            <v>0</v>
          </cell>
          <cell r="AG460">
            <v>0</v>
          </cell>
          <cell r="AH460">
            <v>2850</v>
          </cell>
          <cell r="AI460">
            <v>34200</v>
          </cell>
          <cell r="AJ460">
            <v>0</v>
          </cell>
          <cell r="AK460">
            <v>0</v>
          </cell>
          <cell r="AL460">
            <v>5000</v>
          </cell>
          <cell r="AM460">
            <v>0</v>
          </cell>
          <cell r="AN460">
            <v>0</v>
          </cell>
          <cell r="AO460">
            <v>0</v>
          </cell>
          <cell r="AP460">
            <v>0</v>
          </cell>
          <cell r="AQ460">
            <v>4860</v>
          </cell>
          <cell r="AR460">
            <v>44060</v>
          </cell>
          <cell r="AS460">
            <v>10.09</v>
          </cell>
        </row>
        <row r="461">
          <cell r="P461">
            <v>7</v>
          </cell>
          <cell r="S461" t="str">
            <v xml:space="preserve"> </v>
          </cell>
        </row>
        <row r="462">
          <cell r="G462">
            <v>1893</v>
          </cell>
          <cell r="H462" t="str">
            <v>MR JYOTHISH M E</v>
          </cell>
          <cell r="I462">
            <v>24382</v>
          </cell>
          <cell r="J462">
            <v>33786</v>
          </cell>
          <cell r="K462">
            <v>12896</v>
          </cell>
          <cell r="L462" t="str">
            <v>MA</v>
          </cell>
          <cell r="M462">
            <v>23</v>
          </cell>
          <cell r="N462" t="str">
            <v>A5</v>
          </cell>
          <cell r="O462" t="str">
            <v>MAM</v>
          </cell>
          <cell r="P462">
            <v>7</v>
          </cell>
          <cell r="Q462" t="str">
            <v>Other Locations</v>
          </cell>
          <cell r="R462" t="str">
            <v>Bangalore</v>
          </cell>
          <cell r="S462" t="str">
            <v xml:space="preserve"> </v>
          </cell>
          <cell r="T462" t="str">
            <v>BP</v>
          </cell>
          <cell r="U462">
            <v>2001</v>
          </cell>
          <cell r="V462">
            <v>51500</v>
          </cell>
          <cell r="W462">
            <v>13000</v>
          </cell>
          <cell r="X462">
            <v>4550</v>
          </cell>
          <cell r="AA462">
            <v>500</v>
          </cell>
          <cell r="AB462">
            <v>150</v>
          </cell>
          <cell r="AC462">
            <v>1000</v>
          </cell>
          <cell r="AE462">
            <v>0</v>
          </cell>
          <cell r="AG462">
            <v>4000</v>
          </cell>
          <cell r="AH462">
            <v>23200</v>
          </cell>
          <cell r="AI462">
            <v>278400</v>
          </cell>
          <cell r="AJ462">
            <v>25000</v>
          </cell>
          <cell r="AK462">
            <v>50000</v>
          </cell>
          <cell r="AL462">
            <v>10000</v>
          </cell>
          <cell r="AO462">
            <v>10000</v>
          </cell>
          <cell r="AQ462">
            <v>42120</v>
          </cell>
          <cell r="AR462">
            <v>415520</v>
          </cell>
        </row>
        <row r="463">
          <cell r="M463">
            <v>23</v>
          </cell>
          <cell r="N463" t="str">
            <v>A5</v>
          </cell>
          <cell r="P463">
            <v>7</v>
          </cell>
          <cell r="S463" t="str">
            <v xml:space="preserve"> </v>
          </cell>
          <cell r="U463">
            <v>2002</v>
          </cell>
          <cell r="W463">
            <v>15700</v>
          </cell>
          <cell r="X463">
            <v>6500</v>
          </cell>
          <cell r="Z463">
            <v>0</v>
          </cell>
          <cell r="AA463">
            <v>500</v>
          </cell>
          <cell r="AB463">
            <v>150</v>
          </cell>
          <cell r="AC463">
            <v>1000</v>
          </cell>
          <cell r="AF463">
            <v>0</v>
          </cell>
          <cell r="AG463">
            <v>4000</v>
          </cell>
          <cell r="AH463">
            <v>27850</v>
          </cell>
          <cell r="AI463">
            <v>334200</v>
          </cell>
          <cell r="AJ463">
            <v>25000</v>
          </cell>
          <cell r="AK463">
            <v>50000</v>
          </cell>
          <cell r="AL463">
            <v>15000</v>
          </cell>
          <cell r="AM463">
            <v>0</v>
          </cell>
          <cell r="AN463">
            <v>0</v>
          </cell>
          <cell r="AO463">
            <v>10000</v>
          </cell>
          <cell r="AP463">
            <v>0</v>
          </cell>
          <cell r="AQ463">
            <v>50868</v>
          </cell>
          <cell r="AR463">
            <v>485068</v>
          </cell>
          <cell r="AS463">
            <v>0</v>
          </cell>
        </row>
        <row r="464">
          <cell r="P464">
            <v>7</v>
          </cell>
          <cell r="S464" t="str">
            <v xml:space="preserve"> </v>
          </cell>
          <cell r="U464" t="str">
            <v>DIFF.</v>
          </cell>
          <cell r="W464">
            <v>2700</v>
          </cell>
          <cell r="X464">
            <v>1950</v>
          </cell>
          <cell r="Z464">
            <v>0</v>
          </cell>
          <cell r="AA464">
            <v>0</v>
          </cell>
          <cell r="AB464">
            <v>0</v>
          </cell>
          <cell r="AC464">
            <v>0</v>
          </cell>
          <cell r="AE464">
            <v>0</v>
          </cell>
          <cell r="AF464">
            <v>0</v>
          </cell>
          <cell r="AG464">
            <v>0</v>
          </cell>
          <cell r="AH464">
            <v>4650</v>
          </cell>
          <cell r="AI464">
            <v>55800</v>
          </cell>
          <cell r="AJ464">
            <v>0</v>
          </cell>
          <cell r="AK464">
            <v>0</v>
          </cell>
          <cell r="AL464">
            <v>5000</v>
          </cell>
          <cell r="AM464">
            <v>0</v>
          </cell>
          <cell r="AN464">
            <v>0</v>
          </cell>
          <cell r="AO464">
            <v>0</v>
          </cell>
          <cell r="AP464">
            <v>0</v>
          </cell>
          <cell r="AQ464">
            <v>8748</v>
          </cell>
          <cell r="AR464">
            <v>69548</v>
          </cell>
          <cell r="AS464">
            <v>16.739999999999998</v>
          </cell>
        </row>
        <row r="465">
          <cell r="P465">
            <v>7</v>
          </cell>
          <cell r="S465" t="str">
            <v xml:space="preserve"> </v>
          </cell>
        </row>
        <row r="466">
          <cell r="G466">
            <v>2010</v>
          </cell>
          <cell r="H466" t="str">
            <v>MR KADLASKAR S G</v>
          </cell>
          <cell r="I466">
            <v>22707</v>
          </cell>
          <cell r="J466">
            <v>34883</v>
          </cell>
          <cell r="K466">
            <v>14571</v>
          </cell>
          <cell r="L466" t="str">
            <v>MA</v>
          </cell>
          <cell r="M466">
            <v>23</v>
          </cell>
          <cell r="N466" t="str">
            <v>A6</v>
          </cell>
          <cell r="O466" t="str">
            <v>MAM</v>
          </cell>
          <cell r="P466">
            <v>7</v>
          </cell>
          <cell r="Q466" t="str">
            <v>Other Locations</v>
          </cell>
          <cell r="R466" t="str">
            <v>Akola (Maharashtra)</v>
          </cell>
          <cell r="S466" t="str">
            <v xml:space="preserve"> </v>
          </cell>
          <cell r="T466" t="str">
            <v>CA</v>
          </cell>
          <cell r="U466">
            <v>2001</v>
          </cell>
          <cell r="V466">
            <v>43500</v>
          </cell>
          <cell r="W466">
            <v>13130</v>
          </cell>
          <cell r="X466">
            <v>4600</v>
          </cell>
          <cell r="AA466">
            <v>500</v>
          </cell>
          <cell r="AB466">
            <v>150</v>
          </cell>
          <cell r="AC466">
            <v>0</v>
          </cell>
          <cell r="AD466" t="str">
            <v>CV</v>
          </cell>
          <cell r="AE466">
            <v>0</v>
          </cell>
          <cell r="AF466">
            <v>500</v>
          </cell>
          <cell r="AG466">
            <v>4000</v>
          </cell>
          <cell r="AH466">
            <v>22880</v>
          </cell>
          <cell r="AI466">
            <v>274560</v>
          </cell>
          <cell r="AJ466">
            <v>25000</v>
          </cell>
          <cell r="AK466">
            <v>50000</v>
          </cell>
          <cell r="AL466">
            <v>10000</v>
          </cell>
          <cell r="AM466">
            <v>0</v>
          </cell>
          <cell r="AN466">
            <v>0</v>
          </cell>
          <cell r="AO466">
            <v>10000</v>
          </cell>
          <cell r="AP466">
            <v>0</v>
          </cell>
          <cell r="AQ466">
            <v>42541</v>
          </cell>
          <cell r="AR466">
            <v>412101</v>
          </cell>
          <cell r="AS466">
            <v>0</v>
          </cell>
        </row>
        <row r="467">
          <cell r="M467">
            <v>23</v>
          </cell>
          <cell r="N467" t="str">
            <v>A6</v>
          </cell>
          <cell r="P467">
            <v>7</v>
          </cell>
          <cell r="S467" t="str">
            <v xml:space="preserve"> </v>
          </cell>
          <cell r="U467">
            <v>2002</v>
          </cell>
          <cell r="W467">
            <v>14780</v>
          </cell>
          <cell r="X467">
            <v>6500</v>
          </cell>
          <cell r="Z467">
            <v>0</v>
          </cell>
          <cell r="AA467">
            <v>500</v>
          </cell>
          <cell r="AB467">
            <v>150</v>
          </cell>
          <cell r="AC467">
            <v>0</v>
          </cell>
          <cell r="AF467">
            <v>500</v>
          </cell>
          <cell r="AG467">
            <v>4000</v>
          </cell>
          <cell r="AH467">
            <v>26430</v>
          </cell>
          <cell r="AI467">
            <v>317160</v>
          </cell>
          <cell r="AJ467">
            <v>25000</v>
          </cell>
          <cell r="AK467">
            <v>50000</v>
          </cell>
          <cell r="AL467">
            <v>15000</v>
          </cell>
          <cell r="AM467">
            <v>0</v>
          </cell>
          <cell r="AN467">
            <v>0</v>
          </cell>
          <cell r="AO467">
            <v>10000</v>
          </cell>
          <cell r="AP467">
            <v>0</v>
          </cell>
          <cell r="AQ467">
            <v>47887</v>
          </cell>
          <cell r="AR467">
            <v>465047</v>
          </cell>
          <cell r="AS467">
            <v>0</v>
          </cell>
        </row>
        <row r="468">
          <cell r="P468">
            <v>7</v>
          </cell>
          <cell r="S468" t="str">
            <v xml:space="preserve"> </v>
          </cell>
          <cell r="U468" t="str">
            <v>DIFF.</v>
          </cell>
          <cell r="W468">
            <v>1650</v>
          </cell>
          <cell r="X468">
            <v>1900</v>
          </cell>
          <cell r="Z468">
            <v>0</v>
          </cell>
          <cell r="AA468">
            <v>0</v>
          </cell>
          <cell r="AB468">
            <v>0</v>
          </cell>
          <cell r="AC468">
            <v>0</v>
          </cell>
          <cell r="AE468">
            <v>0</v>
          </cell>
          <cell r="AF468">
            <v>0</v>
          </cell>
          <cell r="AG468">
            <v>0</v>
          </cell>
          <cell r="AH468">
            <v>3550</v>
          </cell>
          <cell r="AI468">
            <v>42600</v>
          </cell>
          <cell r="AJ468">
            <v>0</v>
          </cell>
          <cell r="AK468">
            <v>0</v>
          </cell>
          <cell r="AL468">
            <v>5000</v>
          </cell>
          <cell r="AM468">
            <v>0</v>
          </cell>
          <cell r="AN468">
            <v>0</v>
          </cell>
          <cell r="AO468">
            <v>0</v>
          </cell>
          <cell r="AP468">
            <v>0</v>
          </cell>
          <cell r="AQ468">
            <v>5346</v>
          </cell>
          <cell r="AR468">
            <v>52946</v>
          </cell>
          <cell r="AS468">
            <v>12.85</v>
          </cell>
        </row>
        <row r="469">
          <cell r="P469">
            <v>7</v>
          </cell>
          <cell r="S469" t="str">
            <v xml:space="preserve"> </v>
          </cell>
        </row>
        <row r="470">
          <cell r="G470">
            <v>2098</v>
          </cell>
          <cell r="H470" t="str">
            <v>MR SHARMA S</v>
          </cell>
          <cell r="I470">
            <v>24870</v>
          </cell>
          <cell r="J470">
            <v>35401</v>
          </cell>
          <cell r="K470">
            <v>12408</v>
          </cell>
          <cell r="L470" t="str">
            <v>MA</v>
          </cell>
          <cell r="M470">
            <v>23</v>
          </cell>
          <cell r="N470" t="str">
            <v>A6</v>
          </cell>
          <cell r="O470" t="str">
            <v>MAM</v>
          </cell>
          <cell r="P470">
            <v>7</v>
          </cell>
          <cell r="Q470" t="str">
            <v>Other Locations</v>
          </cell>
          <cell r="R470" t="str">
            <v>Indore</v>
          </cell>
          <cell r="S470" t="str">
            <v xml:space="preserve"> </v>
          </cell>
          <cell r="T470" t="str">
            <v>BP</v>
          </cell>
          <cell r="U470">
            <v>2001</v>
          </cell>
          <cell r="V470">
            <v>51500</v>
          </cell>
          <cell r="W470">
            <v>14453</v>
          </cell>
          <cell r="X470">
            <v>5050</v>
          </cell>
          <cell r="Y470" t="str">
            <v>E</v>
          </cell>
          <cell r="AA470">
            <v>500</v>
          </cell>
          <cell r="AB470">
            <v>150</v>
          </cell>
          <cell r="AC470">
            <v>0</v>
          </cell>
          <cell r="AD470" t="str">
            <v>CV</v>
          </cell>
          <cell r="AE470">
            <v>0</v>
          </cell>
          <cell r="AF470">
            <v>500</v>
          </cell>
          <cell r="AG470">
            <v>4000</v>
          </cell>
          <cell r="AH470">
            <v>24653</v>
          </cell>
          <cell r="AI470">
            <v>295836</v>
          </cell>
          <cell r="AJ470">
            <v>25000</v>
          </cell>
          <cell r="AK470">
            <v>50000</v>
          </cell>
          <cell r="AL470">
            <v>10000</v>
          </cell>
          <cell r="AM470">
            <v>0</v>
          </cell>
          <cell r="AN470">
            <v>0</v>
          </cell>
          <cell r="AO470">
            <v>10000</v>
          </cell>
          <cell r="AP470">
            <v>0</v>
          </cell>
          <cell r="AQ470">
            <v>46828</v>
          </cell>
          <cell r="AR470">
            <v>437664</v>
          </cell>
          <cell r="AS470">
            <v>0</v>
          </cell>
        </row>
        <row r="471">
          <cell r="M471">
            <v>23</v>
          </cell>
          <cell r="N471" t="str">
            <v>A6</v>
          </cell>
          <cell r="P471">
            <v>7</v>
          </cell>
          <cell r="S471" t="str">
            <v xml:space="preserve"> </v>
          </cell>
          <cell r="U471">
            <v>2002</v>
          </cell>
          <cell r="W471">
            <v>17153</v>
          </cell>
          <cell r="X471">
            <v>6500</v>
          </cell>
          <cell r="Z471">
            <v>0</v>
          </cell>
          <cell r="AA471">
            <v>500</v>
          </cell>
          <cell r="AB471">
            <v>150</v>
          </cell>
          <cell r="AC471">
            <v>0</v>
          </cell>
          <cell r="AF471">
            <v>500</v>
          </cell>
          <cell r="AG471">
            <v>4000</v>
          </cell>
          <cell r="AH471">
            <v>28803</v>
          </cell>
          <cell r="AI471">
            <v>345636</v>
          </cell>
          <cell r="AJ471">
            <v>25000</v>
          </cell>
          <cell r="AK471">
            <v>50000</v>
          </cell>
          <cell r="AL471">
            <v>15000</v>
          </cell>
          <cell r="AM471">
            <v>0</v>
          </cell>
          <cell r="AN471">
            <v>0</v>
          </cell>
          <cell r="AO471">
            <v>10000</v>
          </cell>
          <cell r="AP471">
            <v>0</v>
          </cell>
          <cell r="AQ471">
            <v>55576</v>
          </cell>
          <cell r="AR471">
            <v>501212</v>
          </cell>
          <cell r="AS471">
            <v>0</v>
          </cell>
        </row>
        <row r="472">
          <cell r="P472">
            <v>7</v>
          </cell>
          <cell r="S472" t="str">
            <v xml:space="preserve"> </v>
          </cell>
          <cell r="U472" t="str">
            <v>DIFF.</v>
          </cell>
          <cell r="W472">
            <v>2700</v>
          </cell>
          <cell r="X472">
            <v>1450</v>
          </cell>
          <cell r="Z472">
            <v>0</v>
          </cell>
          <cell r="AA472">
            <v>0</v>
          </cell>
          <cell r="AB472">
            <v>0</v>
          </cell>
          <cell r="AC472">
            <v>0</v>
          </cell>
          <cell r="AE472">
            <v>0</v>
          </cell>
          <cell r="AF472">
            <v>0</v>
          </cell>
          <cell r="AG472">
            <v>0</v>
          </cell>
          <cell r="AH472">
            <v>4150</v>
          </cell>
          <cell r="AI472">
            <v>49800</v>
          </cell>
          <cell r="AJ472">
            <v>0</v>
          </cell>
          <cell r="AK472">
            <v>0</v>
          </cell>
          <cell r="AL472">
            <v>5000</v>
          </cell>
          <cell r="AM472">
            <v>0</v>
          </cell>
          <cell r="AN472">
            <v>0</v>
          </cell>
          <cell r="AO472">
            <v>0</v>
          </cell>
          <cell r="AP472">
            <v>0</v>
          </cell>
          <cell r="AQ472">
            <v>8748</v>
          </cell>
          <cell r="AR472">
            <v>63548</v>
          </cell>
          <cell r="AS472">
            <v>14.52</v>
          </cell>
        </row>
        <row r="473">
          <cell r="P473">
            <v>7</v>
          </cell>
          <cell r="S473" t="str">
            <v xml:space="preserve"> </v>
          </cell>
        </row>
        <row r="474">
          <cell r="G474">
            <v>2122</v>
          </cell>
          <cell r="H474" t="str">
            <v xml:space="preserve">MR VASANTHKUMAR T T </v>
          </cell>
          <cell r="I474">
            <v>26565</v>
          </cell>
          <cell r="J474">
            <v>36130</v>
          </cell>
          <cell r="K474">
            <v>10713</v>
          </cell>
          <cell r="L474" t="str">
            <v>MA</v>
          </cell>
          <cell r="M474">
            <v>23</v>
          </cell>
          <cell r="N474" t="str">
            <v>A5</v>
          </cell>
          <cell r="O474" t="str">
            <v>MAM</v>
          </cell>
          <cell r="P474">
            <v>7</v>
          </cell>
          <cell r="Q474" t="str">
            <v>Other Locations</v>
          </cell>
          <cell r="R474" t="str">
            <v>Bangalore</v>
          </cell>
          <cell r="S474" t="str">
            <v xml:space="preserve"> </v>
          </cell>
          <cell r="T474" t="str">
            <v>BA</v>
          </cell>
          <cell r="U474">
            <v>2001</v>
          </cell>
          <cell r="V474">
            <v>51500</v>
          </cell>
          <cell r="W474">
            <v>13105</v>
          </cell>
          <cell r="X474">
            <v>4600</v>
          </cell>
          <cell r="AA474">
            <v>500</v>
          </cell>
          <cell r="AB474">
            <v>150</v>
          </cell>
          <cell r="AC474">
            <v>1000</v>
          </cell>
          <cell r="AE474">
            <v>0</v>
          </cell>
          <cell r="AG474">
            <v>4000</v>
          </cell>
          <cell r="AH474">
            <v>23355</v>
          </cell>
          <cell r="AI474">
            <v>280260</v>
          </cell>
          <cell r="AJ474">
            <v>25000</v>
          </cell>
          <cell r="AK474">
            <v>50000</v>
          </cell>
          <cell r="AL474">
            <v>10000</v>
          </cell>
          <cell r="AO474">
            <v>10000</v>
          </cell>
          <cell r="AQ474">
            <v>42460</v>
          </cell>
          <cell r="AR474">
            <v>417720</v>
          </cell>
        </row>
        <row r="475">
          <cell r="M475">
            <v>23</v>
          </cell>
          <cell r="N475" t="str">
            <v>A5</v>
          </cell>
          <cell r="P475">
            <v>7</v>
          </cell>
          <cell r="S475" t="str">
            <v xml:space="preserve"> </v>
          </cell>
          <cell r="U475">
            <v>2002</v>
          </cell>
          <cell r="W475">
            <v>15405</v>
          </cell>
          <cell r="X475">
            <v>6500</v>
          </cell>
          <cell r="Z475">
            <v>0</v>
          </cell>
          <cell r="AA475">
            <v>500</v>
          </cell>
          <cell r="AB475">
            <v>150</v>
          </cell>
          <cell r="AC475">
            <v>1000</v>
          </cell>
          <cell r="AF475">
            <v>0</v>
          </cell>
          <cell r="AG475">
            <v>4000</v>
          </cell>
          <cell r="AH475">
            <v>27555</v>
          </cell>
          <cell r="AI475">
            <v>330660</v>
          </cell>
          <cell r="AJ475">
            <v>25000</v>
          </cell>
          <cell r="AK475">
            <v>50000</v>
          </cell>
          <cell r="AL475">
            <v>15000</v>
          </cell>
          <cell r="AM475">
            <v>0</v>
          </cell>
          <cell r="AN475">
            <v>0</v>
          </cell>
          <cell r="AO475">
            <v>10000</v>
          </cell>
          <cell r="AP475">
            <v>0</v>
          </cell>
          <cell r="AQ475">
            <v>49912</v>
          </cell>
          <cell r="AR475">
            <v>480572</v>
          </cell>
          <cell r="AS475">
            <v>0</v>
          </cell>
        </row>
        <row r="476">
          <cell r="P476">
            <v>7</v>
          </cell>
          <cell r="S476" t="str">
            <v xml:space="preserve"> </v>
          </cell>
          <cell r="U476" t="str">
            <v>DIFF.</v>
          </cell>
          <cell r="W476">
            <v>2300</v>
          </cell>
          <cell r="X476">
            <v>1900</v>
          </cell>
          <cell r="Z476">
            <v>0</v>
          </cell>
          <cell r="AA476">
            <v>0</v>
          </cell>
          <cell r="AB476">
            <v>0</v>
          </cell>
          <cell r="AC476">
            <v>0</v>
          </cell>
          <cell r="AE476">
            <v>0</v>
          </cell>
          <cell r="AF476">
            <v>0</v>
          </cell>
          <cell r="AG476">
            <v>0</v>
          </cell>
          <cell r="AH476">
            <v>4200</v>
          </cell>
          <cell r="AI476">
            <v>50400</v>
          </cell>
          <cell r="AJ476">
            <v>0</v>
          </cell>
          <cell r="AK476">
            <v>0</v>
          </cell>
          <cell r="AL476">
            <v>5000</v>
          </cell>
          <cell r="AM476">
            <v>0</v>
          </cell>
          <cell r="AN476">
            <v>0</v>
          </cell>
          <cell r="AO476">
            <v>0</v>
          </cell>
          <cell r="AP476">
            <v>0</v>
          </cell>
          <cell r="AQ476">
            <v>7452</v>
          </cell>
          <cell r="AR476">
            <v>62852</v>
          </cell>
          <cell r="AS476">
            <v>15.05</v>
          </cell>
        </row>
        <row r="477">
          <cell r="P477">
            <v>7</v>
          </cell>
          <cell r="S477" t="str">
            <v xml:space="preserve"> </v>
          </cell>
        </row>
        <row r="478">
          <cell r="G478">
            <v>2135</v>
          </cell>
          <cell r="H478" t="str">
            <v>MR SETHI Y K</v>
          </cell>
          <cell r="I478">
            <v>24289</v>
          </cell>
          <cell r="J478">
            <v>35627</v>
          </cell>
          <cell r="K478">
            <v>12989</v>
          </cell>
          <cell r="L478" t="str">
            <v>MA</v>
          </cell>
          <cell r="M478">
            <v>23</v>
          </cell>
          <cell r="N478" t="str">
            <v>A6</v>
          </cell>
          <cell r="O478" t="str">
            <v>MAM</v>
          </cell>
          <cell r="P478">
            <v>7</v>
          </cell>
          <cell r="Q478" t="str">
            <v>Other Locations</v>
          </cell>
          <cell r="R478" t="str">
            <v>Bhatinda (Punjab)</v>
          </cell>
          <cell r="S478" t="str">
            <v xml:space="preserve"> </v>
          </cell>
          <cell r="T478" t="str">
            <v>BA</v>
          </cell>
          <cell r="U478">
            <v>2001</v>
          </cell>
          <cell r="V478">
            <v>51500</v>
          </cell>
          <cell r="W478">
            <v>13293</v>
          </cell>
          <cell r="X478">
            <v>4650</v>
          </cell>
          <cell r="AA478">
            <v>500</v>
          </cell>
          <cell r="AB478">
            <v>150</v>
          </cell>
          <cell r="AC478">
            <v>0</v>
          </cell>
          <cell r="AD478" t="str">
            <v>CV</v>
          </cell>
          <cell r="AE478">
            <v>0</v>
          </cell>
          <cell r="AG478">
            <v>4000</v>
          </cell>
          <cell r="AH478">
            <v>22593</v>
          </cell>
          <cell r="AI478">
            <v>271116</v>
          </cell>
          <cell r="AJ478">
            <v>25000</v>
          </cell>
          <cell r="AK478">
            <v>50000</v>
          </cell>
          <cell r="AL478">
            <v>10000</v>
          </cell>
          <cell r="AO478">
            <v>10000</v>
          </cell>
          <cell r="AQ478">
            <v>43069</v>
          </cell>
          <cell r="AR478">
            <v>409185</v>
          </cell>
        </row>
        <row r="479">
          <cell r="M479">
            <v>23</v>
          </cell>
          <cell r="N479" t="str">
            <v>A6</v>
          </cell>
          <cell r="P479">
            <v>7</v>
          </cell>
          <cell r="S479" t="str">
            <v xml:space="preserve"> </v>
          </cell>
          <cell r="U479">
            <v>2002</v>
          </cell>
          <cell r="W479">
            <v>15593</v>
          </cell>
          <cell r="X479">
            <v>6500</v>
          </cell>
          <cell r="Z479">
            <v>0</v>
          </cell>
          <cell r="AA479">
            <v>500</v>
          </cell>
          <cell r="AB479">
            <v>150</v>
          </cell>
          <cell r="AC479">
            <v>0</v>
          </cell>
          <cell r="AF479">
            <v>0</v>
          </cell>
          <cell r="AG479">
            <v>4000</v>
          </cell>
          <cell r="AH479">
            <v>26743</v>
          </cell>
          <cell r="AI479">
            <v>320916</v>
          </cell>
          <cell r="AJ479">
            <v>25000</v>
          </cell>
          <cell r="AK479">
            <v>50000</v>
          </cell>
          <cell r="AL479">
            <v>15000</v>
          </cell>
          <cell r="AM479">
            <v>0</v>
          </cell>
          <cell r="AN479">
            <v>0</v>
          </cell>
          <cell r="AO479">
            <v>10000</v>
          </cell>
          <cell r="AP479">
            <v>0</v>
          </cell>
          <cell r="AQ479">
            <v>50521</v>
          </cell>
          <cell r="AR479">
            <v>471437</v>
          </cell>
          <cell r="AS479">
            <v>0</v>
          </cell>
        </row>
        <row r="480">
          <cell r="P480">
            <v>7</v>
          </cell>
          <cell r="S480" t="str">
            <v xml:space="preserve"> </v>
          </cell>
          <cell r="U480" t="str">
            <v>DIFF.</v>
          </cell>
          <cell r="W480">
            <v>2300</v>
          </cell>
          <cell r="X480">
            <v>1850</v>
          </cell>
          <cell r="Z480">
            <v>0</v>
          </cell>
          <cell r="AA480">
            <v>0</v>
          </cell>
          <cell r="AB480">
            <v>0</v>
          </cell>
          <cell r="AC480">
            <v>0</v>
          </cell>
          <cell r="AE480">
            <v>0</v>
          </cell>
          <cell r="AF480">
            <v>0</v>
          </cell>
          <cell r="AG480">
            <v>0</v>
          </cell>
          <cell r="AH480">
            <v>4150</v>
          </cell>
          <cell r="AI480">
            <v>49800</v>
          </cell>
          <cell r="AJ480">
            <v>0</v>
          </cell>
          <cell r="AK480">
            <v>0</v>
          </cell>
          <cell r="AL480">
            <v>5000</v>
          </cell>
          <cell r="AM480">
            <v>0</v>
          </cell>
          <cell r="AN480">
            <v>0</v>
          </cell>
          <cell r="AO480">
            <v>0</v>
          </cell>
          <cell r="AP480">
            <v>0</v>
          </cell>
          <cell r="AQ480">
            <v>7452</v>
          </cell>
          <cell r="AR480">
            <v>62252</v>
          </cell>
          <cell r="AS480">
            <v>15.21</v>
          </cell>
        </row>
        <row r="481">
          <cell r="P481">
            <v>7</v>
          </cell>
          <cell r="S481" t="str">
            <v xml:space="preserve"> </v>
          </cell>
        </row>
        <row r="482">
          <cell r="G482">
            <v>2193</v>
          </cell>
          <cell r="H482" t="str">
            <v>MRS KUMAR C A</v>
          </cell>
          <cell r="I482">
            <v>26785</v>
          </cell>
          <cell r="J482">
            <v>36143</v>
          </cell>
          <cell r="K482">
            <v>10493</v>
          </cell>
          <cell r="L482" t="str">
            <v>MA</v>
          </cell>
          <cell r="M482">
            <v>23</v>
          </cell>
          <cell r="O482" t="str">
            <v>MAM</v>
          </cell>
          <cell r="P482">
            <v>1</v>
          </cell>
          <cell r="Q482" t="str">
            <v>Mumbai</v>
          </cell>
          <cell r="R482" t="str">
            <v>Ho</v>
          </cell>
          <cell r="S482" t="str">
            <v xml:space="preserve"> </v>
          </cell>
          <cell r="T482" t="str">
            <v>CA</v>
          </cell>
          <cell r="U482">
            <v>2001</v>
          </cell>
          <cell r="V482">
            <v>43500</v>
          </cell>
          <cell r="W482">
            <v>13000</v>
          </cell>
          <cell r="X482">
            <v>4550</v>
          </cell>
          <cell r="AA482">
            <v>500</v>
          </cell>
          <cell r="AB482">
            <v>150</v>
          </cell>
          <cell r="AC482">
            <v>1000</v>
          </cell>
          <cell r="AE482">
            <v>1000</v>
          </cell>
          <cell r="AG482">
            <v>4000</v>
          </cell>
          <cell r="AH482">
            <v>24200</v>
          </cell>
          <cell r="AI482">
            <v>290400</v>
          </cell>
          <cell r="AJ482">
            <v>25000</v>
          </cell>
          <cell r="AK482">
            <v>50000</v>
          </cell>
          <cell r="AL482">
            <v>10000</v>
          </cell>
          <cell r="AO482">
            <v>10000</v>
          </cell>
          <cell r="AQ482">
            <v>42120</v>
          </cell>
          <cell r="AR482">
            <v>427520</v>
          </cell>
        </row>
        <row r="483">
          <cell r="M483">
            <v>23</v>
          </cell>
          <cell r="P483">
            <v>1</v>
          </cell>
          <cell r="S483" t="str">
            <v xml:space="preserve"> </v>
          </cell>
          <cell r="U483">
            <v>2002</v>
          </cell>
          <cell r="W483">
            <v>14650</v>
          </cell>
          <cell r="X483">
            <v>9000</v>
          </cell>
          <cell r="Z483">
            <v>0</v>
          </cell>
          <cell r="AA483">
            <v>500</v>
          </cell>
          <cell r="AB483">
            <v>150</v>
          </cell>
          <cell r="AC483">
            <v>1000</v>
          </cell>
          <cell r="AF483">
            <v>0</v>
          </cell>
          <cell r="AG483">
            <v>4000</v>
          </cell>
          <cell r="AH483">
            <v>29300</v>
          </cell>
          <cell r="AI483">
            <v>351600</v>
          </cell>
          <cell r="AJ483">
            <v>25000</v>
          </cell>
          <cell r="AK483">
            <v>50000</v>
          </cell>
          <cell r="AL483">
            <v>15000</v>
          </cell>
          <cell r="AM483">
            <v>0</v>
          </cell>
          <cell r="AN483">
            <v>0</v>
          </cell>
          <cell r="AO483">
            <v>10000</v>
          </cell>
          <cell r="AP483">
            <v>0</v>
          </cell>
          <cell r="AQ483">
            <v>47466</v>
          </cell>
          <cell r="AR483">
            <v>499066</v>
          </cell>
          <cell r="AS483">
            <v>0</v>
          </cell>
        </row>
        <row r="484">
          <cell r="P484">
            <v>1</v>
          </cell>
          <cell r="S484" t="str">
            <v xml:space="preserve"> </v>
          </cell>
          <cell r="U484" t="str">
            <v>DIFF.</v>
          </cell>
          <cell r="W484">
            <v>1650</v>
          </cell>
          <cell r="X484">
            <v>4450</v>
          </cell>
          <cell r="Z484">
            <v>0</v>
          </cell>
          <cell r="AA484">
            <v>0</v>
          </cell>
          <cell r="AB484">
            <v>0</v>
          </cell>
          <cell r="AC484">
            <v>0</v>
          </cell>
          <cell r="AE484">
            <v>-1000</v>
          </cell>
          <cell r="AF484">
            <v>0</v>
          </cell>
          <cell r="AG484">
            <v>0</v>
          </cell>
          <cell r="AH484">
            <v>5100</v>
          </cell>
          <cell r="AI484">
            <v>61200</v>
          </cell>
          <cell r="AJ484">
            <v>0</v>
          </cell>
          <cell r="AK484">
            <v>0</v>
          </cell>
          <cell r="AL484">
            <v>5000</v>
          </cell>
          <cell r="AM484">
            <v>0</v>
          </cell>
          <cell r="AN484">
            <v>0</v>
          </cell>
          <cell r="AO484">
            <v>0</v>
          </cell>
          <cell r="AP484">
            <v>0</v>
          </cell>
          <cell r="AQ484">
            <v>5346</v>
          </cell>
          <cell r="AR484">
            <v>71546</v>
          </cell>
          <cell r="AS484">
            <v>16.739999999999998</v>
          </cell>
        </row>
        <row r="485">
          <cell r="P485">
            <v>1</v>
          </cell>
          <cell r="S485" t="str">
            <v xml:space="preserve"> </v>
          </cell>
        </row>
        <row r="486">
          <cell r="G486">
            <v>2201</v>
          </cell>
          <cell r="H486" t="str">
            <v>MR DHAWAN P K</v>
          </cell>
          <cell r="I486">
            <v>24448</v>
          </cell>
          <cell r="J486">
            <v>36258</v>
          </cell>
          <cell r="K486">
            <v>12830</v>
          </cell>
          <cell r="L486" t="str">
            <v>MA</v>
          </cell>
          <cell r="M486">
            <v>23</v>
          </cell>
          <cell r="N486" t="str">
            <v>A5</v>
          </cell>
          <cell r="O486" t="str">
            <v>MAM</v>
          </cell>
          <cell r="P486">
            <v>7</v>
          </cell>
          <cell r="Q486" t="str">
            <v>Other Locations</v>
          </cell>
          <cell r="R486" t="str">
            <v>Karnal (Haryana)</v>
          </cell>
          <cell r="S486" t="str">
            <v xml:space="preserve"> </v>
          </cell>
          <cell r="T486" t="str">
            <v>BA</v>
          </cell>
          <cell r="U486">
            <v>2001</v>
          </cell>
          <cell r="V486">
            <v>36775</v>
          </cell>
          <cell r="W486">
            <v>13000</v>
          </cell>
          <cell r="X486">
            <v>4550</v>
          </cell>
          <cell r="AA486">
            <v>500</v>
          </cell>
          <cell r="AB486">
            <v>150</v>
          </cell>
          <cell r="AC486">
            <v>0</v>
          </cell>
          <cell r="AD486" t="str">
            <v>CV</v>
          </cell>
          <cell r="AE486">
            <v>0</v>
          </cell>
          <cell r="AF486">
            <v>500</v>
          </cell>
          <cell r="AG486">
            <v>4000</v>
          </cell>
          <cell r="AH486">
            <v>22700</v>
          </cell>
          <cell r="AI486">
            <v>272400</v>
          </cell>
          <cell r="AJ486">
            <v>25000</v>
          </cell>
          <cell r="AK486">
            <v>50000</v>
          </cell>
          <cell r="AL486">
            <v>10000</v>
          </cell>
          <cell r="AM486">
            <v>0</v>
          </cell>
          <cell r="AN486">
            <v>0</v>
          </cell>
          <cell r="AO486">
            <v>10000</v>
          </cell>
          <cell r="AP486">
            <v>0</v>
          </cell>
          <cell r="AQ486">
            <v>42120</v>
          </cell>
          <cell r="AR486">
            <v>409520</v>
          </cell>
          <cell r="AS486">
            <v>0</v>
          </cell>
        </row>
        <row r="487">
          <cell r="M487">
            <v>23</v>
          </cell>
          <cell r="N487" t="str">
            <v>A5</v>
          </cell>
          <cell r="P487">
            <v>7</v>
          </cell>
          <cell r="S487" t="str">
            <v xml:space="preserve"> </v>
          </cell>
          <cell r="U487">
            <v>2002</v>
          </cell>
          <cell r="W487">
            <v>15300</v>
          </cell>
          <cell r="X487">
            <v>6500</v>
          </cell>
          <cell r="Z487">
            <v>0</v>
          </cell>
          <cell r="AA487">
            <v>500</v>
          </cell>
          <cell r="AB487">
            <v>150</v>
          </cell>
          <cell r="AC487">
            <v>0</v>
          </cell>
          <cell r="AF487">
            <v>500</v>
          </cell>
          <cell r="AG487">
            <v>4000</v>
          </cell>
          <cell r="AH487">
            <v>26950</v>
          </cell>
          <cell r="AI487">
            <v>323400</v>
          </cell>
          <cell r="AJ487">
            <v>25000</v>
          </cell>
          <cell r="AK487">
            <v>50000</v>
          </cell>
          <cell r="AL487">
            <v>15000</v>
          </cell>
          <cell r="AM487">
            <v>0</v>
          </cell>
          <cell r="AN487">
            <v>0</v>
          </cell>
          <cell r="AO487">
            <v>10000</v>
          </cell>
          <cell r="AP487">
            <v>0</v>
          </cell>
          <cell r="AQ487">
            <v>49572</v>
          </cell>
          <cell r="AR487">
            <v>472972</v>
          </cell>
          <cell r="AS487">
            <v>0</v>
          </cell>
        </row>
        <row r="488">
          <cell r="P488">
            <v>7</v>
          </cell>
          <cell r="S488" t="str">
            <v xml:space="preserve"> </v>
          </cell>
          <cell r="U488" t="str">
            <v>DIFF.</v>
          </cell>
          <cell r="W488">
            <v>2300</v>
          </cell>
          <cell r="X488">
            <v>1950</v>
          </cell>
          <cell r="Z488">
            <v>0</v>
          </cell>
          <cell r="AA488">
            <v>0</v>
          </cell>
          <cell r="AB488">
            <v>0</v>
          </cell>
          <cell r="AC488">
            <v>0</v>
          </cell>
          <cell r="AE488">
            <v>0</v>
          </cell>
          <cell r="AF488">
            <v>0</v>
          </cell>
          <cell r="AG488">
            <v>0</v>
          </cell>
          <cell r="AH488">
            <v>4250</v>
          </cell>
          <cell r="AI488">
            <v>51000</v>
          </cell>
          <cell r="AJ488">
            <v>0</v>
          </cell>
          <cell r="AK488">
            <v>0</v>
          </cell>
          <cell r="AL488">
            <v>5000</v>
          </cell>
          <cell r="AM488">
            <v>0</v>
          </cell>
          <cell r="AN488">
            <v>0</v>
          </cell>
          <cell r="AO488">
            <v>0</v>
          </cell>
          <cell r="AP488">
            <v>0</v>
          </cell>
          <cell r="AQ488">
            <v>7452</v>
          </cell>
          <cell r="AR488">
            <v>63452</v>
          </cell>
          <cell r="AS488">
            <v>15.49</v>
          </cell>
        </row>
        <row r="489">
          <cell r="P489">
            <v>7</v>
          </cell>
          <cell r="S489" t="str">
            <v xml:space="preserve"> </v>
          </cell>
        </row>
        <row r="490">
          <cell r="G490">
            <v>2207</v>
          </cell>
          <cell r="H490" t="str">
            <v>MR KAUSHAL N</v>
          </cell>
          <cell r="I490">
            <v>25183</v>
          </cell>
          <cell r="J490">
            <v>36327</v>
          </cell>
          <cell r="K490">
            <v>12095</v>
          </cell>
          <cell r="L490" t="str">
            <v>MA</v>
          </cell>
          <cell r="M490">
            <v>23</v>
          </cell>
          <cell r="N490" t="str">
            <v>A5</v>
          </cell>
          <cell r="O490" t="str">
            <v>MAM</v>
          </cell>
          <cell r="P490">
            <v>7</v>
          </cell>
          <cell r="Q490" t="str">
            <v>Other Locations</v>
          </cell>
          <cell r="R490" t="str">
            <v>Jaipur (Rajasthan)</v>
          </cell>
          <cell r="S490" t="str">
            <v xml:space="preserve"> </v>
          </cell>
          <cell r="T490" t="str">
            <v>BP</v>
          </cell>
          <cell r="U490">
            <v>2001</v>
          </cell>
          <cell r="V490">
            <v>51500</v>
          </cell>
          <cell r="W490">
            <v>13000</v>
          </cell>
          <cell r="X490">
            <v>4550</v>
          </cell>
          <cell r="AA490">
            <v>500</v>
          </cell>
          <cell r="AB490">
            <v>150</v>
          </cell>
          <cell r="AC490">
            <v>0</v>
          </cell>
          <cell r="AD490" t="str">
            <v>CV</v>
          </cell>
          <cell r="AE490">
            <v>0</v>
          </cell>
          <cell r="AG490">
            <v>4000</v>
          </cell>
          <cell r="AH490">
            <v>22200</v>
          </cell>
          <cell r="AI490">
            <v>266400</v>
          </cell>
          <cell r="AJ490">
            <v>25000</v>
          </cell>
          <cell r="AK490">
            <v>50000</v>
          </cell>
          <cell r="AL490">
            <v>10000</v>
          </cell>
          <cell r="AO490">
            <v>10000</v>
          </cell>
          <cell r="AQ490">
            <v>42120</v>
          </cell>
          <cell r="AR490">
            <v>403520</v>
          </cell>
        </row>
        <row r="491">
          <cell r="M491">
            <v>23</v>
          </cell>
          <cell r="N491" t="str">
            <v>A5</v>
          </cell>
          <cell r="P491">
            <v>7</v>
          </cell>
          <cell r="S491" t="str">
            <v xml:space="preserve"> </v>
          </cell>
          <cell r="U491">
            <v>2002</v>
          </cell>
          <cell r="W491">
            <v>15700</v>
          </cell>
          <cell r="X491">
            <v>6500</v>
          </cell>
          <cell r="Z491">
            <v>0</v>
          </cell>
          <cell r="AA491">
            <v>500</v>
          </cell>
          <cell r="AB491">
            <v>150</v>
          </cell>
          <cell r="AC491">
            <v>0</v>
          </cell>
          <cell r="AF491">
            <v>0</v>
          </cell>
          <cell r="AG491">
            <v>4000</v>
          </cell>
          <cell r="AH491">
            <v>26850</v>
          </cell>
          <cell r="AI491">
            <v>322200</v>
          </cell>
          <cell r="AJ491">
            <v>25000</v>
          </cell>
          <cell r="AK491">
            <v>50000</v>
          </cell>
          <cell r="AL491">
            <v>15000</v>
          </cell>
          <cell r="AM491">
            <v>0</v>
          </cell>
          <cell r="AN491">
            <v>0</v>
          </cell>
          <cell r="AO491">
            <v>10000</v>
          </cell>
          <cell r="AP491">
            <v>0</v>
          </cell>
          <cell r="AQ491">
            <v>50868</v>
          </cell>
          <cell r="AR491">
            <v>473068</v>
          </cell>
          <cell r="AS491">
            <v>0</v>
          </cell>
        </row>
        <row r="492">
          <cell r="P492">
            <v>7</v>
          </cell>
          <cell r="S492" t="str">
            <v xml:space="preserve"> </v>
          </cell>
          <cell r="U492" t="str">
            <v>DIFF.</v>
          </cell>
          <cell r="W492">
            <v>2700</v>
          </cell>
          <cell r="X492">
            <v>1950</v>
          </cell>
          <cell r="Z492">
            <v>0</v>
          </cell>
          <cell r="AA492">
            <v>0</v>
          </cell>
          <cell r="AB492">
            <v>0</v>
          </cell>
          <cell r="AC492">
            <v>0</v>
          </cell>
          <cell r="AE492">
            <v>0</v>
          </cell>
          <cell r="AF492">
            <v>0</v>
          </cell>
          <cell r="AG492">
            <v>0</v>
          </cell>
          <cell r="AH492">
            <v>4650</v>
          </cell>
          <cell r="AI492">
            <v>55800</v>
          </cell>
          <cell r="AJ492">
            <v>0</v>
          </cell>
          <cell r="AK492">
            <v>0</v>
          </cell>
          <cell r="AL492">
            <v>5000</v>
          </cell>
          <cell r="AM492">
            <v>0</v>
          </cell>
          <cell r="AN492">
            <v>0</v>
          </cell>
          <cell r="AO492">
            <v>0</v>
          </cell>
          <cell r="AP492">
            <v>0</v>
          </cell>
          <cell r="AQ492">
            <v>8748</v>
          </cell>
          <cell r="AR492">
            <v>69548</v>
          </cell>
          <cell r="AS492">
            <v>17.239999999999998</v>
          </cell>
        </row>
        <row r="493">
          <cell r="P493">
            <v>7</v>
          </cell>
          <cell r="S493" t="str">
            <v xml:space="preserve"> </v>
          </cell>
        </row>
        <row r="494">
          <cell r="G494">
            <v>2242</v>
          </cell>
          <cell r="H494" t="str">
            <v>MR YADAV S</v>
          </cell>
          <cell r="I494">
            <v>26622</v>
          </cell>
          <cell r="J494" t="str">
            <v>03.05.2000</v>
          </cell>
          <cell r="K494">
            <v>10656</v>
          </cell>
          <cell r="L494" t="str">
            <v>MA</v>
          </cell>
          <cell r="M494">
            <v>23</v>
          </cell>
          <cell r="O494" t="str">
            <v>MAM</v>
          </cell>
          <cell r="P494">
            <v>1</v>
          </cell>
          <cell r="Q494" t="str">
            <v>Mumbai</v>
          </cell>
          <cell r="R494" t="str">
            <v>Ho</v>
          </cell>
          <cell r="S494" t="str">
            <v xml:space="preserve"> </v>
          </cell>
          <cell r="T494" t="str">
            <v>D</v>
          </cell>
          <cell r="U494">
            <v>2001</v>
          </cell>
          <cell r="V494">
            <v>28000</v>
          </cell>
          <cell r="W494">
            <v>12500</v>
          </cell>
          <cell r="X494">
            <v>0</v>
          </cell>
          <cell r="Y494" t="str">
            <v>L</v>
          </cell>
          <cell r="Z494">
            <v>2000</v>
          </cell>
          <cell r="AA494">
            <v>500</v>
          </cell>
          <cell r="AB494">
            <v>150</v>
          </cell>
          <cell r="AC494">
            <v>1000</v>
          </cell>
          <cell r="AE494">
            <v>1000</v>
          </cell>
          <cell r="AG494">
            <v>4000</v>
          </cell>
          <cell r="AH494">
            <v>21150</v>
          </cell>
          <cell r="AI494">
            <v>253800</v>
          </cell>
          <cell r="AJ494">
            <v>25000</v>
          </cell>
          <cell r="AK494">
            <v>50000</v>
          </cell>
          <cell r="AL494">
            <v>10000</v>
          </cell>
          <cell r="AO494">
            <v>10000</v>
          </cell>
          <cell r="AQ494">
            <v>40500</v>
          </cell>
          <cell r="AR494">
            <v>389300</v>
          </cell>
        </row>
        <row r="495">
          <cell r="M495">
            <v>23</v>
          </cell>
          <cell r="P495">
            <v>1</v>
          </cell>
          <cell r="S495" t="str">
            <v xml:space="preserve"> </v>
          </cell>
          <cell r="U495">
            <v>2002</v>
          </cell>
          <cell r="W495">
            <v>13250</v>
          </cell>
          <cell r="X495">
            <v>0</v>
          </cell>
          <cell r="Z495">
            <v>2500</v>
          </cell>
          <cell r="AA495">
            <v>500</v>
          </cell>
          <cell r="AB495">
            <v>150</v>
          </cell>
          <cell r="AC495">
            <v>1000</v>
          </cell>
          <cell r="AF495">
            <v>0</v>
          </cell>
          <cell r="AG495">
            <v>4000</v>
          </cell>
          <cell r="AH495">
            <v>21400</v>
          </cell>
          <cell r="AI495">
            <v>256800</v>
          </cell>
          <cell r="AJ495">
            <v>25000</v>
          </cell>
          <cell r="AK495">
            <v>50000</v>
          </cell>
          <cell r="AL495">
            <v>15000</v>
          </cell>
          <cell r="AM495">
            <v>0</v>
          </cell>
          <cell r="AN495">
            <v>0</v>
          </cell>
          <cell r="AO495">
            <v>10000</v>
          </cell>
          <cell r="AP495">
            <v>0</v>
          </cell>
          <cell r="AQ495">
            <v>42930</v>
          </cell>
          <cell r="AR495">
            <v>399730</v>
          </cell>
          <cell r="AS495">
            <v>0</v>
          </cell>
        </row>
        <row r="496">
          <cell r="P496">
            <v>1</v>
          </cell>
          <cell r="S496" t="str">
            <v xml:space="preserve"> </v>
          </cell>
          <cell r="U496" t="str">
            <v>DIFF.</v>
          </cell>
          <cell r="W496">
            <v>750</v>
          </cell>
          <cell r="X496">
            <v>0</v>
          </cell>
          <cell r="Z496">
            <v>500</v>
          </cell>
          <cell r="AA496">
            <v>0</v>
          </cell>
          <cell r="AB496">
            <v>0</v>
          </cell>
          <cell r="AC496">
            <v>0</v>
          </cell>
          <cell r="AE496">
            <v>-1000</v>
          </cell>
          <cell r="AF496">
            <v>0</v>
          </cell>
          <cell r="AG496">
            <v>0</v>
          </cell>
          <cell r="AH496">
            <v>250</v>
          </cell>
          <cell r="AI496">
            <v>3000</v>
          </cell>
          <cell r="AJ496">
            <v>0</v>
          </cell>
          <cell r="AK496">
            <v>0</v>
          </cell>
          <cell r="AL496">
            <v>5000</v>
          </cell>
          <cell r="AM496">
            <v>0</v>
          </cell>
          <cell r="AN496">
            <v>0</v>
          </cell>
          <cell r="AO496">
            <v>0</v>
          </cell>
          <cell r="AP496">
            <v>0</v>
          </cell>
          <cell r="AQ496">
            <v>2430</v>
          </cell>
          <cell r="AR496">
            <v>10430</v>
          </cell>
          <cell r="AS496">
            <v>2.68</v>
          </cell>
        </row>
        <row r="497">
          <cell r="P497">
            <v>1</v>
          </cell>
          <cell r="S497" t="str">
            <v xml:space="preserve"> </v>
          </cell>
        </row>
        <row r="498">
          <cell r="G498">
            <v>2245</v>
          </cell>
          <cell r="H498" t="str">
            <v>MR PANDEY P</v>
          </cell>
          <cell r="I498">
            <v>26495</v>
          </cell>
          <cell r="J498" t="str">
            <v>08.06.2000</v>
          </cell>
          <cell r="K498">
            <v>10783</v>
          </cell>
          <cell r="L498" t="str">
            <v>MA</v>
          </cell>
          <cell r="M498">
            <v>23</v>
          </cell>
          <cell r="N498" t="str">
            <v>A5</v>
          </cell>
          <cell r="O498" t="str">
            <v>MAM</v>
          </cell>
          <cell r="P498">
            <v>4</v>
          </cell>
          <cell r="Q498" t="str">
            <v>Kolkatta</v>
          </cell>
          <cell r="R498" t="str">
            <v>Kolkatta</v>
          </cell>
          <cell r="S498" t="str">
            <v xml:space="preserve"> </v>
          </cell>
          <cell r="T498" t="str">
            <v>CA</v>
          </cell>
          <cell r="U498">
            <v>2001</v>
          </cell>
          <cell r="V498">
            <v>43500</v>
          </cell>
          <cell r="W498">
            <v>12500</v>
          </cell>
          <cell r="X498">
            <v>4400</v>
          </cell>
          <cell r="AA498">
            <v>500</v>
          </cell>
          <cell r="AB498">
            <v>150</v>
          </cell>
          <cell r="AC498">
            <v>1000</v>
          </cell>
          <cell r="AE498">
            <v>450</v>
          </cell>
          <cell r="AG498">
            <v>4000</v>
          </cell>
          <cell r="AH498">
            <v>23000</v>
          </cell>
          <cell r="AI498">
            <v>276000</v>
          </cell>
          <cell r="AJ498">
            <v>25000</v>
          </cell>
          <cell r="AK498">
            <v>50000</v>
          </cell>
          <cell r="AL498">
            <v>10000</v>
          </cell>
          <cell r="AO498">
            <v>10000</v>
          </cell>
          <cell r="AQ498">
            <v>40500</v>
          </cell>
          <cell r="AR498">
            <v>411500</v>
          </cell>
        </row>
        <row r="499">
          <cell r="M499">
            <v>23</v>
          </cell>
          <cell r="N499" t="str">
            <v>A5</v>
          </cell>
          <cell r="P499">
            <v>4</v>
          </cell>
          <cell r="S499" t="str">
            <v xml:space="preserve"> </v>
          </cell>
          <cell r="U499">
            <v>2002</v>
          </cell>
          <cell r="W499">
            <v>14150</v>
          </cell>
          <cell r="X499">
            <v>7000</v>
          </cell>
          <cell r="Z499">
            <v>0</v>
          </cell>
          <cell r="AA499">
            <v>500</v>
          </cell>
          <cell r="AB499">
            <v>150</v>
          </cell>
          <cell r="AC499">
            <v>1000</v>
          </cell>
          <cell r="AF499">
            <v>0</v>
          </cell>
          <cell r="AG499">
            <v>4000</v>
          </cell>
          <cell r="AH499">
            <v>26800</v>
          </cell>
          <cell r="AI499">
            <v>321600</v>
          </cell>
          <cell r="AJ499">
            <v>25000</v>
          </cell>
          <cell r="AK499">
            <v>50000</v>
          </cell>
          <cell r="AL499">
            <v>15000</v>
          </cell>
          <cell r="AM499">
            <v>0</v>
          </cell>
          <cell r="AN499">
            <v>0</v>
          </cell>
          <cell r="AO499">
            <v>10000</v>
          </cell>
          <cell r="AP499">
            <v>0</v>
          </cell>
          <cell r="AQ499">
            <v>45846</v>
          </cell>
          <cell r="AR499">
            <v>467446</v>
          </cell>
          <cell r="AS499">
            <v>0</v>
          </cell>
        </row>
        <row r="500">
          <cell r="P500">
            <v>4</v>
          </cell>
          <cell r="S500" t="str">
            <v xml:space="preserve"> </v>
          </cell>
          <cell r="U500" t="str">
            <v>DIFF.</v>
          </cell>
          <cell r="W500">
            <v>1650</v>
          </cell>
          <cell r="X500">
            <v>2600</v>
          </cell>
          <cell r="Z500">
            <v>0</v>
          </cell>
          <cell r="AA500">
            <v>0</v>
          </cell>
          <cell r="AB500">
            <v>0</v>
          </cell>
          <cell r="AC500">
            <v>0</v>
          </cell>
          <cell r="AE500">
            <v>-450</v>
          </cell>
          <cell r="AF500">
            <v>0</v>
          </cell>
          <cell r="AG500">
            <v>0</v>
          </cell>
          <cell r="AH500">
            <v>3800</v>
          </cell>
          <cell r="AI500">
            <v>45600</v>
          </cell>
          <cell r="AJ500">
            <v>0</v>
          </cell>
          <cell r="AK500">
            <v>0</v>
          </cell>
          <cell r="AL500">
            <v>5000</v>
          </cell>
          <cell r="AM500">
            <v>0</v>
          </cell>
          <cell r="AN500">
            <v>0</v>
          </cell>
          <cell r="AO500">
            <v>0</v>
          </cell>
          <cell r="AP500">
            <v>0</v>
          </cell>
          <cell r="AQ500">
            <v>5346</v>
          </cell>
          <cell r="AR500">
            <v>55946</v>
          </cell>
          <cell r="AS500">
            <v>13.6</v>
          </cell>
        </row>
        <row r="501">
          <cell r="P501">
            <v>4</v>
          </cell>
          <cell r="S501" t="str">
            <v xml:space="preserve"> </v>
          </cell>
        </row>
        <row r="502">
          <cell r="G502">
            <v>2291</v>
          </cell>
          <cell r="H502" t="str">
            <v>MR S.C. DHAR</v>
          </cell>
          <cell r="I502">
            <v>20022</v>
          </cell>
          <cell r="J502">
            <v>29850</v>
          </cell>
          <cell r="K502">
            <v>17256</v>
          </cell>
          <cell r="L502" t="str">
            <v>MA</v>
          </cell>
          <cell r="M502">
            <v>23</v>
          </cell>
          <cell r="N502" t="str">
            <v>A6</v>
          </cell>
          <cell r="O502" t="str">
            <v>MA</v>
          </cell>
          <cell r="P502">
            <v>7</v>
          </cell>
          <cell r="Q502" t="str">
            <v>Other Locations</v>
          </cell>
          <cell r="R502" t="str">
            <v>Raipur (Chattisgadh)</v>
          </cell>
          <cell r="S502" t="str">
            <v xml:space="preserve"> </v>
          </cell>
          <cell r="T502" t="str">
            <v>CL</v>
          </cell>
          <cell r="U502">
            <v>2001</v>
          </cell>
          <cell r="V502">
            <v>43500</v>
          </cell>
          <cell r="W502">
            <v>13425</v>
          </cell>
          <cell r="X502">
            <v>4700</v>
          </cell>
          <cell r="AA502">
            <v>500</v>
          </cell>
          <cell r="AB502">
            <v>150</v>
          </cell>
          <cell r="AC502">
            <v>1000</v>
          </cell>
          <cell r="AE502">
            <v>0</v>
          </cell>
          <cell r="AF502">
            <v>500</v>
          </cell>
          <cell r="AG502">
            <v>4000</v>
          </cell>
          <cell r="AH502">
            <v>24275</v>
          </cell>
          <cell r="AI502">
            <v>291300</v>
          </cell>
          <cell r="AJ502">
            <v>25000</v>
          </cell>
          <cell r="AK502">
            <v>50000</v>
          </cell>
          <cell r="AL502">
            <v>10000</v>
          </cell>
          <cell r="AM502">
            <v>0</v>
          </cell>
          <cell r="AN502">
            <v>0</v>
          </cell>
          <cell r="AO502">
            <v>10000</v>
          </cell>
          <cell r="AP502">
            <v>0</v>
          </cell>
          <cell r="AQ502">
            <v>43497</v>
          </cell>
          <cell r="AR502">
            <v>429797</v>
          </cell>
          <cell r="AS502">
            <v>0</v>
          </cell>
        </row>
        <row r="503">
          <cell r="M503">
            <v>23</v>
          </cell>
          <cell r="N503" t="str">
            <v>A6</v>
          </cell>
          <cell r="P503">
            <v>7</v>
          </cell>
          <cell r="S503" t="str">
            <v xml:space="preserve"> </v>
          </cell>
          <cell r="U503">
            <v>2002</v>
          </cell>
          <cell r="W503">
            <v>14925</v>
          </cell>
          <cell r="X503">
            <v>6500</v>
          </cell>
          <cell r="Z503">
            <v>0</v>
          </cell>
          <cell r="AA503">
            <v>500</v>
          </cell>
          <cell r="AB503">
            <v>150</v>
          </cell>
          <cell r="AC503">
            <v>1000</v>
          </cell>
          <cell r="AF503">
            <v>500</v>
          </cell>
          <cell r="AG503">
            <v>4000</v>
          </cell>
          <cell r="AH503">
            <v>27575</v>
          </cell>
          <cell r="AI503">
            <v>330900</v>
          </cell>
          <cell r="AJ503">
            <v>25000</v>
          </cell>
          <cell r="AK503">
            <v>50000</v>
          </cell>
          <cell r="AL503">
            <v>15000</v>
          </cell>
          <cell r="AM503">
            <v>0</v>
          </cell>
          <cell r="AN503">
            <v>0</v>
          </cell>
          <cell r="AO503">
            <v>10000</v>
          </cell>
          <cell r="AP503">
            <v>0</v>
          </cell>
          <cell r="AQ503">
            <v>48357</v>
          </cell>
          <cell r="AR503">
            <v>479257</v>
          </cell>
          <cell r="AS503">
            <v>0</v>
          </cell>
        </row>
        <row r="504">
          <cell r="P504">
            <v>7</v>
          </cell>
          <cell r="S504" t="str">
            <v xml:space="preserve"> </v>
          </cell>
          <cell r="U504" t="str">
            <v>DIFF.</v>
          </cell>
          <cell r="W504">
            <v>1500</v>
          </cell>
          <cell r="X504">
            <v>1800</v>
          </cell>
          <cell r="Z504">
            <v>0</v>
          </cell>
          <cell r="AA504">
            <v>0</v>
          </cell>
          <cell r="AB504">
            <v>0</v>
          </cell>
          <cell r="AC504">
            <v>0</v>
          </cell>
          <cell r="AE504">
            <v>0</v>
          </cell>
          <cell r="AF504">
            <v>0</v>
          </cell>
          <cell r="AG504">
            <v>0</v>
          </cell>
          <cell r="AH504">
            <v>3300</v>
          </cell>
          <cell r="AI504">
            <v>39600</v>
          </cell>
          <cell r="AJ504">
            <v>0</v>
          </cell>
          <cell r="AK504">
            <v>0</v>
          </cell>
          <cell r="AL504">
            <v>5000</v>
          </cell>
          <cell r="AM504">
            <v>0</v>
          </cell>
          <cell r="AN504">
            <v>0</v>
          </cell>
          <cell r="AO504">
            <v>0</v>
          </cell>
          <cell r="AP504">
            <v>0</v>
          </cell>
          <cell r="AQ504">
            <v>4860</v>
          </cell>
          <cell r="AR504">
            <v>49460</v>
          </cell>
          <cell r="AS504">
            <v>11.51</v>
          </cell>
        </row>
        <row r="505">
          <cell r="P505">
            <v>7</v>
          </cell>
          <cell r="S505" t="str">
            <v xml:space="preserve"> </v>
          </cell>
        </row>
        <row r="506">
          <cell r="G506">
            <v>2292</v>
          </cell>
          <cell r="H506" t="str">
            <v>MR KALIDAS DATTA</v>
          </cell>
          <cell r="I506">
            <v>20070</v>
          </cell>
          <cell r="J506">
            <v>30545</v>
          </cell>
          <cell r="K506">
            <v>17208</v>
          </cell>
          <cell r="L506" t="str">
            <v>MA</v>
          </cell>
          <cell r="M506">
            <v>23</v>
          </cell>
          <cell r="N506" t="str">
            <v>A6</v>
          </cell>
          <cell r="O506" t="str">
            <v>MA</v>
          </cell>
          <cell r="P506">
            <v>4</v>
          </cell>
          <cell r="Q506" t="str">
            <v>Kolkatta</v>
          </cell>
          <cell r="R506" t="str">
            <v>Kolkatta</v>
          </cell>
          <cell r="S506" t="str">
            <v xml:space="preserve"> </v>
          </cell>
          <cell r="T506" t="str">
            <v>CL</v>
          </cell>
          <cell r="U506">
            <v>2001</v>
          </cell>
          <cell r="V506">
            <v>43500</v>
          </cell>
          <cell r="W506">
            <v>15270</v>
          </cell>
          <cell r="X506">
            <v>0</v>
          </cell>
          <cell r="Y506" t="str">
            <v>L</v>
          </cell>
          <cell r="Z506">
            <v>2000</v>
          </cell>
          <cell r="AA506">
            <v>500</v>
          </cell>
          <cell r="AB506">
            <v>150</v>
          </cell>
          <cell r="AC506">
            <v>1000</v>
          </cell>
          <cell r="AE506">
            <v>450</v>
          </cell>
          <cell r="AF506">
            <v>500</v>
          </cell>
          <cell r="AG506">
            <v>4000</v>
          </cell>
          <cell r="AH506">
            <v>23870</v>
          </cell>
          <cell r="AI506">
            <v>286440</v>
          </cell>
          <cell r="AJ506">
            <v>25000</v>
          </cell>
          <cell r="AK506">
            <v>50000</v>
          </cell>
          <cell r="AL506">
            <v>10000</v>
          </cell>
          <cell r="AM506">
            <v>0</v>
          </cell>
          <cell r="AN506">
            <v>0</v>
          </cell>
          <cell r="AO506">
            <v>10000</v>
          </cell>
          <cell r="AP506">
            <v>0</v>
          </cell>
          <cell r="AQ506">
            <v>49475</v>
          </cell>
          <cell r="AR506">
            <v>430915</v>
          </cell>
          <cell r="AS506">
            <v>0</v>
          </cell>
        </row>
        <row r="507">
          <cell r="M507">
            <v>23</v>
          </cell>
          <cell r="N507" t="str">
            <v>A6</v>
          </cell>
          <cell r="P507">
            <v>4</v>
          </cell>
          <cell r="S507" t="str">
            <v xml:space="preserve"> </v>
          </cell>
          <cell r="U507">
            <v>2002</v>
          </cell>
          <cell r="W507">
            <v>16770</v>
          </cell>
          <cell r="X507">
            <v>0</v>
          </cell>
          <cell r="Z507">
            <v>2500</v>
          </cell>
          <cell r="AA507">
            <v>500</v>
          </cell>
          <cell r="AB507">
            <v>150</v>
          </cell>
          <cell r="AC507">
            <v>1000</v>
          </cell>
          <cell r="AF507">
            <v>500</v>
          </cell>
          <cell r="AG507">
            <v>4000</v>
          </cell>
          <cell r="AH507">
            <v>25420</v>
          </cell>
          <cell r="AI507">
            <v>305040</v>
          </cell>
          <cell r="AJ507">
            <v>25000</v>
          </cell>
          <cell r="AK507">
            <v>50000</v>
          </cell>
          <cell r="AL507">
            <v>15000</v>
          </cell>
          <cell r="AM507">
            <v>0</v>
          </cell>
          <cell r="AN507">
            <v>0</v>
          </cell>
          <cell r="AO507">
            <v>10000</v>
          </cell>
          <cell r="AP507">
            <v>0</v>
          </cell>
          <cell r="AQ507">
            <v>54335</v>
          </cell>
          <cell r="AR507">
            <v>459375</v>
          </cell>
          <cell r="AS507">
            <v>0</v>
          </cell>
        </row>
        <row r="508">
          <cell r="P508">
            <v>4</v>
          </cell>
          <cell r="S508" t="str">
            <v xml:space="preserve"> </v>
          </cell>
          <cell r="U508" t="str">
            <v>DIFF.</v>
          </cell>
          <cell r="W508">
            <v>1500</v>
          </cell>
          <cell r="X508">
            <v>0</v>
          </cell>
          <cell r="Z508">
            <v>500</v>
          </cell>
          <cell r="AA508">
            <v>0</v>
          </cell>
          <cell r="AB508">
            <v>0</v>
          </cell>
          <cell r="AC508">
            <v>0</v>
          </cell>
          <cell r="AE508">
            <v>-450</v>
          </cell>
          <cell r="AF508">
            <v>0</v>
          </cell>
          <cell r="AG508">
            <v>0</v>
          </cell>
          <cell r="AH508">
            <v>1550</v>
          </cell>
          <cell r="AI508">
            <v>18600</v>
          </cell>
          <cell r="AJ508">
            <v>0</v>
          </cell>
          <cell r="AK508">
            <v>0</v>
          </cell>
          <cell r="AL508">
            <v>5000</v>
          </cell>
          <cell r="AM508">
            <v>0</v>
          </cell>
          <cell r="AN508">
            <v>0</v>
          </cell>
          <cell r="AO508">
            <v>0</v>
          </cell>
          <cell r="AP508">
            <v>0</v>
          </cell>
          <cell r="AQ508">
            <v>4860</v>
          </cell>
          <cell r="AR508">
            <v>28460</v>
          </cell>
          <cell r="AS508">
            <v>6.6</v>
          </cell>
        </row>
        <row r="509">
          <cell r="P509">
            <v>4</v>
          </cell>
          <cell r="S509" t="str">
            <v xml:space="preserve"> </v>
          </cell>
        </row>
        <row r="510">
          <cell r="G510">
            <v>2295</v>
          </cell>
          <cell r="H510" t="str">
            <v>MR AJIT KUMAR</v>
          </cell>
          <cell r="I510">
            <v>23023</v>
          </cell>
          <cell r="J510">
            <v>31581</v>
          </cell>
          <cell r="K510">
            <v>14255</v>
          </cell>
          <cell r="L510" t="str">
            <v>MA</v>
          </cell>
          <cell r="M510">
            <v>23</v>
          </cell>
          <cell r="N510" t="str">
            <v>A6</v>
          </cell>
          <cell r="O510" t="str">
            <v>MA</v>
          </cell>
          <cell r="P510">
            <v>7</v>
          </cell>
          <cell r="Q510" t="str">
            <v>Other Locations</v>
          </cell>
          <cell r="R510" t="str">
            <v>Patna (Bihar)</v>
          </cell>
          <cell r="S510" t="str">
            <v xml:space="preserve"> </v>
          </cell>
          <cell r="T510" t="str">
            <v>BA</v>
          </cell>
          <cell r="U510">
            <v>2001</v>
          </cell>
          <cell r="V510">
            <v>51500</v>
          </cell>
          <cell r="W510">
            <v>12810</v>
          </cell>
          <cell r="X510">
            <v>4500</v>
          </cell>
          <cell r="AA510">
            <v>500</v>
          </cell>
          <cell r="AB510">
            <v>150</v>
          </cell>
          <cell r="AC510">
            <v>1000</v>
          </cell>
          <cell r="AE510">
            <v>0</v>
          </cell>
          <cell r="AF510">
            <v>500</v>
          </cell>
          <cell r="AG510">
            <v>4000</v>
          </cell>
          <cell r="AH510">
            <v>23460</v>
          </cell>
          <cell r="AI510">
            <v>281520</v>
          </cell>
          <cell r="AJ510">
            <v>25000</v>
          </cell>
          <cell r="AK510">
            <v>50000</v>
          </cell>
          <cell r="AL510">
            <v>10000</v>
          </cell>
          <cell r="AM510">
            <v>0</v>
          </cell>
          <cell r="AN510">
            <v>0</v>
          </cell>
          <cell r="AO510">
            <v>10000</v>
          </cell>
          <cell r="AP510">
            <v>0</v>
          </cell>
          <cell r="AQ510">
            <v>41504</v>
          </cell>
          <cell r="AR510">
            <v>418024</v>
          </cell>
          <cell r="AS510">
            <v>0</v>
          </cell>
        </row>
        <row r="511">
          <cell r="M511">
            <v>23</v>
          </cell>
          <cell r="N511" t="str">
            <v>A6</v>
          </cell>
          <cell r="P511">
            <v>7</v>
          </cell>
          <cell r="S511" t="str">
            <v xml:space="preserve"> </v>
          </cell>
          <cell r="U511">
            <v>2002</v>
          </cell>
          <cell r="W511">
            <v>15110</v>
          </cell>
          <cell r="X511">
            <v>6500</v>
          </cell>
          <cell r="Z511">
            <v>0</v>
          </cell>
          <cell r="AA511">
            <v>500</v>
          </cell>
          <cell r="AB511">
            <v>150</v>
          </cell>
          <cell r="AC511">
            <v>1000</v>
          </cell>
          <cell r="AF511">
            <v>500</v>
          </cell>
          <cell r="AG511">
            <v>4000</v>
          </cell>
          <cell r="AH511">
            <v>27760</v>
          </cell>
          <cell r="AI511">
            <v>333120</v>
          </cell>
          <cell r="AJ511">
            <v>25000</v>
          </cell>
          <cell r="AK511">
            <v>50000</v>
          </cell>
          <cell r="AL511">
            <v>15000</v>
          </cell>
          <cell r="AM511">
            <v>0</v>
          </cell>
          <cell r="AN511">
            <v>0</v>
          </cell>
          <cell r="AO511">
            <v>10000</v>
          </cell>
          <cell r="AP511">
            <v>0</v>
          </cell>
          <cell r="AQ511">
            <v>48956</v>
          </cell>
          <cell r="AR511">
            <v>482076</v>
          </cell>
          <cell r="AS511">
            <v>0</v>
          </cell>
        </row>
        <row r="512">
          <cell r="P512">
            <v>7</v>
          </cell>
          <cell r="S512" t="str">
            <v xml:space="preserve"> </v>
          </cell>
          <cell r="U512" t="str">
            <v>DIFF.</v>
          </cell>
          <cell r="W512">
            <v>2300</v>
          </cell>
          <cell r="X512">
            <v>2000</v>
          </cell>
          <cell r="Z512">
            <v>0</v>
          </cell>
          <cell r="AA512">
            <v>0</v>
          </cell>
          <cell r="AB512">
            <v>0</v>
          </cell>
          <cell r="AC512">
            <v>0</v>
          </cell>
          <cell r="AE512">
            <v>0</v>
          </cell>
          <cell r="AF512">
            <v>0</v>
          </cell>
          <cell r="AG512">
            <v>0</v>
          </cell>
          <cell r="AH512">
            <v>4300</v>
          </cell>
          <cell r="AI512">
            <v>51600</v>
          </cell>
          <cell r="AJ512">
            <v>0</v>
          </cell>
          <cell r="AK512">
            <v>0</v>
          </cell>
          <cell r="AL512">
            <v>5000</v>
          </cell>
          <cell r="AM512">
            <v>0</v>
          </cell>
          <cell r="AN512">
            <v>0</v>
          </cell>
          <cell r="AO512">
            <v>0</v>
          </cell>
          <cell r="AP512">
            <v>0</v>
          </cell>
          <cell r="AQ512">
            <v>7452</v>
          </cell>
          <cell r="AR512">
            <v>64052</v>
          </cell>
          <cell r="AS512">
            <v>15.32</v>
          </cell>
        </row>
        <row r="513">
          <cell r="P513">
            <v>7</v>
          </cell>
          <cell r="S513" t="str">
            <v xml:space="preserve"> </v>
          </cell>
        </row>
        <row r="514">
          <cell r="G514">
            <v>2305</v>
          </cell>
          <cell r="H514" t="str">
            <v>MR T. SHRIRAM BHUPAL REDDY</v>
          </cell>
          <cell r="I514">
            <v>23752</v>
          </cell>
          <cell r="J514">
            <v>33290</v>
          </cell>
          <cell r="K514">
            <v>13526</v>
          </cell>
          <cell r="L514" t="str">
            <v>MA</v>
          </cell>
          <cell r="M514">
            <v>23</v>
          </cell>
          <cell r="N514" t="str">
            <v>A6</v>
          </cell>
          <cell r="O514" t="str">
            <v>MA</v>
          </cell>
          <cell r="P514">
            <v>7</v>
          </cell>
          <cell r="Q514" t="str">
            <v>Other Locations</v>
          </cell>
          <cell r="R514" t="str">
            <v>Kurnool (Ap)</v>
          </cell>
          <cell r="S514" t="str">
            <v xml:space="preserve"> </v>
          </cell>
          <cell r="T514" t="str">
            <v>BA</v>
          </cell>
          <cell r="U514">
            <v>2001</v>
          </cell>
          <cell r="V514">
            <v>51500</v>
          </cell>
          <cell r="W514">
            <v>11960</v>
          </cell>
          <cell r="X514">
            <v>4200</v>
          </cell>
          <cell r="AA514">
            <v>500</v>
          </cell>
          <cell r="AB514">
            <v>150</v>
          </cell>
          <cell r="AC514">
            <v>1000</v>
          </cell>
          <cell r="AE514">
            <v>0</v>
          </cell>
          <cell r="AF514">
            <v>500</v>
          </cell>
          <cell r="AG514">
            <v>4000</v>
          </cell>
          <cell r="AH514">
            <v>22310</v>
          </cell>
          <cell r="AI514">
            <v>267720</v>
          </cell>
          <cell r="AJ514">
            <v>25000</v>
          </cell>
          <cell r="AK514">
            <v>50000</v>
          </cell>
          <cell r="AL514">
            <v>10000</v>
          </cell>
          <cell r="AM514">
            <v>0</v>
          </cell>
          <cell r="AN514">
            <v>0</v>
          </cell>
          <cell r="AO514">
            <v>10000</v>
          </cell>
          <cell r="AP514">
            <v>0</v>
          </cell>
          <cell r="AQ514">
            <v>38750</v>
          </cell>
          <cell r="AR514">
            <v>401470</v>
          </cell>
          <cell r="AS514">
            <v>0</v>
          </cell>
        </row>
        <row r="515">
          <cell r="M515">
            <v>23</v>
          </cell>
          <cell r="N515" t="str">
            <v>A6</v>
          </cell>
          <cell r="P515">
            <v>7</v>
          </cell>
          <cell r="S515" t="str">
            <v xml:space="preserve"> </v>
          </cell>
          <cell r="U515">
            <v>2002</v>
          </cell>
          <cell r="W515">
            <v>14260</v>
          </cell>
          <cell r="X515">
            <v>6500</v>
          </cell>
          <cell r="Z515">
            <v>0</v>
          </cell>
          <cell r="AA515">
            <v>500</v>
          </cell>
          <cell r="AB515">
            <v>150</v>
          </cell>
          <cell r="AC515">
            <v>1000</v>
          </cell>
          <cell r="AF515">
            <v>500</v>
          </cell>
          <cell r="AG515">
            <v>4000</v>
          </cell>
          <cell r="AH515">
            <v>26910</v>
          </cell>
          <cell r="AI515">
            <v>322920</v>
          </cell>
          <cell r="AJ515">
            <v>25000</v>
          </cell>
          <cell r="AK515">
            <v>50000</v>
          </cell>
          <cell r="AL515">
            <v>15000</v>
          </cell>
          <cell r="AM515">
            <v>0</v>
          </cell>
          <cell r="AN515">
            <v>0</v>
          </cell>
          <cell r="AO515">
            <v>10000</v>
          </cell>
          <cell r="AP515">
            <v>0</v>
          </cell>
          <cell r="AQ515">
            <v>46202</v>
          </cell>
          <cell r="AR515">
            <v>469122</v>
          </cell>
          <cell r="AS515">
            <v>0</v>
          </cell>
        </row>
        <row r="516">
          <cell r="P516">
            <v>7</v>
          </cell>
          <cell r="S516" t="str">
            <v xml:space="preserve"> </v>
          </cell>
          <cell r="U516" t="str">
            <v>DIFF.</v>
          </cell>
          <cell r="W516">
            <v>2300</v>
          </cell>
          <cell r="X516">
            <v>2300</v>
          </cell>
          <cell r="Z516">
            <v>0</v>
          </cell>
          <cell r="AA516">
            <v>0</v>
          </cell>
          <cell r="AB516">
            <v>0</v>
          </cell>
          <cell r="AC516">
            <v>0</v>
          </cell>
          <cell r="AE516">
            <v>0</v>
          </cell>
          <cell r="AF516">
            <v>0</v>
          </cell>
          <cell r="AG516">
            <v>0</v>
          </cell>
          <cell r="AH516">
            <v>4600</v>
          </cell>
          <cell r="AI516">
            <v>55200</v>
          </cell>
          <cell r="AJ516">
            <v>0</v>
          </cell>
          <cell r="AK516">
            <v>0</v>
          </cell>
          <cell r="AL516">
            <v>5000</v>
          </cell>
          <cell r="AM516">
            <v>0</v>
          </cell>
          <cell r="AN516">
            <v>0</v>
          </cell>
          <cell r="AO516">
            <v>0</v>
          </cell>
          <cell r="AP516">
            <v>0</v>
          </cell>
          <cell r="AQ516">
            <v>7452</v>
          </cell>
          <cell r="AR516">
            <v>67652</v>
          </cell>
          <cell r="AS516">
            <v>16.850000000000001</v>
          </cell>
        </row>
        <row r="517">
          <cell r="P517">
            <v>7</v>
          </cell>
          <cell r="S517" t="str">
            <v xml:space="preserve"> </v>
          </cell>
        </row>
        <row r="518">
          <cell r="G518">
            <v>2307</v>
          </cell>
          <cell r="H518" t="str">
            <v>MR KHEMA B PATEL</v>
          </cell>
          <cell r="I518">
            <v>24259</v>
          </cell>
          <cell r="J518">
            <v>33499</v>
          </cell>
          <cell r="K518">
            <v>13019</v>
          </cell>
          <cell r="L518" t="str">
            <v>MA</v>
          </cell>
          <cell r="M518">
            <v>23</v>
          </cell>
          <cell r="N518" t="str">
            <v>A6</v>
          </cell>
          <cell r="O518" t="str">
            <v>MA</v>
          </cell>
          <cell r="P518">
            <v>7</v>
          </cell>
          <cell r="Q518" t="str">
            <v>Other Locations</v>
          </cell>
          <cell r="R518" t="str">
            <v>Pune</v>
          </cell>
          <cell r="S518" t="str">
            <v xml:space="preserve"> </v>
          </cell>
          <cell r="T518" t="str">
            <v>CA</v>
          </cell>
          <cell r="U518">
            <v>2001</v>
          </cell>
          <cell r="V518">
            <v>43500</v>
          </cell>
          <cell r="W518">
            <v>14000</v>
          </cell>
          <cell r="X518">
            <v>4900</v>
          </cell>
          <cell r="AA518">
            <v>500</v>
          </cell>
          <cell r="AB518">
            <v>150</v>
          </cell>
          <cell r="AC518">
            <v>1000</v>
          </cell>
          <cell r="AE518">
            <v>0</v>
          </cell>
          <cell r="AF518">
            <v>500</v>
          </cell>
          <cell r="AG518">
            <v>4000</v>
          </cell>
          <cell r="AH518">
            <v>25050</v>
          </cell>
          <cell r="AI518">
            <v>300600</v>
          </cell>
          <cell r="AJ518">
            <v>25000</v>
          </cell>
          <cell r="AK518">
            <v>50000</v>
          </cell>
          <cell r="AL518">
            <v>10000</v>
          </cell>
          <cell r="AM518">
            <v>0</v>
          </cell>
          <cell r="AN518">
            <v>0</v>
          </cell>
          <cell r="AO518">
            <v>10000</v>
          </cell>
          <cell r="AP518">
            <v>0</v>
          </cell>
          <cell r="AQ518">
            <v>45360</v>
          </cell>
          <cell r="AR518">
            <v>440960</v>
          </cell>
          <cell r="AS518">
            <v>0</v>
          </cell>
        </row>
        <row r="519">
          <cell r="M519">
            <v>23</v>
          </cell>
          <cell r="N519" t="str">
            <v>A6</v>
          </cell>
          <cell r="P519">
            <v>7</v>
          </cell>
          <cell r="S519" t="str">
            <v xml:space="preserve"> </v>
          </cell>
          <cell r="U519">
            <v>2002</v>
          </cell>
          <cell r="W519">
            <v>15650</v>
          </cell>
          <cell r="X519">
            <v>6500</v>
          </cell>
          <cell r="Z519">
            <v>0</v>
          </cell>
          <cell r="AA519">
            <v>500</v>
          </cell>
          <cell r="AB519">
            <v>150</v>
          </cell>
          <cell r="AC519">
            <v>1000</v>
          </cell>
          <cell r="AF519">
            <v>500</v>
          </cell>
          <cell r="AG519">
            <v>4000</v>
          </cell>
          <cell r="AH519">
            <v>28300</v>
          </cell>
          <cell r="AI519">
            <v>339600</v>
          </cell>
          <cell r="AJ519">
            <v>25000</v>
          </cell>
          <cell r="AK519">
            <v>50000</v>
          </cell>
          <cell r="AL519">
            <v>15000</v>
          </cell>
          <cell r="AM519">
            <v>0</v>
          </cell>
          <cell r="AN519">
            <v>0</v>
          </cell>
          <cell r="AO519">
            <v>10000</v>
          </cell>
          <cell r="AP519">
            <v>0</v>
          </cell>
          <cell r="AQ519">
            <v>50706</v>
          </cell>
          <cell r="AR519">
            <v>490306</v>
          </cell>
          <cell r="AS519">
            <v>0</v>
          </cell>
        </row>
        <row r="520">
          <cell r="P520">
            <v>7</v>
          </cell>
          <cell r="S520" t="str">
            <v xml:space="preserve"> </v>
          </cell>
          <cell r="U520" t="str">
            <v>DIFF.</v>
          </cell>
          <cell r="W520">
            <v>1650</v>
          </cell>
          <cell r="X520">
            <v>1600</v>
          </cell>
          <cell r="Z520">
            <v>0</v>
          </cell>
          <cell r="AA520">
            <v>0</v>
          </cell>
          <cell r="AB520">
            <v>0</v>
          </cell>
          <cell r="AC520">
            <v>0</v>
          </cell>
          <cell r="AE520">
            <v>0</v>
          </cell>
          <cell r="AF520">
            <v>0</v>
          </cell>
          <cell r="AG520">
            <v>0</v>
          </cell>
          <cell r="AH520">
            <v>3250</v>
          </cell>
          <cell r="AI520">
            <v>39000</v>
          </cell>
          <cell r="AJ520">
            <v>0</v>
          </cell>
          <cell r="AK520">
            <v>0</v>
          </cell>
          <cell r="AL520">
            <v>5000</v>
          </cell>
          <cell r="AM520">
            <v>0</v>
          </cell>
          <cell r="AN520">
            <v>0</v>
          </cell>
          <cell r="AO520">
            <v>0</v>
          </cell>
          <cell r="AP520">
            <v>0</v>
          </cell>
          <cell r="AQ520">
            <v>5346</v>
          </cell>
          <cell r="AR520">
            <v>49346</v>
          </cell>
          <cell r="AS520">
            <v>11.19</v>
          </cell>
        </row>
        <row r="521">
          <cell r="P521">
            <v>7</v>
          </cell>
          <cell r="S521" t="str">
            <v xml:space="preserve"> </v>
          </cell>
        </row>
        <row r="522">
          <cell r="G522">
            <v>2310</v>
          </cell>
          <cell r="H522" t="str">
            <v>MR Y. SIVA SANKARA REDDY</v>
          </cell>
          <cell r="I522">
            <v>24685</v>
          </cell>
          <cell r="J522">
            <v>34164</v>
          </cell>
          <cell r="K522">
            <v>12593</v>
          </cell>
          <cell r="L522" t="str">
            <v>MA</v>
          </cell>
          <cell r="M522">
            <v>23</v>
          </cell>
          <cell r="N522" t="str">
            <v>A6</v>
          </cell>
          <cell r="O522" t="str">
            <v>MA</v>
          </cell>
          <cell r="P522">
            <v>7</v>
          </cell>
          <cell r="Q522" t="str">
            <v>Other Locations</v>
          </cell>
          <cell r="R522" t="str">
            <v>Warangal (Ap)</v>
          </cell>
          <cell r="S522" t="str">
            <v xml:space="preserve"> </v>
          </cell>
          <cell r="T522" t="str">
            <v>BA</v>
          </cell>
          <cell r="U522">
            <v>2001</v>
          </cell>
          <cell r="V522">
            <v>51500</v>
          </cell>
          <cell r="W522">
            <v>11325</v>
          </cell>
          <cell r="X522">
            <v>4000</v>
          </cell>
          <cell r="AA522">
            <v>500</v>
          </cell>
          <cell r="AB522">
            <v>150</v>
          </cell>
          <cell r="AC522">
            <v>1000</v>
          </cell>
          <cell r="AE522">
            <v>0</v>
          </cell>
          <cell r="AF522">
            <v>500</v>
          </cell>
          <cell r="AG522">
            <v>4000</v>
          </cell>
          <cell r="AH522">
            <v>21475</v>
          </cell>
          <cell r="AI522">
            <v>257700</v>
          </cell>
          <cell r="AJ522">
            <v>25000</v>
          </cell>
          <cell r="AK522">
            <v>50000</v>
          </cell>
          <cell r="AL522">
            <v>10000</v>
          </cell>
          <cell r="AM522">
            <v>0</v>
          </cell>
          <cell r="AN522">
            <v>0</v>
          </cell>
          <cell r="AO522">
            <v>10000</v>
          </cell>
          <cell r="AP522">
            <v>0</v>
          </cell>
          <cell r="AQ522">
            <v>36693</v>
          </cell>
          <cell r="AR522">
            <v>389393</v>
          </cell>
          <cell r="AS522">
            <v>0</v>
          </cell>
        </row>
        <row r="523">
          <cell r="M523">
            <v>23</v>
          </cell>
          <cell r="N523" t="str">
            <v>A6</v>
          </cell>
          <cell r="P523">
            <v>7</v>
          </cell>
          <cell r="S523" t="str">
            <v xml:space="preserve"> </v>
          </cell>
          <cell r="U523">
            <v>2002</v>
          </cell>
          <cell r="W523">
            <v>13625</v>
          </cell>
          <cell r="X523">
            <v>6500</v>
          </cell>
          <cell r="Z523">
            <v>0</v>
          </cell>
          <cell r="AA523">
            <v>500</v>
          </cell>
          <cell r="AB523">
            <v>150</v>
          </cell>
          <cell r="AC523">
            <v>1000</v>
          </cell>
          <cell r="AF523">
            <v>500</v>
          </cell>
          <cell r="AG523">
            <v>4000</v>
          </cell>
          <cell r="AH523">
            <v>26275</v>
          </cell>
          <cell r="AI523">
            <v>315300</v>
          </cell>
          <cell r="AJ523">
            <v>25000</v>
          </cell>
          <cell r="AK523">
            <v>50000</v>
          </cell>
          <cell r="AL523">
            <v>15000</v>
          </cell>
          <cell r="AM523">
            <v>0</v>
          </cell>
          <cell r="AN523">
            <v>0</v>
          </cell>
          <cell r="AO523">
            <v>10000</v>
          </cell>
          <cell r="AP523">
            <v>0</v>
          </cell>
          <cell r="AQ523">
            <v>44145</v>
          </cell>
          <cell r="AR523">
            <v>459445</v>
          </cell>
          <cell r="AS523">
            <v>0</v>
          </cell>
        </row>
        <row r="524">
          <cell r="P524">
            <v>7</v>
          </cell>
          <cell r="S524" t="str">
            <v xml:space="preserve"> </v>
          </cell>
          <cell r="U524" t="str">
            <v>DIFF.</v>
          </cell>
          <cell r="W524">
            <v>2300</v>
          </cell>
          <cell r="X524">
            <v>2500</v>
          </cell>
          <cell r="Z524">
            <v>0</v>
          </cell>
          <cell r="AA524">
            <v>0</v>
          </cell>
          <cell r="AB524">
            <v>0</v>
          </cell>
          <cell r="AC524">
            <v>0</v>
          </cell>
          <cell r="AE524">
            <v>0</v>
          </cell>
          <cell r="AF524">
            <v>0</v>
          </cell>
          <cell r="AG524">
            <v>0</v>
          </cell>
          <cell r="AH524">
            <v>4800</v>
          </cell>
          <cell r="AI524">
            <v>57600</v>
          </cell>
          <cell r="AJ524">
            <v>0</v>
          </cell>
          <cell r="AK524">
            <v>0</v>
          </cell>
          <cell r="AL524">
            <v>5000</v>
          </cell>
          <cell r="AM524">
            <v>0</v>
          </cell>
          <cell r="AN524">
            <v>0</v>
          </cell>
          <cell r="AO524">
            <v>0</v>
          </cell>
          <cell r="AP524">
            <v>0</v>
          </cell>
          <cell r="AQ524">
            <v>7452</v>
          </cell>
          <cell r="AR524">
            <v>70052</v>
          </cell>
          <cell r="AS524">
            <v>17.989999999999998</v>
          </cell>
        </row>
        <row r="525">
          <cell r="P525">
            <v>7</v>
          </cell>
          <cell r="S525" t="str">
            <v xml:space="preserve"> </v>
          </cell>
        </row>
        <row r="526">
          <cell r="G526">
            <v>2311</v>
          </cell>
          <cell r="H526" t="str">
            <v>MR A.M. BHALODIA</v>
          </cell>
          <cell r="I526">
            <v>24139</v>
          </cell>
          <cell r="J526">
            <v>34327</v>
          </cell>
          <cell r="K526">
            <v>13139</v>
          </cell>
          <cell r="L526" t="str">
            <v>MA</v>
          </cell>
          <cell r="M526">
            <v>23</v>
          </cell>
          <cell r="N526" t="str">
            <v>A5</v>
          </cell>
          <cell r="O526" t="str">
            <v>MA</v>
          </cell>
          <cell r="P526">
            <v>7</v>
          </cell>
          <cell r="Q526" t="str">
            <v>Other Locations</v>
          </cell>
          <cell r="R526" t="str">
            <v>Amd</v>
          </cell>
          <cell r="S526" t="str">
            <v xml:space="preserve"> </v>
          </cell>
          <cell r="T526" t="str">
            <v>BL</v>
          </cell>
          <cell r="U526">
            <v>2001</v>
          </cell>
          <cell r="V526">
            <v>51500</v>
          </cell>
          <cell r="W526">
            <v>12025</v>
          </cell>
          <cell r="X526">
            <v>4200</v>
          </cell>
          <cell r="AA526">
            <v>500</v>
          </cell>
          <cell r="AB526">
            <v>150</v>
          </cell>
          <cell r="AC526">
            <v>1000</v>
          </cell>
          <cell r="AE526">
            <v>0</v>
          </cell>
          <cell r="AG526">
            <v>4000</v>
          </cell>
          <cell r="AH526">
            <v>21875</v>
          </cell>
          <cell r="AI526">
            <v>262500</v>
          </cell>
          <cell r="AJ526">
            <v>25000</v>
          </cell>
          <cell r="AK526">
            <v>50000</v>
          </cell>
          <cell r="AL526">
            <v>10000</v>
          </cell>
          <cell r="AO526">
            <v>10000</v>
          </cell>
          <cell r="AQ526">
            <v>38961</v>
          </cell>
          <cell r="AR526">
            <v>396461</v>
          </cell>
        </row>
        <row r="527">
          <cell r="M527">
            <v>23</v>
          </cell>
          <cell r="N527" t="str">
            <v>A5</v>
          </cell>
          <cell r="P527">
            <v>7</v>
          </cell>
          <cell r="S527" t="str">
            <v xml:space="preserve"> </v>
          </cell>
          <cell r="U527">
            <v>2002</v>
          </cell>
          <cell r="W527">
            <v>14175</v>
          </cell>
          <cell r="X527">
            <v>6500</v>
          </cell>
          <cell r="Z527">
            <v>0</v>
          </cell>
          <cell r="AA527">
            <v>500</v>
          </cell>
          <cell r="AB527">
            <v>150</v>
          </cell>
          <cell r="AC527">
            <v>1000</v>
          </cell>
          <cell r="AF527">
            <v>0</v>
          </cell>
          <cell r="AG527">
            <v>4000</v>
          </cell>
          <cell r="AH527">
            <v>26325</v>
          </cell>
          <cell r="AI527">
            <v>315900</v>
          </cell>
          <cell r="AJ527">
            <v>25000</v>
          </cell>
          <cell r="AK527">
            <v>50000</v>
          </cell>
          <cell r="AL527">
            <v>15000</v>
          </cell>
          <cell r="AM527">
            <v>0</v>
          </cell>
          <cell r="AN527">
            <v>0</v>
          </cell>
          <cell r="AO527">
            <v>10000</v>
          </cell>
          <cell r="AP527">
            <v>0</v>
          </cell>
          <cell r="AQ527">
            <v>45927</v>
          </cell>
          <cell r="AR527">
            <v>461827</v>
          </cell>
          <cell r="AS527">
            <v>0</v>
          </cell>
        </row>
        <row r="528">
          <cell r="P528">
            <v>7</v>
          </cell>
          <cell r="S528" t="str">
            <v xml:space="preserve"> </v>
          </cell>
          <cell r="U528" t="str">
            <v>DIFF.</v>
          </cell>
          <cell r="W528">
            <v>2150</v>
          </cell>
          <cell r="X528">
            <v>2300</v>
          </cell>
          <cell r="Z528">
            <v>0</v>
          </cell>
          <cell r="AA528">
            <v>0</v>
          </cell>
          <cell r="AB528">
            <v>0</v>
          </cell>
          <cell r="AC528">
            <v>0</v>
          </cell>
          <cell r="AE528">
            <v>0</v>
          </cell>
          <cell r="AF528">
            <v>0</v>
          </cell>
          <cell r="AG528">
            <v>0</v>
          </cell>
          <cell r="AH528">
            <v>4450</v>
          </cell>
          <cell r="AI528">
            <v>53400</v>
          </cell>
          <cell r="AJ528">
            <v>0</v>
          </cell>
          <cell r="AK528">
            <v>0</v>
          </cell>
          <cell r="AL528">
            <v>5000</v>
          </cell>
          <cell r="AM528">
            <v>0</v>
          </cell>
          <cell r="AN528">
            <v>0</v>
          </cell>
          <cell r="AO528">
            <v>0</v>
          </cell>
          <cell r="AP528">
            <v>0</v>
          </cell>
          <cell r="AQ528">
            <v>6966</v>
          </cell>
          <cell r="AR528">
            <v>65366</v>
          </cell>
          <cell r="AS528">
            <v>16.489999999999998</v>
          </cell>
        </row>
        <row r="529">
          <cell r="P529">
            <v>7</v>
          </cell>
          <cell r="S529" t="str">
            <v xml:space="preserve"> </v>
          </cell>
        </row>
        <row r="530">
          <cell r="G530">
            <v>2312</v>
          </cell>
          <cell r="H530" t="str">
            <v>MR M. RAVIKUMAR</v>
          </cell>
          <cell r="I530">
            <v>25375</v>
          </cell>
          <cell r="J530">
            <v>34416</v>
          </cell>
          <cell r="K530">
            <v>11903</v>
          </cell>
          <cell r="L530" t="str">
            <v>MA</v>
          </cell>
          <cell r="M530">
            <v>23</v>
          </cell>
          <cell r="N530" t="str">
            <v>A5</v>
          </cell>
          <cell r="O530" t="str">
            <v>MA</v>
          </cell>
          <cell r="P530">
            <v>2</v>
          </cell>
          <cell r="Q530" t="str">
            <v>Chennai</v>
          </cell>
          <cell r="R530" t="str">
            <v>Chennai</v>
          </cell>
          <cell r="S530" t="str">
            <v xml:space="preserve"> </v>
          </cell>
          <cell r="T530" t="str">
            <v>CA</v>
          </cell>
          <cell r="U530">
            <v>2001</v>
          </cell>
          <cell r="V530">
            <v>43500</v>
          </cell>
          <cell r="W530">
            <v>11500</v>
          </cell>
          <cell r="X530">
            <v>4050</v>
          </cell>
          <cell r="AA530">
            <v>500</v>
          </cell>
          <cell r="AB530">
            <v>150</v>
          </cell>
          <cell r="AC530">
            <v>1000</v>
          </cell>
          <cell r="AE530">
            <v>450</v>
          </cell>
          <cell r="AG530">
            <v>4000</v>
          </cell>
          <cell r="AH530">
            <v>21650</v>
          </cell>
          <cell r="AI530">
            <v>259800</v>
          </cell>
          <cell r="AJ530">
            <v>25000</v>
          </cell>
          <cell r="AK530">
            <v>50000</v>
          </cell>
          <cell r="AL530">
            <v>10000</v>
          </cell>
          <cell r="AO530">
            <v>10000</v>
          </cell>
          <cell r="AQ530">
            <v>37260</v>
          </cell>
          <cell r="AR530">
            <v>392060</v>
          </cell>
        </row>
        <row r="531">
          <cell r="M531">
            <v>23</v>
          </cell>
          <cell r="N531" t="str">
            <v>A5</v>
          </cell>
          <cell r="P531">
            <v>2</v>
          </cell>
          <cell r="S531" t="str">
            <v xml:space="preserve"> </v>
          </cell>
          <cell r="U531">
            <v>2002</v>
          </cell>
          <cell r="W531">
            <v>13150</v>
          </cell>
          <cell r="X531">
            <v>7000</v>
          </cell>
          <cell r="Z531">
            <v>0</v>
          </cell>
          <cell r="AA531">
            <v>500</v>
          </cell>
          <cell r="AB531">
            <v>150</v>
          </cell>
          <cell r="AC531">
            <v>1000</v>
          </cell>
          <cell r="AF531">
            <v>0</v>
          </cell>
          <cell r="AG531">
            <v>4000</v>
          </cell>
          <cell r="AH531">
            <v>25800</v>
          </cell>
          <cell r="AI531">
            <v>309600</v>
          </cell>
          <cell r="AJ531">
            <v>25000</v>
          </cell>
          <cell r="AK531">
            <v>50000</v>
          </cell>
          <cell r="AL531">
            <v>15000</v>
          </cell>
          <cell r="AM531">
            <v>0</v>
          </cell>
          <cell r="AN531">
            <v>0</v>
          </cell>
          <cell r="AO531">
            <v>10000</v>
          </cell>
          <cell r="AP531">
            <v>0</v>
          </cell>
          <cell r="AQ531">
            <v>42606</v>
          </cell>
          <cell r="AR531">
            <v>452206</v>
          </cell>
          <cell r="AS531">
            <v>0</v>
          </cell>
        </row>
        <row r="532">
          <cell r="P532">
            <v>2</v>
          </cell>
          <cell r="S532" t="str">
            <v xml:space="preserve"> </v>
          </cell>
          <cell r="U532" t="str">
            <v>DIFF.</v>
          </cell>
          <cell r="W532">
            <v>1650</v>
          </cell>
          <cell r="X532">
            <v>2950</v>
          </cell>
          <cell r="Z532">
            <v>0</v>
          </cell>
          <cell r="AA532">
            <v>0</v>
          </cell>
          <cell r="AB532">
            <v>0</v>
          </cell>
          <cell r="AC532">
            <v>0</v>
          </cell>
          <cell r="AE532">
            <v>-450</v>
          </cell>
          <cell r="AF532">
            <v>0</v>
          </cell>
          <cell r="AG532">
            <v>0</v>
          </cell>
          <cell r="AH532">
            <v>4150</v>
          </cell>
          <cell r="AI532">
            <v>49800</v>
          </cell>
          <cell r="AJ532">
            <v>0</v>
          </cell>
          <cell r="AK532">
            <v>0</v>
          </cell>
          <cell r="AL532">
            <v>5000</v>
          </cell>
          <cell r="AM532">
            <v>0</v>
          </cell>
          <cell r="AN532">
            <v>0</v>
          </cell>
          <cell r="AO532">
            <v>0</v>
          </cell>
          <cell r="AP532">
            <v>0</v>
          </cell>
          <cell r="AQ532">
            <v>5346</v>
          </cell>
          <cell r="AR532">
            <v>60146</v>
          </cell>
          <cell r="AS532">
            <v>15.34</v>
          </cell>
        </row>
        <row r="533">
          <cell r="P533">
            <v>2</v>
          </cell>
          <cell r="S533" t="str">
            <v xml:space="preserve"> </v>
          </cell>
        </row>
        <row r="534">
          <cell r="G534">
            <v>2313</v>
          </cell>
          <cell r="H534" t="str">
            <v>MR BHUPENDRA SHARMA</v>
          </cell>
          <cell r="I534">
            <v>24865</v>
          </cell>
          <cell r="J534">
            <v>34439</v>
          </cell>
          <cell r="K534">
            <v>12413</v>
          </cell>
          <cell r="L534" t="str">
            <v>MA</v>
          </cell>
          <cell r="M534">
            <v>23</v>
          </cell>
          <cell r="N534" t="str">
            <v>A5</v>
          </cell>
          <cell r="O534" t="str">
            <v>MA</v>
          </cell>
          <cell r="P534">
            <v>3</v>
          </cell>
          <cell r="Q534" t="str">
            <v>Delhi</v>
          </cell>
          <cell r="R534" t="str">
            <v>Delhi</v>
          </cell>
          <cell r="S534" t="str">
            <v xml:space="preserve"> </v>
          </cell>
          <cell r="T534" t="str">
            <v>CA</v>
          </cell>
          <cell r="U534">
            <v>2001</v>
          </cell>
          <cell r="V534">
            <v>43500</v>
          </cell>
          <cell r="W534">
            <v>11025</v>
          </cell>
          <cell r="X534">
            <v>4000</v>
          </cell>
          <cell r="AA534">
            <v>500</v>
          </cell>
          <cell r="AB534">
            <v>150</v>
          </cell>
          <cell r="AC534">
            <v>1000</v>
          </cell>
          <cell r="AE534">
            <v>450</v>
          </cell>
          <cell r="AG534">
            <v>4000</v>
          </cell>
          <cell r="AH534">
            <v>21125</v>
          </cell>
          <cell r="AI534">
            <v>253500</v>
          </cell>
          <cell r="AJ534">
            <v>25000</v>
          </cell>
          <cell r="AK534">
            <v>50000</v>
          </cell>
          <cell r="AL534">
            <v>10000</v>
          </cell>
          <cell r="AO534">
            <v>10000</v>
          </cell>
          <cell r="AQ534">
            <v>35721</v>
          </cell>
          <cell r="AR534">
            <v>384221</v>
          </cell>
        </row>
        <row r="535">
          <cell r="M535">
            <v>23</v>
          </cell>
          <cell r="N535" t="str">
            <v>A5</v>
          </cell>
          <cell r="P535">
            <v>3</v>
          </cell>
          <cell r="S535" t="str">
            <v xml:space="preserve"> </v>
          </cell>
          <cell r="U535">
            <v>2002</v>
          </cell>
          <cell r="W535">
            <v>12675</v>
          </cell>
          <cell r="X535">
            <v>7000</v>
          </cell>
          <cell r="Z535">
            <v>0</v>
          </cell>
          <cell r="AA535">
            <v>500</v>
          </cell>
          <cell r="AB535">
            <v>150</v>
          </cell>
          <cell r="AC535">
            <v>1000</v>
          </cell>
          <cell r="AF535">
            <v>0</v>
          </cell>
          <cell r="AG535">
            <v>4000</v>
          </cell>
          <cell r="AH535">
            <v>25325</v>
          </cell>
          <cell r="AI535">
            <v>303900</v>
          </cell>
          <cell r="AJ535">
            <v>25000</v>
          </cell>
          <cell r="AK535">
            <v>50000</v>
          </cell>
          <cell r="AL535">
            <v>15000</v>
          </cell>
          <cell r="AM535">
            <v>0</v>
          </cell>
          <cell r="AN535">
            <v>0</v>
          </cell>
          <cell r="AO535">
            <v>10000</v>
          </cell>
          <cell r="AP535">
            <v>0</v>
          </cell>
          <cell r="AQ535">
            <v>41067</v>
          </cell>
          <cell r="AR535">
            <v>444967</v>
          </cell>
          <cell r="AS535">
            <v>0</v>
          </cell>
        </row>
        <row r="536">
          <cell r="P536">
            <v>3</v>
          </cell>
          <cell r="S536" t="str">
            <v xml:space="preserve"> </v>
          </cell>
          <cell r="U536" t="str">
            <v>DIFF.</v>
          </cell>
          <cell r="W536">
            <v>1650</v>
          </cell>
          <cell r="X536">
            <v>3000</v>
          </cell>
          <cell r="Z536">
            <v>0</v>
          </cell>
          <cell r="AA536">
            <v>0</v>
          </cell>
          <cell r="AB536">
            <v>0</v>
          </cell>
          <cell r="AC536">
            <v>0</v>
          </cell>
          <cell r="AE536">
            <v>-450</v>
          </cell>
          <cell r="AF536">
            <v>0</v>
          </cell>
          <cell r="AG536">
            <v>0</v>
          </cell>
          <cell r="AH536">
            <v>4200</v>
          </cell>
          <cell r="AI536">
            <v>50400</v>
          </cell>
          <cell r="AJ536">
            <v>0</v>
          </cell>
          <cell r="AK536">
            <v>0</v>
          </cell>
          <cell r="AL536">
            <v>5000</v>
          </cell>
          <cell r="AM536">
            <v>0</v>
          </cell>
          <cell r="AN536">
            <v>0</v>
          </cell>
          <cell r="AO536">
            <v>0</v>
          </cell>
          <cell r="AP536">
            <v>0</v>
          </cell>
          <cell r="AQ536">
            <v>5346</v>
          </cell>
          <cell r="AR536">
            <v>60746</v>
          </cell>
          <cell r="AS536">
            <v>15.81</v>
          </cell>
        </row>
        <row r="537">
          <cell r="P537">
            <v>3</v>
          </cell>
          <cell r="S537" t="str">
            <v xml:space="preserve"> </v>
          </cell>
        </row>
        <row r="538">
          <cell r="G538">
            <v>2338</v>
          </cell>
          <cell r="H538" t="str">
            <v>MR MUKESH NARAYAN</v>
          </cell>
          <cell r="I538">
            <v>25769</v>
          </cell>
          <cell r="J538">
            <v>35573</v>
          </cell>
          <cell r="K538">
            <v>11509</v>
          </cell>
          <cell r="L538" t="str">
            <v>MA</v>
          </cell>
          <cell r="M538">
            <v>23</v>
          </cell>
          <cell r="N538" t="str">
            <v>A6</v>
          </cell>
          <cell r="O538" t="str">
            <v>MA</v>
          </cell>
          <cell r="P538">
            <v>7</v>
          </cell>
          <cell r="Q538" t="str">
            <v>Other Locations</v>
          </cell>
          <cell r="R538" t="str">
            <v>Amd</v>
          </cell>
          <cell r="S538" t="str">
            <v xml:space="preserve"> </v>
          </cell>
          <cell r="T538" t="str">
            <v>CA</v>
          </cell>
          <cell r="U538">
            <v>2001</v>
          </cell>
          <cell r="V538">
            <v>43500</v>
          </cell>
          <cell r="W538">
            <v>11555</v>
          </cell>
          <cell r="X538">
            <v>4050</v>
          </cell>
          <cell r="AA538">
            <v>500</v>
          </cell>
          <cell r="AB538">
            <v>150</v>
          </cell>
          <cell r="AC538">
            <v>1000</v>
          </cell>
          <cell r="AE538">
            <v>0</v>
          </cell>
          <cell r="AF538">
            <v>500</v>
          </cell>
          <cell r="AG538">
            <v>4000</v>
          </cell>
          <cell r="AH538">
            <v>21755</v>
          </cell>
          <cell r="AI538">
            <v>261060</v>
          </cell>
          <cell r="AJ538">
            <v>25000</v>
          </cell>
          <cell r="AK538">
            <v>50000</v>
          </cell>
          <cell r="AL538">
            <v>10000</v>
          </cell>
          <cell r="AM538">
            <v>0</v>
          </cell>
          <cell r="AN538">
            <v>0</v>
          </cell>
          <cell r="AO538">
            <v>10000</v>
          </cell>
          <cell r="AP538">
            <v>0</v>
          </cell>
          <cell r="AQ538">
            <v>37438</v>
          </cell>
          <cell r="AR538">
            <v>393498</v>
          </cell>
          <cell r="AS538">
            <v>0</v>
          </cell>
        </row>
        <row r="539">
          <cell r="M539">
            <v>23</v>
          </cell>
          <cell r="N539" t="str">
            <v>A6</v>
          </cell>
          <cell r="P539">
            <v>7</v>
          </cell>
          <cell r="S539" t="str">
            <v xml:space="preserve"> </v>
          </cell>
          <cell r="U539">
            <v>2002</v>
          </cell>
          <cell r="W539">
            <v>13205</v>
          </cell>
          <cell r="X539">
            <v>6500</v>
          </cell>
          <cell r="Z539">
            <v>0</v>
          </cell>
          <cell r="AA539">
            <v>500</v>
          </cell>
          <cell r="AB539">
            <v>150</v>
          </cell>
          <cell r="AC539">
            <v>1000</v>
          </cell>
          <cell r="AF539">
            <v>500</v>
          </cell>
          <cell r="AG539">
            <v>4000</v>
          </cell>
          <cell r="AH539">
            <v>25855</v>
          </cell>
          <cell r="AI539">
            <v>310260</v>
          </cell>
          <cell r="AJ539">
            <v>25000</v>
          </cell>
          <cell r="AK539">
            <v>50000</v>
          </cell>
          <cell r="AL539">
            <v>15000</v>
          </cell>
          <cell r="AM539">
            <v>0</v>
          </cell>
          <cell r="AN539">
            <v>0</v>
          </cell>
          <cell r="AO539">
            <v>10000</v>
          </cell>
          <cell r="AP539">
            <v>0</v>
          </cell>
          <cell r="AQ539">
            <v>42784</v>
          </cell>
          <cell r="AR539">
            <v>453044</v>
          </cell>
          <cell r="AS539">
            <v>0</v>
          </cell>
        </row>
        <row r="540">
          <cell r="P540">
            <v>7</v>
          </cell>
          <cell r="S540" t="str">
            <v xml:space="preserve"> </v>
          </cell>
          <cell r="U540" t="str">
            <v>DIFF.</v>
          </cell>
          <cell r="W540">
            <v>1650</v>
          </cell>
          <cell r="X540">
            <v>2450</v>
          </cell>
          <cell r="Z540">
            <v>0</v>
          </cell>
          <cell r="AA540">
            <v>0</v>
          </cell>
          <cell r="AB540">
            <v>0</v>
          </cell>
          <cell r="AC540">
            <v>0</v>
          </cell>
          <cell r="AE540">
            <v>0</v>
          </cell>
          <cell r="AF540">
            <v>0</v>
          </cell>
          <cell r="AG540">
            <v>0</v>
          </cell>
          <cell r="AH540">
            <v>4100</v>
          </cell>
          <cell r="AI540">
            <v>49200</v>
          </cell>
          <cell r="AJ540">
            <v>0</v>
          </cell>
          <cell r="AK540">
            <v>0</v>
          </cell>
          <cell r="AL540">
            <v>5000</v>
          </cell>
          <cell r="AM540">
            <v>0</v>
          </cell>
          <cell r="AN540">
            <v>0</v>
          </cell>
          <cell r="AO540">
            <v>0</v>
          </cell>
          <cell r="AP540">
            <v>0</v>
          </cell>
          <cell r="AQ540">
            <v>5346</v>
          </cell>
          <cell r="AR540">
            <v>59546</v>
          </cell>
          <cell r="AS540">
            <v>15.13</v>
          </cell>
        </row>
        <row r="541">
          <cell r="P541">
            <v>7</v>
          </cell>
          <cell r="S541" t="str">
            <v xml:space="preserve"> </v>
          </cell>
        </row>
        <row r="542">
          <cell r="G542">
            <v>2339</v>
          </cell>
          <cell r="H542" t="str">
            <v>MR GAURAV KATYAL</v>
          </cell>
          <cell r="I542">
            <v>26330</v>
          </cell>
          <cell r="J542">
            <v>35583</v>
          </cell>
          <cell r="K542">
            <v>10948</v>
          </cell>
          <cell r="L542" t="str">
            <v>MA</v>
          </cell>
          <cell r="M542">
            <v>23</v>
          </cell>
          <cell r="N542" t="str">
            <v>A5</v>
          </cell>
          <cell r="O542" t="str">
            <v>MA</v>
          </cell>
          <cell r="P542">
            <v>3</v>
          </cell>
          <cell r="Q542" t="str">
            <v>Delhi</v>
          </cell>
          <cell r="R542" t="str">
            <v>Delhi</v>
          </cell>
          <cell r="S542" t="str">
            <v xml:space="preserve"> </v>
          </cell>
          <cell r="T542" t="str">
            <v>CA</v>
          </cell>
          <cell r="U542">
            <v>2001</v>
          </cell>
          <cell r="V542">
            <v>43500</v>
          </cell>
          <cell r="W542">
            <v>10700</v>
          </cell>
          <cell r="X542">
            <v>4000</v>
          </cell>
          <cell r="AA542">
            <v>500</v>
          </cell>
          <cell r="AB542">
            <v>150</v>
          </cell>
          <cell r="AC542">
            <v>1000</v>
          </cell>
          <cell r="AE542">
            <v>450</v>
          </cell>
          <cell r="AG542">
            <v>4000</v>
          </cell>
          <cell r="AH542">
            <v>20800</v>
          </cell>
          <cell r="AI542">
            <v>249600</v>
          </cell>
          <cell r="AJ542">
            <v>25000</v>
          </cell>
          <cell r="AK542">
            <v>50000</v>
          </cell>
          <cell r="AL542">
            <v>10000</v>
          </cell>
          <cell r="AO542">
            <v>10000</v>
          </cell>
          <cell r="AQ542">
            <v>34668</v>
          </cell>
          <cell r="AR542">
            <v>379268</v>
          </cell>
        </row>
        <row r="543">
          <cell r="M543">
            <v>23</v>
          </cell>
          <cell r="N543" t="str">
            <v>A5</v>
          </cell>
          <cell r="P543">
            <v>3</v>
          </cell>
          <cell r="S543" t="str">
            <v xml:space="preserve"> </v>
          </cell>
          <cell r="U543">
            <v>2002</v>
          </cell>
          <cell r="W543">
            <v>12350</v>
          </cell>
          <cell r="X543">
            <v>7000</v>
          </cell>
          <cell r="Z543">
            <v>0</v>
          </cell>
          <cell r="AA543">
            <v>500</v>
          </cell>
          <cell r="AB543">
            <v>150</v>
          </cell>
          <cell r="AC543">
            <v>1000</v>
          </cell>
          <cell r="AF543">
            <v>0</v>
          </cell>
          <cell r="AG543">
            <v>4000</v>
          </cell>
          <cell r="AH543">
            <v>25000</v>
          </cell>
          <cell r="AI543">
            <v>300000</v>
          </cell>
          <cell r="AJ543">
            <v>25000</v>
          </cell>
          <cell r="AK543">
            <v>50000</v>
          </cell>
          <cell r="AL543">
            <v>15000</v>
          </cell>
          <cell r="AM543">
            <v>0</v>
          </cell>
          <cell r="AN543">
            <v>0</v>
          </cell>
          <cell r="AO543">
            <v>10000</v>
          </cell>
          <cell r="AP543">
            <v>0</v>
          </cell>
          <cell r="AQ543">
            <v>40014</v>
          </cell>
          <cell r="AR543">
            <v>440014</v>
          </cell>
          <cell r="AS543">
            <v>0</v>
          </cell>
        </row>
        <row r="544">
          <cell r="P544">
            <v>3</v>
          </cell>
          <cell r="S544" t="str">
            <v xml:space="preserve"> </v>
          </cell>
          <cell r="U544" t="str">
            <v>DIFF.</v>
          </cell>
          <cell r="W544">
            <v>1650</v>
          </cell>
          <cell r="X544">
            <v>3000</v>
          </cell>
          <cell r="Z544">
            <v>0</v>
          </cell>
          <cell r="AA544">
            <v>0</v>
          </cell>
          <cell r="AB544">
            <v>0</v>
          </cell>
          <cell r="AC544">
            <v>0</v>
          </cell>
          <cell r="AE544">
            <v>-450</v>
          </cell>
          <cell r="AF544">
            <v>0</v>
          </cell>
          <cell r="AG544">
            <v>0</v>
          </cell>
          <cell r="AH544">
            <v>4200</v>
          </cell>
          <cell r="AI544">
            <v>50400</v>
          </cell>
          <cell r="AJ544">
            <v>0</v>
          </cell>
          <cell r="AK544">
            <v>0</v>
          </cell>
          <cell r="AL544">
            <v>5000</v>
          </cell>
          <cell r="AM544">
            <v>0</v>
          </cell>
          <cell r="AN544">
            <v>0</v>
          </cell>
          <cell r="AO544">
            <v>0</v>
          </cell>
          <cell r="AP544">
            <v>0</v>
          </cell>
          <cell r="AQ544">
            <v>5346</v>
          </cell>
          <cell r="AR544">
            <v>60746</v>
          </cell>
          <cell r="AS544">
            <v>16.02</v>
          </cell>
        </row>
        <row r="545">
          <cell r="P545">
            <v>3</v>
          </cell>
          <cell r="S545" t="str">
            <v xml:space="preserve"> </v>
          </cell>
        </row>
        <row r="546">
          <cell r="G546">
            <v>2390</v>
          </cell>
          <cell r="H546" t="str">
            <v>MR CHAVA RAMESH BABU</v>
          </cell>
          <cell r="I546">
            <v>24634</v>
          </cell>
          <cell r="J546">
            <v>36304</v>
          </cell>
          <cell r="K546">
            <v>12644</v>
          </cell>
          <cell r="L546" t="str">
            <v>MA</v>
          </cell>
          <cell r="M546">
            <v>23</v>
          </cell>
          <cell r="N546" t="str">
            <v>A5</v>
          </cell>
          <cell r="O546" t="str">
            <v>MA</v>
          </cell>
          <cell r="P546">
            <v>7</v>
          </cell>
          <cell r="Q546" t="str">
            <v>Other Locations</v>
          </cell>
          <cell r="R546" t="str">
            <v>Vijaywada (Ap)</v>
          </cell>
          <cell r="S546" t="str">
            <v xml:space="preserve"> </v>
          </cell>
          <cell r="T546" t="str">
            <v>CA</v>
          </cell>
          <cell r="U546">
            <v>2001</v>
          </cell>
          <cell r="V546">
            <v>43500</v>
          </cell>
          <cell r="W546">
            <v>10935</v>
          </cell>
          <cell r="X546">
            <v>4000</v>
          </cell>
          <cell r="AA546">
            <v>500</v>
          </cell>
          <cell r="AB546">
            <v>150</v>
          </cell>
          <cell r="AC546">
            <v>1000</v>
          </cell>
          <cell r="AE546">
            <v>0</v>
          </cell>
          <cell r="AG546">
            <v>4000</v>
          </cell>
          <cell r="AH546">
            <v>20585</v>
          </cell>
          <cell r="AI546">
            <v>247020</v>
          </cell>
          <cell r="AJ546">
            <v>25000</v>
          </cell>
          <cell r="AK546">
            <v>50000</v>
          </cell>
          <cell r="AL546">
            <v>10000</v>
          </cell>
          <cell r="AO546">
            <v>10000</v>
          </cell>
          <cell r="AQ546">
            <v>35429</v>
          </cell>
          <cell r="AR546">
            <v>377449</v>
          </cell>
        </row>
        <row r="547">
          <cell r="M547">
            <v>23</v>
          </cell>
          <cell r="N547" t="str">
            <v>A5</v>
          </cell>
          <cell r="P547">
            <v>7</v>
          </cell>
          <cell r="S547" t="str">
            <v xml:space="preserve"> </v>
          </cell>
          <cell r="U547">
            <v>2002</v>
          </cell>
          <cell r="W547">
            <v>12585</v>
          </cell>
          <cell r="X547">
            <v>6500</v>
          </cell>
          <cell r="Z547">
            <v>0</v>
          </cell>
          <cell r="AA547">
            <v>500</v>
          </cell>
          <cell r="AB547">
            <v>150</v>
          </cell>
          <cell r="AC547">
            <v>1000</v>
          </cell>
          <cell r="AF547">
            <v>0</v>
          </cell>
          <cell r="AG547">
            <v>4000</v>
          </cell>
          <cell r="AH547">
            <v>24735</v>
          </cell>
          <cell r="AI547">
            <v>296820</v>
          </cell>
          <cell r="AJ547">
            <v>25000</v>
          </cell>
          <cell r="AK547">
            <v>50000</v>
          </cell>
          <cell r="AL547">
            <v>15000</v>
          </cell>
          <cell r="AM547">
            <v>0</v>
          </cell>
          <cell r="AN547">
            <v>0</v>
          </cell>
          <cell r="AO547">
            <v>10000</v>
          </cell>
          <cell r="AP547">
            <v>0</v>
          </cell>
          <cell r="AQ547">
            <v>40775</v>
          </cell>
          <cell r="AR547">
            <v>437595</v>
          </cell>
          <cell r="AS547">
            <v>0</v>
          </cell>
        </row>
        <row r="548">
          <cell r="P548">
            <v>7</v>
          </cell>
          <cell r="S548" t="str">
            <v xml:space="preserve"> </v>
          </cell>
          <cell r="U548" t="str">
            <v>DIFF.</v>
          </cell>
          <cell r="W548">
            <v>1650</v>
          </cell>
          <cell r="X548">
            <v>2500</v>
          </cell>
          <cell r="Z548">
            <v>0</v>
          </cell>
          <cell r="AA548">
            <v>0</v>
          </cell>
          <cell r="AB548">
            <v>0</v>
          </cell>
          <cell r="AC548">
            <v>0</v>
          </cell>
          <cell r="AE548">
            <v>0</v>
          </cell>
          <cell r="AF548">
            <v>0</v>
          </cell>
          <cell r="AG548">
            <v>0</v>
          </cell>
          <cell r="AH548">
            <v>4150</v>
          </cell>
          <cell r="AI548">
            <v>49800</v>
          </cell>
          <cell r="AJ548">
            <v>0</v>
          </cell>
          <cell r="AK548">
            <v>0</v>
          </cell>
          <cell r="AL548">
            <v>5000</v>
          </cell>
          <cell r="AM548">
            <v>0</v>
          </cell>
          <cell r="AN548">
            <v>0</v>
          </cell>
          <cell r="AO548">
            <v>0</v>
          </cell>
          <cell r="AP548">
            <v>0</v>
          </cell>
          <cell r="AQ548">
            <v>5346</v>
          </cell>
          <cell r="AR548">
            <v>60146</v>
          </cell>
          <cell r="AS548">
            <v>15.93</v>
          </cell>
        </row>
        <row r="549">
          <cell r="P549">
            <v>7</v>
          </cell>
          <cell r="S549" t="str">
            <v xml:space="preserve"> </v>
          </cell>
        </row>
        <row r="550">
          <cell r="G550">
            <v>2391</v>
          </cell>
          <cell r="H550" t="str">
            <v>MR P.PRASAD</v>
          </cell>
          <cell r="I550">
            <v>25287</v>
          </cell>
          <cell r="J550">
            <v>36312</v>
          </cell>
          <cell r="K550">
            <v>11991</v>
          </cell>
          <cell r="L550" t="str">
            <v>MA</v>
          </cell>
          <cell r="M550">
            <v>23</v>
          </cell>
          <cell r="N550" t="str">
            <v>A5</v>
          </cell>
          <cell r="O550" t="str">
            <v>MA</v>
          </cell>
          <cell r="P550">
            <v>7</v>
          </cell>
          <cell r="Q550" t="str">
            <v>Other Locations</v>
          </cell>
          <cell r="R550" t="str">
            <v>Pune</v>
          </cell>
          <cell r="S550" t="str">
            <v xml:space="preserve"> </v>
          </cell>
          <cell r="T550" t="str">
            <v>CA</v>
          </cell>
          <cell r="U550">
            <v>2001</v>
          </cell>
          <cell r="V550">
            <v>43500</v>
          </cell>
          <cell r="W550">
            <v>6210</v>
          </cell>
          <cell r="X550">
            <v>4000</v>
          </cell>
          <cell r="AA550">
            <v>500</v>
          </cell>
          <cell r="AB550">
            <v>150</v>
          </cell>
          <cell r="AC550">
            <v>1000</v>
          </cell>
          <cell r="AE550">
            <v>0</v>
          </cell>
          <cell r="AG550">
            <v>4000</v>
          </cell>
          <cell r="AH550">
            <v>15860</v>
          </cell>
          <cell r="AI550">
            <v>190320</v>
          </cell>
          <cell r="AJ550">
            <v>25000</v>
          </cell>
          <cell r="AK550">
            <v>50000</v>
          </cell>
          <cell r="AL550">
            <v>10000</v>
          </cell>
          <cell r="AO550">
            <v>10000</v>
          </cell>
          <cell r="AQ550">
            <v>20120</v>
          </cell>
          <cell r="AR550">
            <v>305440</v>
          </cell>
        </row>
        <row r="551">
          <cell r="M551">
            <v>23</v>
          </cell>
          <cell r="N551" t="str">
            <v>A5</v>
          </cell>
          <cell r="P551">
            <v>7</v>
          </cell>
          <cell r="S551" t="str">
            <v xml:space="preserve"> </v>
          </cell>
          <cell r="U551">
            <v>2002</v>
          </cell>
          <cell r="W551">
            <v>7860</v>
          </cell>
          <cell r="X551">
            <v>6500</v>
          </cell>
          <cell r="Z551">
            <v>0</v>
          </cell>
          <cell r="AA551">
            <v>500</v>
          </cell>
          <cell r="AB551">
            <v>150</v>
          </cell>
          <cell r="AC551">
            <v>1000</v>
          </cell>
          <cell r="AF551">
            <v>0</v>
          </cell>
          <cell r="AG551">
            <v>4000</v>
          </cell>
          <cell r="AH551">
            <v>20010</v>
          </cell>
          <cell r="AI551">
            <v>240120</v>
          </cell>
          <cell r="AJ551">
            <v>25000</v>
          </cell>
          <cell r="AK551">
            <v>50000</v>
          </cell>
          <cell r="AL551">
            <v>15000</v>
          </cell>
          <cell r="AM551">
            <v>0</v>
          </cell>
          <cell r="AN551">
            <v>0</v>
          </cell>
          <cell r="AO551">
            <v>10000</v>
          </cell>
          <cell r="AP551">
            <v>0</v>
          </cell>
          <cell r="AQ551">
            <v>25466</v>
          </cell>
          <cell r="AR551">
            <v>365586</v>
          </cell>
          <cell r="AS551">
            <v>0</v>
          </cell>
        </row>
        <row r="552">
          <cell r="P552">
            <v>7</v>
          </cell>
          <cell r="S552" t="str">
            <v xml:space="preserve"> </v>
          </cell>
          <cell r="U552" t="str">
            <v>DIFF.</v>
          </cell>
          <cell r="W552">
            <v>1650</v>
          </cell>
          <cell r="X552">
            <v>2500</v>
          </cell>
          <cell r="Z552">
            <v>0</v>
          </cell>
          <cell r="AA552">
            <v>0</v>
          </cell>
          <cell r="AB552">
            <v>0</v>
          </cell>
          <cell r="AC552">
            <v>0</v>
          </cell>
          <cell r="AE552">
            <v>0</v>
          </cell>
          <cell r="AF552">
            <v>0</v>
          </cell>
          <cell r="AG552">
            <v>0</v>
          </cell>
          <cell r="AH552">
            <v>4150</v>
          </cell>
          <cell r="AI552">
            <v>49800</v>
          </cell>
          <cell r="AJ552">
            <v>0</v>
          </cell>
          <cell r="AK552">
            <v>0</v>
          </cell>
          <cell r="AL552">
            <v>5000</v>
          </cell>
          <cell r="AM552">
            <v>0</v>
          </cell>
          <cell r="AN552">
            <v>0</v>
          </cell>
          <cell r="AO552">
            <v>0</v>
          </cell>
          <cell r="AP552">
            <v>0</v>
          </cell>
          <cell r="AQ552">
            <v>5346</v>
          </cell>
          <cell r="AR552">
            <v>60146</v>
          </cell>
          <cell r="AS552">
            <v>19.690000000000001</v>
          </cell>
        </row>
        <row r="553">
          <cell r="P553">
            <v>7</v>
          </cell>
          <cell r="S553" t="str">
            <v xml:space="preserve"> </v>
          </cell>
        </row>
        <row r="554">
          <cell r="G554">
            <v>2392</v>
          </cell>
          <cell r="H554" t="str">
            <v>MR MADHUKAR CHUGH</v>
          </cell>
          <cell r="I554">
            <v>25565</v>
          </cell>
          <cell r="J554">
            <v>36312</v>
          </cell>
          <cell r="K554">
            <v>11713</v>
          </cell>
          <cell r="L554" t="str">
            <v>MA</v>
          </cell>
          <cell r="M554">
            <v>23</v>
          </cell>
          <cell r="N554" t="str">
            <v>A5</v>
          </cell>
          <cell r="O554" t="str">
            <v>MA</v>
          </cell>
          <cell r="P554">
            <v>7</v>
          </cell>
          <cell r="Q554" t="str">
            <v>Other Locations</v>
          </cell>
          <cell r="R554" t="str">
            <v>Indore</v>
          </cell>
          <cell r="S554" t="str">
            <v xml:space="preserve"> </v>
          </cell>
          <cell r="T554" t="str">
            <v>BA</v>
          </cell>
          <cell r="U554">
            <v>2001</v>
          </cell>
          <cell r="V554">
            <v>51500</v>
          </cell>
          <cell r="W554">
            <v>9035</v>
          </cell>
          <cell r="X554">
            <v>4000</v>
          </cell>
          <cell r="AA554">
            <v>500</v>
          </cell>
          <cell r="AB554">
            <v>150</v>
          </cell>
          <cell r="AC554">
            <v>1000</v>
          </cell>
          <cell r="AE554">
            <v>0</v>
          </cell>
          <cell r="AG554">
            <v>4000</v>
          </cell>
          <cell r="AH554">
            <v>18685</v>
          </cell>
          <cell r="AI554">
            <v>224220</v>
          </cell>
          <cell r="AJ554">
            <v>25000</v>
          </cell>
          <cell r="AK554">
            <v>50000</v>
          </cell>
          <cell r="AL554">
            <v>10000</v>
          </cell>
          <cell r="AO554">
            <v>10000</v>
          </cell>
          <cell r="AQ554">
            <v>29273</v>
          </cell>
          <cell r="AR554">
            <v>348493</v>
          </cell>
        </row>
        <row r="555">
          <cell r="M555">
            <v>23</v>
          </cell>
          <cell r="N555" t="str">
            <v>A5</v>
          </cell>
          <cell r="P555">
            <v>7</v>
          </cell>
          <cell r="S555" t="str">
            <v xml:space="preserve"> </v>
          </cell>
          <cell r="U555">
            <v>2002</v>
          </cell>
          <cell r="W555">
            <v>11335</v>
          </cell>
          <cell r="X555">
            <v>6500</v>
          </cell>
          <cell r="Z555">
            <v>0</v>
          </cell>
          <cell r="AA555">
            <v>500</v>
          </cell>
          <cell r="AB555">
            <v>150</v>
          </cell>
          <cell r="AC555">
            <v>1000</v>
          </cell>
          <cell r="AF555">
            <v>0</v>
          </cell>
          <cell r="AG555">
            <v>4000</v>
          </cell>
          <cell r="AH555">
            <v>23485</v>
          </cell>
          <cell r="AI555">
            <v>281820</v>
          </cell>
          <cell r="AJ555">
            <v>25000</v>
          </cell>
          <cell r="AK555">
            <v>50000</v>
          </cell>
          <cell r="AL555">
            <v>15000</v>
          </cell>
          <cell r="AM555">
            <v>0</v>
          </cell>
          <cell r="AN555">
            <v>0</v>
          </cell>
          <cell r="AO555">
            <v>10000</v>
          </cell>
          <cell r="AP555">
            <v>0</v>
          </cell>
          <cell r="AQ555">
            <v>36725</v>
          </cell>
          <cell r="AR555">
            <v>418545</v>
          </cell>
          <cell r="AS555">
            <v>0</v>
          </cell>
        </row>
        <row r="556">
          <cell r="P556">
            <v>7</v>
          </cell>
          <cell r="S556" t="str">
            <v xml:space="preserve"> </v>
          </cell>
          <cell r="U556" t="str">
            <v>DIFF.</v>
          </cell>
          <cell r="W556">
            <v>2300</v>
          </cell>
          <cell r="X556">
            <v>2500</v>
          </cell>
          <cell r="Z556">
            <v>0</v>
          </cell>
          <cell r="AA556">
            <v>0</v>
          </cell>
          <cell r="AB556">
            <v>0</v>
          </cell>
          <cell r="AC556">
            <v>0</v>
          </cell>
          <cell r="AE556">
            <v>0</v>
          </cell>
          <cell r="AF556">
            <v>0</v>
          </cell>
          <cell r="AG556">
            <v>0</v>
          </cell>
          <cell r="AH556">
            <v>4800</v>
          </cell>
          <cell r="AI556">
            <v>57600</v>
          </cell>
          <cell r="AJ556">
            <v>0</v>
          </cell>
          <cell r="AK556">
            <v>0</v>
          </cell>
          <cell r="AL556">
            <v>5000</v>
          </cell>
          <cell r="AM556">
            <v>0</v>
          </cell>
          <cell r="AN556">
            <v>0</v>
          </cell>
          <cell r="AO556">
            <v>0</v>
          </cell>
          <cell r="AP556">
            <v>0</v>
          </cell>
          <cell r="AQ556">
            <v>7452</v>
          </cell>
          <cell r="AR556">
            <v>70052</v>
          </cell>
          <cell r="AS556">
            <v>20.100000000000001</v>
          </cell>
        </row>
        <row r="557">
          <cell r="P557">
            <v>7</v>
          </cell>
          <cell r="S557" t="str">
            <v xml:space="preserve"> </v>
          </cell>
        </row>
        <row r="558">
          <cell r="G558">
            <v>1208</v>
          </cell>
          <cell r="H558" t="str">
            <v>MR NARAYAN P P</v>
          </cell>
          <cell r="I558">
            <v>17058</v>
          </cell>
          <cell r="J558">
            <v>27274</v>
          </cell>
          <cell r="K558">
            <v>20220</v>
          </cell>
          <cell r="L558" t="str">
            <v>MA</v>
          </cell>
          <cell r="M558">
            <v>24</v>
          </cell>
          <cell r="O558" t="str">
            <v>MAM</v>
          </cell>
          <cell r="P558">
            <v>1</v>
          </cell>
          <cell r="Q558" t="str">
            <v>Mumbai</v>
          </cell>
          <cell r="R558" t="str">
            <v>Ho</v>
          </cell>
          <cell r="S558" t="str">
            <v xml:space="preserve"> </v>
          </cell>
          <cell r="T558" t="str">
            <v>CL</v>
          </cell>
          <cell r="U558">
            <v>2001</v>
          </cell>
          <cell r="V558">
            <v>66000</v>
          </cell>
          <cell r="W558">
            <v>21250</v>
          </cell>
          <cell r="X558">
            <v>7450</v>
          </cell>
          <cell r="AA558">
            <v>500</v>
          </cell>
          <cell r="AB558">
            <v>150</v>
          </cell>
          <cell r="AC558">
            <v>1250</v>
          </cell>
          <cell r="AE558">
            <v>1000</v>
          </cell>
          <cell r="AG558">
            <v>7000</v>
          </cell>
          <cell r="AH558">
            <v>38600</v>
          </cell>
          <cell r="AI558">
            <v>463200</v>
          </cell>
          <cell r="AJ558">
            <v>30000</v>
          </cell>
          <cell r="AK558">
            <v>75000</v>
          </cell>
          <cell r="AL558">
            <v>10000</v>
          </cell>
          <cell r="AO558">
            <v>10000</v>
          </cell>
          <cell r="AQ558">
            <v>68850</v>
          </cell>
          <cell r="AR558">
            <v>657050</v>
          </cell>
        </row>
        <row r="559">
          <cell r="M559">
            <v>24</v>
          </cell>
          <cell r="P559">
            <v>1</v>
          </cell>
          <cell r="S559" t="str">
            <v xml:space="preserve"> </v>
          </cell>
          <cell r="U559">
            <v>2002</v>
          </cell>
          <cell r="W559">
            <v>23250</v>
          </cell>
          <cell r="X559">
            <v>12000</v>
          </cell>
          <cell r="Z559">
            <v>0</v>
          </cell>
          <cell r="AA559">
            <v>500</v>
          </cell>
          <cell r="AB559">
            <v>150</v>
          </cell>
          <cell r="AC559">
            <v>1250</v>
          </cell>
          <cell r="AF559">
            <v>0</v>
          </cell>
          <cell r="AG559">
            <v>7000</v>
          </cell>
          <cell r="AH559">
            <v>44150</v>
          </cell>
          <cell r="AI559">
            <v>529800</v>
          </cell>
          <cell r="AJ559">
            <v>30000</v>
          </cell>
          <cell r="AK559">
            <v>85000</v>
          </cell>
          <cell r="AL559">
            <v>15000</v>
          </cell>
          <cell r="AM559">
            <v>0</v>
          </cell>
          <cell r="AN559">
            <v>0</v>
          </cell>
          <cell r="AO559">
            <v>10000</v>
          </cell>
          <cell r="AP559">
            <v>0</v>
          </cell>
          <cell r="AQ559">
            <v>75330</v>
          </cell>
          <cell r="AR559">
            <v>745130</v>
          </cell>
          <cell r="AS559">
            <v>0</v>
          </cell>
        </row>
        <row r="560">
          <cell r="P560">
            <v>1</v>
          </cell>
          <cell r="S560" t="str">
            <v xml:space="preserve"> </v>
          </cell>
          <cell r="U560" t="str">
            <v>DIFF.</v>
          </cell>
          <cell r="W560">
            <v>2000</v>
          </cell>
          <cell r="X560">
            <v>4550</v>
          </cell>
          <cell r="Z560">
            <v>0</v>
          </cell>
          <cell r="AA560">
            <v>0</v>
          </cell>
          <cell r="AB560">
            <v>0</v>
          </cell>
          <cell r="AC560">
            <v>0</v>
          </cell>
          <cell r="AE560">
            <v>-1000</v>
          </cell>
          <cell r="AF560">
            <v>0</v>
          </cell>
          <cell r="AG560">
            <v>0</v>
          </cell>
          <cell r="AH560">
            <v>5550</v>
          </cell>
          <cell r="AI560">
            <v>66600</v>
          </cell>
          <cell r="AJ560">
            <v>0</v>
          </cell>
          <cell r="AK560">
            <v>10000</v>
          </cell>
          <cell r="AL560">
            <v>5000</v>
          </cell>
          <cell r="AM560">
            <v>0</v>
          </cell>
          <cell r="AN560">
            <v>0</v>
          </cell>
          <cell r="AO560">
            <v>0</v>
          </cell>
          <cell r="AP560">
            <v>0</v>
          </cell>
          <cell r="AQ560">
            <v>6480</v>
          </cell>
          <cell r="AR560">
            <v>88080</v>
          </cell>
          <cell r="AS560">
            <v>13.41</v>
          </cell>
        </row>
        <row r="561">
          <cell r="P561">
            <v>1</v>
          </cell>
          <cell r="S561" t="str">
            <v xml:space="preserve"> </v>
          </cell>
        </row>
        <row r="562">
          <cell r="G562">
            <v>1290</v>
          </cell>
          <cell r="H562" t="str">
            <v>MR KULKARNI P A</v>
          </cell>
          <cell r="I562">
            <v>17688</v>
          </cell>
          <cell r="J562">
            <v>28534</v>
          </cell>
          <cell r="K562">
            <v>19590</v>
          </cell>
          <cell r="L562" t="str">
            <v>MA</v>
          </cell>
          <cell r="M562">
            <v>24</v>
          </cell>
          <cell r="O562" t="str">
            <v>MAT</v>
          </cell>
          <cell r="P562">
            <v>7</v>
          </cell>
          <cell r="Q562" t="str">
            <v>Other Locations</v>
          </cell>
          <cell r="R562" t="str">
            <v>Pune</v>
          </cell>
          <cell r="S562" t="str">
            <v xml:space="preserve"> </v>
          </cell>
          <cell r="T562" t="str">
            <v>BL</v>
          </cell>
          <cell r="U562">
            <v>2001</v>
          </cell>
          <cell r="V562">
            <v>76750</v>
          </cell>
          <cell r="W562">
            <v>18672</v>
          </cell>
          <cell r="X562">
            <v>6550</v>
          </cell>
          <cell r="AA562">
            <v>500</v>
          </cell>
          <cell r="AB562">
            <v>150</v>
          </cell>
          <cell r="AC562">
            <v>0</v>
          </cell>
          <cell r="AD562" t="str">
            <v>CV</v>
          </cell>
          <cell r="AE562">
            <v>0</v>
          </cell>
          <cell r="AG562">
            <v>7000</v>
          </cell>
          <cell r="AH562">
            <v>32872</v>
          </cell>
          <cell r="AI562">
            <v>394464</v>
          </cell>
          <cell r="AJ562">
            <v>30000</v>
          </cell>
          <cell r="AK562">
            <v>75000</v>
          </cell>
          <cell r="AL562">
            <v>10000</v>
          </cell>
          <cell r="AO562">
            <v>10000</v>
          </cell>
          <cell r="AQ562">
            <v>60497</v>
          </cell>
          <cell r="AR562">
            <v>579961</v>
          </cell>
        </row>
        <row r="563">
          <cell r="M563">
            <v>24</v>
          </cell>
          <cell r="P563">
            <v>7</v>
          </cell>
          <cell r="S563" t="str">
            <v xml:space="preserve"> </v>
          </cell>
          <cell r="U563">
            <v>2002</v>
          </cell>
          <cell r="W563">
            <v>21422</v>
          </cell>
          <cell r="X563">
            <v>8000</v>
          </cell>
          <cell r="Z563">
            <v>0</v>
          </cell>
          <cell r="AA563">
            <v>500</v>
          </cell>
          <cell r="AB563">
            <v>150</v>
          </cell>
          <cell r="AC563">
            <v>0</v>
          </cell>
          <cell r="AF563">
            <v>0</v>
          </cell>
          <cell r="AG563">
            <v>7000</v>
          </cell>
          <cell r="AH563">
            <v>37072</v>
          </cell>
          <cell r="AI563">
            <v>444864</v>
          </cell>
          <cell r="AJ563">
            <v>30000</v>
          </cell>
          <cell r="AK563">
            <v>85000</v>
          </cell>
          <cell r="AL563">
            <v>15000</v>
          </cell>
          <cell r="AM563">
            <v>0</v>
          </cell>
          <cell r="AN563">
            <v>0</v>
          </cell>
          <cell r="AO563">
            <v>10000</v>
          </cell>
          <cell r="AP563">
            <v>0</v>
          </cell>
          <cell r="AQ563">
            <v>69407</v>
          </cell>
          <cell r="AR563">
            <v>654271</v>
          </cell>
          <cell r="AS563">
            <v>0</v>
          </cell>
        </row>
        <row r="564">
          <cell r="P564">
            <v>7</v>
          </cell>
          <cell r="S564" t="str">
            <v xml:space="preserve"> </v>
          </cell>
          <cell r="U564" t="str">
            <v>DIFF.</v>
          </cell>
          <cell r="W564">
            <v>2750</v>
          </cell>
          <cell r="X564">
            <v>1450</v>
          </cell>
          <cell r="Z564">
            <v>0</v>
          </cell>
          <cell r="AA564">
            <v>0</v>
          </cell>
          <cell r="AB564">
            <v>0</v>
          </cell>
          <cell r="AC564">
            <v>0</v>
          </cell>
          <cell r="AE564">
            <v>0</v>
          </cell>
          <cell r="AF564">
            <v>0</v>
          </cell>
          <cell r="AG564">
            <v>0</v>
          </cell>
          <cell r="AH564">
            <v>4200</v>
          </cell>
          <cell r="AI564">
            <v>50400</v>
          </cell>
          <cell r="AJ564">
            <v>0</v>
          </cell>
          <cell r="AK564">
            <v>10000</v>
          </cell>
          <cell r="AL564">
            <v>5000</v>
          </cell>
          <cell r="AM564">
            <v>0</v>
          </cell>
          <cell r="AN564">
            <v>0</v>
          </cell>
          <cell r="AO564">
            <v>0</v>
          </cell>
          <cell r="AP564">
            <v>0</v>
          </cell>
          <cell r="AQ564">
            <v>8910</v>
          </cell>
          <cell r="AR564">
            <v>74310</v>
          </cell>
          <cell r="AS564">
            <v>12.81</v>
          </cell>
        </row>
        <row r="565">
          <cell r="P565">
            <v>7</v>
          </cell>
          <cell r="S565" t="str">
            <v xml:space="preserve"> </v>
          </cell>
        </row>
        <row r="566">
          <cell r="G566">
            <v>1331</v>
          </cell>
          <cell r="H566" t="str">
            <v>MR BALACHANDRAN   S</v>
          </cell>
          <cell r="I566">
            <v>19683</v>
          </cell>
          <cell r="J566">
            <v>28944</v>
          </cell>
          <cell r="K566">
            <v>17595</v>
          </cell>
          <cell r="L566" t="str">
            <v>MA</v>
          </cell>
          <cell r="M566">
            <v>24</v>
          </cell>
          <cell r="O566" t="str">
            <v>MAM</v>
          </cell>
          <cell r="P566">
            <v>7</v>
          </cell>
          <cell r="Q566" t="str">
            <v>Other Locations</v>
          </cell>
          <cell r="R566" t="str">
            <v>Bangalore</v>
          </cell>
          <cell r="S566" t="str">
            <v xml:space="preserve"> </v>
          </cell>
          <cell r="T566" t="str">
            <v>CA</v>
          </cell>
          <cell r="U566">
            <v>2001</v>
          </cell>
          <cell r="V566">
            <v>66000</v>
          </cell>
          <cell r="W566">
            <v>20734</v>
          </cell>
          <cell r="X566">
            <v>7250</v>
          </cell>
          <cell r="AA566">
            <v>500</v>
          </cell>
          <cell r="AB566">
            <v>150</v>
          </cell>
          <cell r="AC566">
            <v>0</v>
          </cell>
          <cell r="AD566" t="str">
            <v>RS</v>
          </cell>
          <cell r="AE566">
            <v>0</v>
          </cell>
          <cell r="AG566">
            <v>7000</v>
          </cell>
          <cell r="AH566">
            <v>35634</v>
          </cell>
          <cell r="AI566">
            <v>427608</v>
          </cell>
          <cell r="AJ566">
            <v>30000</v>
          </cell>
          <cell r="AK566">
            <v>75000</v>
          </cell>
          <cell r="AL566">
            <v>10000</v>
          </cell>
          <cell r="AO566">
            <v>10000</v>
          </cell>
          <cell r="AQ566">
            <v>67178</v>
          </cell>
          <cell r="AR566">
            <v>619786</v>
          </cell>
        </row>
        <row r="567">
          <cell r="M567">
            <v>24</v>
          </cell>
          <cell r="P567">
            <v>7</v>
          </cell>
          <cell r="S567" t="str">
            <v xml:space="preserve"> </v>
          </cell>
          <cell r="U567">
            <v>2002</v>
          </cell>
          <cell r="W567">
            <v>22934</v>
          </cell>
          <cell r="X567">
            <v>8000</v>
          </cell>
          <cell r="Z567">
            <v>0</v>
          </cell>
          <cell r="AA567">
            <v>500</v>
          </cell>
          <cell r="AB567">
            <v>150</v>
          </cell>
          <cell r="AC567">
            <v>0</v>
          </cell>
          <cell r="AF567">
            <v>0</v>
          </cell>
          <cell r="AG567">
            <v>7000</v>
          </cell>
          <cell r="AH567">
            <v>38584</v>
          </cell>
          <cell r="AI567">
            <v>463008</v>
          </cell>
          <cell r="AJ567">
            <v>30000</v>
          </cell>
          <cell r="AK567">
            <v>85000</v>
          </cell>
          <cell r="AL567">
            <v>15000</v>
          </cell>
          <cell r="AM567">
            <v>0</v>
          </cell>
          <cell r="AN567">
            <v>0</v>
          </cell>
          <cell r="AO567">
            <v>10000</v>
          </cell>
          <cell r="AP567">
            <v>0</v>
          </cell>
          <cell r="AQ567">
            <v>74306</v>
          </cell>
          <cell r="AR567">
            <v>677314</v>
          </cell>
          <cell r="AS567">
            <v>0</v>
          </cell>
        </row>
        <row r="568">
          <cell r="P568">
            <v>7</v>
          </cell>
          <cell r="S568" t="str">
            <v xml:space="preserve"> </v>
          </cell>
          <cell r="U568" t="str">
            <v>DIFF.</v>
          </cell>
          <cell r="W568">
            <v>2200</v>
          </cell>
          <cell r="X568">
            <v>750</v>
          </cell>
          <cell r="Z568">
            <v>0</v>
          </cell>
          <cell r="AA568">
            <v>0</v>
          </cell>
          <cell r="AB568">
            <v>0</v>
          </cell>
          <cell r="AC568">
            <v>0</v>
          </cell>
          <cell r="AE568">
            <v>0</v>
          </cell>
          <cell r="AF568">
            <v>0</v>
          </cell>
          <cell r="AG568">
            <v>0</v>
          </cell>
          <cell r="AH568">
            <v>2950</v>
          </cell>
          <cell r="AI568">
            <v>35400</v>
          </cell>
          <cell r="AJ568">
            <v>0</v>
          </cell>
          <cell r="AK568">
            <v>10000</v>
          </cell>
          <cell r="AL568">
            <v>5000</v>
          </cell>
          <cell r="AM568">
            <v>0</v>
          </cell>
          <cell r="AN568">
            <v>0</v>
          </cell>
          <cell r="AO568">
            <v>0</v>
          </cell>
          <cell r="AP568">
            <v>0</v>
          </cell>
          <cell r="AQ568">
            <v>7128</v>
          </cell>
          <cell r="AR568">
            <v>57528</v>
          </cell>
          <cell r="AS568">
            <v>9.2799999999999994</v>
          </cell>
        </row>
        <row r="569">
          <cell r="P569">
            <v>7</v>
          </cell>
          <cell r="S569" t="str">
            <v xml:space="preserve"> </v>
          </cell>
        </row>
        <row r="570">
          <cell r="G570">
            <v>1713</v>
          </cell>
          <cell r="H570" t="str">
            <v>MR RAO B</v>
          </cell>
          <cell r="I570">
            <v>19920</v>
          </cell>
          <cell r="J570">
            <v>31665</v>
          </cell>
          <cell r="K570">
            <v>17358</v>
          </cell>
          <cell r="L570" t="str">
            <v>MA</v>
          </cell>
          <cell r="M570">
            <v>24</v>
          </cell>
          <cell r="O570" t="str">
            <v>MAM</v>
          </cell>
          <cell r="P570">
            <v>7</v>
          </cell>
          <cell r="Q570" t="str">
            <v>Other Locations</v>
          </cell>
          <cell r="R570" t="str">
            <v>Hyderabad</v>
          </cell>
          <cell r="S570" t="str">
            <v xml:space="preserve"> </v>
          </cell>
          <cell r="T570" t="str">
            <v>BL</v>
          </cell>
          <cell r="U570">
            <v>2001</v>
          </cell>
          <cell r="V570">
            <v>76750</v>
          </cell>
          <cell r="W570">
            <v>20308</v>
          </cell>
          <cell r="X570">
            <v>7100</v>
          </cell>
          <cell r="Y570" t="str">
            <v>E</v>
          </cell>
          <cell r="AA570">
            <v>500</v>
          </cell>
          <cell r="AB570">
            <v>150</v>
          </cell>
          <cell r="AC570">
            <v>0</v>
          </cell>
          <cell r="AD570" t="str">
            <v>RS</v>
          </cell>
          <cell r="AE570">
            <v>0</v>
          </cell>
          <cell r="AG570">
            <v>7000</v>
          </cell>
          <cell r="AH570">
            <v>35058</v>
          </cell>
          <cell r="AI570">
            <v>420696</v>
          </cell>
          <cell r="AJ570">
            <v>30000</v>
          </cell>
          <cell r="AK570">
            <v>75000</v>
          </cell>
          <cell r="AL570">
            <v>10000</v>
          </cell>
          <cell r="AO570">
            <v>10000</v>
          </cell>
          <cell r="AQ570">
            <v>65798</v>
          </cell>
          <cell r="AR570">
            <v>611494</v>
          </cell>
        </row>
        <row r="571">
          <cell r="M571">
            <v>24</v>
          </cell>
          <cell r="P571">
            <v>7</v>
          </cell>
          <cell r="S571" t="str">
            <v xml:space="preserve"> </v>
          </cell>
          <cell r="U571">
            <v>2002</v>
          </cell>
          <cell r="W571">
            <v>23058</v>
          </cell>
          <cell r="X571">
            <v>8000</v>
          </cell>
          <cell r="Z571">
            <v>0</v>
          </cell>
          <cell r="AA571">
            <v>500</v>
          </cell>
          <cell r="AB571">
            <v>150</v>
          </cell>
          <cell r="AC571">
            <v>0</v>
          </cell>
          <cell r="AF571">
            <v>0</v>
          </cell>
          <cell r="AG571">
            <v>7000</v>
          </cell>
          <cell r="AH571">
            <v>38708</v>
          </cell>
          <cell r="AI571">
            <v>464496</v>
          </cell>
          <cell r="AJ571">
            <v>30000</v>
          </cell>
          <cell r="AK571">
            <v>85000</v>
          </cell>
          <cell r="AL571">
            <v>15000</v>
          </cell>
          <cell r="AM571">
            <v>0</v>
          </cell>
          <cell r="AN571">
            <v>0</v>
          </cell>
          <cell r="AO571">
            <v>10000</v>
          </cell>
          <cell r="AP571">
            <v>0</v>
          </cell>
          <cell r="AQ571">
            <v>74708</v>
          </cell>
          <cell r="AR571">
            <v>679204</v>
          </cell>
          <cell r="AS571">
            <v>0</v>
          </cell>
        </row>
        <row r="572">
          <cell r="P572">
            <v>7</v>
          </cell>
          <cell r="S572" t="str">
            <v xml:space="preserve"> </v>
          </cell>
          <cell r="U572" t="str">
            <v>DIFF.</v>
          </cell>
          <cell r="W572">
            <v>2750</v>
          </cell>
          <cell r="X572">
            <v>900</v>
          </cell>
          <cell r="Z572">
            <v>0</v>
          </cell>
          <cell r="AA572">
            <v>0</v>
          </cell>
          <cell r="AB572">
            <v>0</v>
          </cell>
          <cell r="AC572">
            <v>0</v>
          </cell>
          <cell r="AE572">
            <v>0</v>
          </cell>
          <cell r="AF572">
            <v>0</v>
          </cell>
          <cell r="AG572">
            <v>0</v>
          </cell>
          <cell r="AH572">
            <v>3650</v>
          </cell>
          <cell r="AI572">
            <v>43800</v>
          </cell>
          <cell r="AJ572">
            <v>0</v>
          </cell>
          <cell r="AK572">
            <v>10000</v>
          </cell>
          <cell r="AL572">
            <v>5000</v>
          </cell>
          <cell r="AM572">
            <v>0</v>
          </cell>
          <cell r="AN572">
            <v>0</v>
          </cell>
          <cell r="AO572">
            <v>0</v>
          </cell>
          <cell r="AP572">
            <v>0</v>
          </cell>
          <cell r="AQ572">
            <v>8910</v>
          </cell>
          <cell r="AR572">
            <v>67710</v>
          </cell>
          <cell r="AS572">
            <v>11.07</v>
          </cell>
        </row>
        <row r="573">
          <cell r="P573">
            <v>7</v>
          </cell>
          <cell r="S573" t="str">
            <v xml:space="preserve"> </v>
          </cell>
        </row>
        <row r="574">
          <cell r="G574">
            <v>2075</v>
          </cell>
          <cell r="H574" t="str">
            <v>MR JOSHI M P</v>
          </cell>
          <cell r="I574">
            <v>27298</v>
          </cell>
          <cell r="J574">
            <v>35278</v>
          </cell>
          <cell r="K574">
            <v>9980</v>
          </cell>
          <cell r="L574" t="str">
            <v>MA</v>
          </cell>
          <cell r="M574">
            <v>24</v>
          </cell>
          <cell r="O574" t="str">
            <v>MA</v>
          </cell>
          <cell r="P574">
            <v>1</v>
          </cell>
          <cell r="Q574" t="str">
            <v>Mumbai</v>
          </cell>
          <cell r="R574" t="str">
            <v>Thane</v>
          </cell>
          <cell r="S574" t="str">
            <v xml:space="preserve"> </v>
          </cell>
          <cell r="T574" t="str">
            <v>CP</v>
          </cell>
          <cell r="U574">
            <v>2001</v>
          </cell>
          <cell r="V574">
            <v>66000</v>
          </cell>
          <cell r="W574">
            <v>18000</v>
          </cell>
          <cell r="Y574" t="str">
            <v>L</v>
          </cell>
          <cell r="Z574">
            <v>2750</v>
          </cell>
          <cell r="AA574">
            <v>500</v>
          </cell>
          <cell r="AB574">
            <v>0</v>
          </cell>
          <cell r="AC574">
            <v>1250</v>
          </cell>
          <cell r="AE574">
            <v>1000</v>
          </cell>
          <cell r="AG574">
            <v>7000</v>
          </cell>
          <cell r="AH574">
            <v>30500</v>
          </cell>
          <cell r="AI574">
            <v>366000</v>
          </cell>
          <cell r="AJ574">
            <v>30000</v>
          </cell>
          <cell r="AK574">
            <v>75000</v>
          </cell>
          <cell r="AL574">
            <v>10000</v>
          </cell>
          <cell r="AO574">
            <v>10000</v>
          </cell>
          <cell r="AQ574">
            <v>58320</v>
          </cell>
          <cell r="AR574">
            <v>549320</v>
          </cell>
        </row>
        <row r="575">
          <cell r="M575">
            <v>24</v>
          </cell>
          <cell r="P575">
            <v>1</v>
          </cell>
          <cell r="S575" t="str">
            <v xml:space="preserve"> </v>
          </cell>
          <cell r="U575">
            <v>2002</v>
          </cell>
          <cell r="W575">
            <v>20500</v>
          </cell>
          <cell r="X575">
            <v>0</v>
          </cell>
          <cell r="Z575">
            <v>4000</v>
          </cell>
          <cell r="AA575">
            <v>500</v>
          </cell>
          <cell r="AB575">
            <v>0</v>
          </cell>
          <cell r="AC575">
            <v>1250</v>
          </cell>
          <cell r="AF575">
            <v>0</v>
          </cell>
          <cell r="AG575">
            <v>7000</v>
          </cell>
          <cell r="AH575">
            <v>33250</v>
          </cell>
          <cell r="AI575">
            <v>399000</v>
          </cell>
          <cell r="AJ575">
            <v>30000</v>
          </cell>
          <cell r="AK575">
            <v>85000</v>
          </cell>
          <cell r="AL575">
            <v>15000</v>
          </cell>
          <cell r="AM575">
            <v>0</v>
          </cell>
          <cell r="AN575">
            <v>0</v>
          </cell>
          <cell r="AO575">
            <v>10000</v>
          </cell>
          <cell r="AP575">
            <v>0</v>
          </cell>
          <cell r="AQ575">
            <v>66420</v>
          </cell>
          <cell r="AR575">
            <v>605420</v>
          </cell>
          <cell r="AS575">
            <v>0</v>
          </cell>
        </row>
        <row r="576">
          <cell r="P576">
            <v>1</v>
          </cell>
          <cell r="S576" t="str">
            <v xml:space="preserve"> </v>
          </cell>
          <cell r="U576" t="str">
            <v>DIFF.</v>
          </cell>
          <cell r="W576">
            <v>2500</v>
          </cell>
          <cell r="X576">
            <v>0</v>
          </cell>
          <cell r="Z576">
            <v>1250</v>
          </cell>
          <cell r="AA576">
            <v>0</v>
          </cell>
          <cell r="AB576">
            <v>0</v>
          </cell>
          <cell r="AC576">
            <v>0</v>
          </cell>
          <cell r="AE576">
            <v>-1000</v>
          </cell>
          <cell r="AF576">
            <v>0</v>
          </cell>
          <cell r="AG576">
            <v>0</v>
          </cell>
          <cell r="AH576">
            <v>2750</v>
          </cell>
          <cell r="AI576">
            <v>33000</v>
          </cell>
          <cell r="AJ576">
            <v>0</v>
          </cell>
          <cell r="AK576">
            <v>10000</v>
          </cell>
          <cell r="AL576">
            <v>5000</v>
          </cell>
          <cell r="AM576">
            <v>0</v>
          </cell>
          <cell r="AN576">
            <v>0</v>
          </cell>
          <cell r="AO576">
            <v>0</v>
          </cell>
          <cell r="AP576">
            <v>0</v>
          </cell>
          <cell r="AQ576">
            <v>8100</v>
          </cell>
          <cell r="AR576">
            <v>56100</v>
          </cell>
          <cell r="AS576">
            <v>10.210000000000001</v>
          </cell>
        </row>
        <row r="577">
          <cell r="P577">
            <v>1</v>
          </cell>
          <cell r="S577" t="str">
            <v xml:space="preserve"> </v>
          </cell>
        </row>
        <row r="578">
          <cell r="G578">
            <v>2136</v>
          </cell>
          <cell r="H578" t="str">
            <v xml:space="preserve">MR ANAND R K                            </v>
          </cell>
          <cell r="I578">
            <v>20743</v>
          </cell>
          <cell r="J578">
            <v>35633</v>
          </cell>
          <cell r="K578">
            <v>16535</v>
          </cell>
          <cell r="L578" t="str">
            <v>MA</v>
          </cell>
          <cell r="M578">
            <v>24</v>
          </cell>
          <cell r="O578" t="str">
            <v>MAT</v>
          </cell>
          <cell r="P578">
            <v>3</v>
          </cell>
          <cell r="Q578" t="str">
            <v>Delhi</v>
          </cell>
          <cell r="R578" t="str">
            <v>Delhi</v>
          </cell>
          <cell r="S578" t="str">
            <v xml:space="preserve"> </v>
          </cell>
          <cell r="T578" t="str">
            <v>CA</v>
          </cell>
          <cell r="U578">
            <v>2001</v>
          </cell>
          <cell r="V578">
            <v>66000</v>
          </cell>
          <cell r="W578">
            <v>21008</v>
          </cell>
          <cell r="X578">
            <v>7350</v>
          </cell>
          <cell r="Y578" t="str">
            <v>E</v>
          </cell>
          <cell r="AA578">
            <v>500</v>
          </cell>
          <cell r="AB578">
            <v>150</v>
          </cell>
          <cell r="AC578">
            <v>0</v>
          </cell>
          <cell r="AD578" t="str">
            <v>RS</v>
          </cell>
          <cell r="AE578">
            <v>450</v>
          </cell>
          <cell r="AG578">
            <v>7000</v>
          </cell>
          <cell r="AH578">
            <v>36458</v>
          </cell>
          <cell r="AI578">
            <v>437496</v>
          </cell>
          <cell r="AJ578">
            <v>30000</v>
          </cell>
          <cell r="AK578">
            <v>75000</v>
          </cell>
          <cell r="AL578">
            <v>10000</v>
          </cell>
          <cell r="AO578">
            <v>10000</v>
          </cell>
          <cell r="AQ578">
            <v>68066</v>
          </cell>
          <cell r="AR578">
            <v>630562</v>
          </cell>
        </row>
        <row r="579">
          <cell r="M579">
            <v>24</v>
          </cell>
          <cell r="P579">
            <v>3</v>
          </cell>
          <cell r="S579" t="str">
            <v xml:space="preserve"> </v>
          </cell>
          <cell r="U579">
            <v>2002</v>
          </cell>
          <cell r="W579">
            <v>23208</v>
          </cell>
          <cell r="X579">
            <v>9000</v>
          </cell>
          <cell r="Z579">
            <v>0</v>
          </cell>
          <cell r="AA579">
            <v>500</v>
          </cell>
          <cell r="AB579">
            <v>150</v>
          </cell>
          <cell r="AC579">
            <v>0</v>
          </cell>
          <cell r="AF579">
            <v>0</v>
          </cell>
          <cell r="AG579">
            <v>7000</v>
          </cell>
          <cell r="AH579">
            <v>39858</v>
          </cell>
          <cell r="AI579">
            <v>478296</v>
          </cell>
          <cell r="AJ579">
            <v>30000</v>
          </cell>
          <cell r="AK579">
            <v>85000</v>
          </cell>
          <cell r="AL579">
            <v>15000</v>
          </cell>
          <cell r="AM579">
            <v>0</v>
          </cell>
          <cell r="AN579">
            <v>0</v>
          </cell>
          <cell r="AO579">
            <v>10000</v>
          </cell>
          <cell r="AP579">
            <v>0</v>
          </cell>
          <cell r="AQ579">
            <v>75194</v>
          </cell>
          <cell r="AR579">
            <v>693490</v>
          </cell>
          <cell r="AS579">
            <v>0</v>
          </cell>
        </row>
        <row r="580">
          <cell r="P580">
            <v>3</v>
          </cell>
          <cell r="S580" t="str">
            <v xml:space="preserve"> </v>
          </cell>
          <cell r="U580" t="str">
            <v>DIFF.</v>
          </cell>
          <cell r="W580">
            <v>2200</v>
          </cell>
          <cell r="X580">
            <v>1650</v>
          </cell>
          <cell r="Z580">
            <v>0</v>
          </cell>
          <cell r="AA580">
            <v>0</v>
          </cell>
          <cell r="AB580">
            <v>0</v>
          </cell>
          <cell r="AC580">
            <v>0</v>
          </cell>
          <cell r="AE580">
            <v>-450</v>
          </cell>
          <cell r="AF580">
            <v>0</v>
          </cell>
          <cell r="AG580">
            <v>0</v>
          </cell>
          <cell r="AH580">
            <v>3400</v>
          </cell>
          <cell r="AI580">
            <v>40800</v>
          </cell>
          <cell r="AJ580">
            <v>0</v>
          </cell>
          <cell r="AK580">
            <v>10000</v>
          </cell>
          <cell r="AL580">
            <v>5000</v>
          </cell>
          <cell r="AM580">
            <v>0</v>
          </cell>
          <cell r="AN580">
            <v>0</v>
          </cell>
          <cell r="AO580">
            <v>0</v>
          </cell>
          <cell r="AP580">
            <v>0</v>
          </cell>
          <cell r="AQ580">
            <v>7128</v>
          </cell>
          <cell r="AR580">
            <v>62928</v>
          </cell>
          <cell r="AS580">
            <v>9.98</v>
          </cell>
        </row>
        <row r="581">
          <cell r="P581">
            <v>3</v>
          </cell>
          <cell r="S581" t="str">
            <v xml:space="preserve"> </v>
          </cell>
        </row>
        <row r="582">
          <cell r="G582">
            <v>2211</v>
          </cell>
          <cell r="H582" t="str">
            <v>MR DATTA S K</v>
          </cell>
          <cell r="I582">
            <v>22628</v>
          </cell>
          <cell r="J582">
            <v>36357</v>
          </cell>
          <cell r="K582">
            <v>14650</v>
          </cell>
          <cell r="L582" t="str">
            <v>MA</v>
          </cell>
          <cell r="M582">
            <v>24</v>
          </cell>
          <cell r="O582" t="str">
            <v>MAM</v>
          </cell>
          <cell r="P582">
            <v>1</v>
          </cell>
          <cell r="Q582" t="str">
            <v>Mumbai</v>
          </cell>
          <cell r="R582" t="str">
            <v>Ho</v>
          </cell>
          <cell r="S582" t="str">
            <v xml:space="preserve"> </v>
          </cell>
          <cell r="T582" t="str">
            <v>CA</v>
          </cell>
          <cell r="U582">
            <v>2001</v>
          </cell>
          <cell r="V582">
            <v>66000</v>
          </cell>
          <cell r="W582">
            <v>19727</v>
          </cell>
          <cell r="Y582" t="str">
            <v>L</v>
          </cell>
          <cell r="Z582">
            <v>2750</v>
          </cell>
          <cell r="AA582">
            <v>500</v>
          </cell>
          <cell r="AB582">
            <v>150</v>
          </cell>
          <cell r="AC582">
            <v>1250</v>
          </cell>
          <cell r="AE582">
            <v>1000</v>
          </cell>
          <cell r="AG582">
            <v>7000</v>
          </cell>
          <cell r="AH582">
            <v>32377</v>
          </cell>
          <cell r="AI582">
            <v>388524</v>
          </cell>
          <cell r="AJ582">
            <v>30000</v>
          </cell>
          <cell r="AK582">
            <v>75000</v>
          </cell>
          <cell r="AL582">
            <v>10000</v>
          </cell>
          <cell r="AO582">
            <v>10000</v>
          </cell>
          <cell r="AQ582">
            <v>63915</v>
          </cell>
          <cell r="AR582">
            <v>577439</v>
          </cell>
        </row>
        <row r="583">
          <cell r="M583">
            <v>24</v>
          </cell>
          <cell r="P583">
            <v>1</v>
          </cell>
          <cell r="S583" t="str">
            <v xml:space="preserve"> </v>
          </cell>
          <cell r="U583">
            <v>2002</v>
          </cell>
          <cell r="W583">
            <v>21927</v>
          </cell>
          <cell r="Z583">
            <v>4500</v>
          </cell>
          <cell r="AA583">
            <v>500</v>
          </cell>
          <cell r="AB583">
            <v>150</v>
          </cell>
          <cell r="AC583">
            <v>1250</v>
          </cell>
          <cell r="AF583">
            <v>0</v>
          </cell>
          <cell r="AG583">
            <v>7000</v>
          </cell>
          <cell r="AH583">
            <v>35327</v>
          </cell>
          <cell r="AI583">
            <v>423924</v>
          </cell>
          <cell r="AJ583">
            <v>30000</v>
          </cell>
          <cell r="AK583">
            <v>85000</v>
          </cell>
          <cell r="AL583">
            <v>15000</v>
          </cell>
          <cell r="AM583">
            <v>0</v>
          </cell>
          <cell r="AN583">
            <v>0</v>
          </cell>
          <cell r="AO583">
            <v>10000</v>
          </cell>
          <cell r="AP583">
            <v>0</v>
          </cell>
          <cell r="AQ583">
            <v>71043</v>
          </cell>
          <cell r="AR583">
            <v>634967</v>
          </cell>
          <cell r="AS583">
            <v>0</v>
          </cell>
        </row>
        <row r="584">
          <cell r="P584">
            <v>1</v>
          </cell>
          <cell r="S584" t="str">
            <v xml:space="preserve"> </v>
          </cell>
          <cell r="U584" t="str">
            <v>DIFF.</v>
          </cell>
          <cell r="W584">
            <v>2200</v>
          </cell>
          <cell r="Z584">
            <v>1750</v>
          </cell>
          <cell r="AA584">
            <v>0</v>
          </cell>
          <cell r="AB584">
            <v>0</v>
          </cell>
          <cell r="AC584">
            <v>0</v>
          </cell>
          <cell r="AE584">
            <v>-1000</v>
          </cell>
          <cell r="AF584">
            <v>0</v>
          </cell>
          <cell r="AG584">
            <v>0</v>
          </cell>
          <cell r="AH584">
            <v>2950</v>
          </cell>
          <cell r="AI584">
            <v>35400</v>
          </cell>
          <cell r="AJ584">
            <v>0</v>
          </cell>
          <cell r="AK584">
            <v>10000</v>
          </cell>
          <cell r="AL584">
            <v>5000</v>
          </cell>
          <cell r="AM584">
            <v>0</v>
          </cell>
          <cell r="AN584">
            <v>0</v>
          </cell>
          <cell r="AO584">
            <v>0</v>
          </cell>
          <cell r="AP584">
            <v>0</v>
          </cell>
          <cell r="AQ584">
            <v>7128</v>
          </cell>
          <cell r="AR584">
            <v>57528</v>
          </cell>
          <cell r="AS584">
            <v>9.9600000000000009</v>
          </cell>
        </row>
        <row r="585">
          <cell r="P585">
            <v>1</v>
          </cell>
          <cell r="S585" t="str">
            <v xml:space="preserve"> </v>
          </cell>
        </row>
        <row r="586">
          <cell r="G586">
            <v>2229</v>
          </cell>
          <cell r="H586" t="str">
            <v>MR SHUKLA C</v>
          </cell>
          <cell r="I586">
            <v>24053</v>
          </cell>
          <cell r="J586">
            <v>36557</v>
          </cell>
          <cell r="K586">
            <v>13225</v>
          </cell>
          <cell r="L586" t="str">
            <v>MA</v>
          </cell>
          <cell r="M586">
            <v>24</v>
          </cell>
          <cell r="O586" t="str">
            <v>MAM</v>
          </cell>
          <cell r="P586">
            <v>1</v>
          </cell>
          <cell r="Q586" t="str">
            <v>Mumbai</v>
          </cell>
          <cell r="R586" t="str">
            <v>Ho</v>
          </cell>
          <cell r="S586" t="str">
            <v xml:space="preserve"> </v>
          </cell>
          <cell r="T586" t="str">
            <v>BP</v>
          </cell>
          <cell r="U586">
            <v>2001</v>
          </cell>
          <cell r="V586">
            <v>76750</v>
          </cell>
          <cell r="W586">
            <v>20000</v>
          </cell>
          <cell r="X586">
            <v>0</v>
          </cell>
          <cell r="Y586" t="str">
            <v>L</v>
          </cell>
          <cell r="Z586">
            <v>2750</v>
          </cell>
          <cell r="AA586">
            <v>500</v>
          </cell>
          <cell r="AB586">
            <v>150</v>
          </cell>
          <cell r="AC586">
            <v>0</v>
          </cell>
          <cell r="AD586" t="str">
            <v>RS</v>
          </cell>
          <cell r="AE586">
            <v>1000</v>
          </cell>
          <cell r="AG586">
            <v>7000</v>
          </cell>
          <cell r="AH586">
            <v>31400</v>
          </cell>
          <cell r="AI586">
            <v>376800</v>
          </cell>
          <cell r="AJ586">
            <v>30000</v>
          </cell>
          <cell r="AK586">
            <v>75000</v>
          </cell>
          <cell r="AL586">
            <v>10000</v>
          </cell>
          <cell r="AO586">
            <v>10000</v>
          </cell>
          <cell r="AQ586">
            <v>64800</v>
          </cell>
          <cell r="AR586">
            <v>566600</v>
          </cell>
        </row>
        <row r="587">
          <cell r="M587">
            <v>24</v>
          </cell>
          <cell r="P587">
            <v>1</v>
          </cell>
          <cell r="S587" t="str">
            <v xml:space="preserve"> </v>
          </cell>
          <cell r="U587">
            <v>2002</v>
          </cell>
          <cell r="W587">
            <v>23600</v>
          </cell>
          <cell r="X587">
            <v>0</v>
          </cell>
          <cell r="Z587">
            <v>4000</v>
          </cell>
          <cell r="AA587">
            <v>500</v>
          </cell>
          <cell r="AB587">
            <v>150</v>
          </cell>
          <cell r="AC587">
            <v>0</v>
          </cell>
          <cell r="AF587">
            <v>0</v>
          </cell>
          <cell r="AG587">
            <v>7000</v>
          </cell>
          <cell r="AH587">
            <v>35250</v>
          </cell>
          <cell r="AI587">
            <v>423000</v>
          </cell>
          <cell r="AJ587">
            <v>30000</v>
          </cell>
          <cell r="AK587">
            <v>85000</v>
          </cell>
          <cell r="AL587">
            <v>15000</v>
          </cell>
          <cell r="AM587">
            <v>0</v>
          </cell>
          <cell r="AN587">
            <v>0</v>
          </cell>
          <cell r="AO587">
            <v>10000</v>
          </cell>
          <cell r="AP587">
            <v>0</v>
          </cell>
          <cell r="AQ587">
            <v>76464</v>
          </cell>
          <cell r="AR587">
            <v>639464</v>
          </cell>
          <cell r="AS587">
            <v>0</v>
          </cell>
        </row>
        <row r="588">
          <cell r="P588">
            <v>1</v>
          </cell>
          <cell r="S588" t="str">
            <v xml:space="preserve"> </v>
          </cell>
          <cell r="U588" t="str">
            <v>DIFF.</v>
          </cell>
          <cell r="W588">
            <v>3600</v>
          </cell>
          <cell r="X588">
            <v>0</v>
          </cell>
          <cell r="Z588">
            <v>1250</v>
          </cell>
          <cell r="AA588">
            <v>0</v>
          </cell>
          <cell r="AB588">
            <v>0</v>
          </cell>
          <cell r="AC588">
            <v>0</v>
          </cell>
          <cell r="AE588">
            <v>-1000</v>
          </cell>
          <cell r="AF588">
            <v>0</v>
          </cell>
          <cell r="AG588">
            <v>0</v>
          </cell>
          <cell r="AH588">
            <v>3850</v>
          </cell>
          <cell r="AI588">
            <v>46200</v>
          </cell>
          <cell r="AJ588">
            <v>0</v>
          </cell>
          <cell r="AK588">
            <v>10000</v>
          </cell>
          <cell r="AL588">
            <v>5000</v>
          </cell>
          <cell r="AM588">
            <v>0</v>
          </cell>
          <cell r="AN588">
            <v>0</v>
          </cell>
          <cell r="AO588">
            <v>0</v>
          </cell>
          <cell r="AP588">
            <v>0</v>
          </cell>
          <cell r="AQ588">
            <v>11664</v>
          </cell>
          <cell r="AR588">
            <v>72864</v>
          </cell>
          <cell r="AS588">
            <v>12.86</v>
          </cell>
        </row>
        <row r="589">
          <cell r="P589">
            <v>1</v>
          </cell>
          <cell r="S589" t="str">
            <v xml:space="preserve"> </v>
          </cell>
        </row>
        <row r="590">
          <cell r="G590">
            <v>2293</v>
          </cell>
          <cell r="H590" t="str">
            <v>MR SRINIVAS SRIPADA</v>
          </cell>
          <cell r="I590">
            <v>22676</v>
          </cell>
          <cell r="J590">
            <v>31391</v>
          </cell>
          <cell r="K590">
            <v>14602</v>
          </cell>
          <cell r="L590" t="str">
            <v>MA</v>
          </cell>
          <cell r="M590">
            <v>24</v>
          </cell>
          <cell r="O590" t="str">
            <v>MA</v>
          </cell>
          <cell r="P590">
            <v>1</v>
          </cell>
          <cell r="Q590" t="str">
            <v>Mumbai</v>
          </cell>
          <cell r="R590" t="str">
            <v>Ho</v>
          </cell>
          <cell r="S590" t="str">
            <v xml:space="preserve"> </v>
          </cell>
          <cell r="T590" t="str">
            <v>CA</v>
          </cell>
          <cell r="U590">
            <v>2001</v>
          </cell>
          <cell r="V590">
            <v>66000</v>
          </cell>
          <cell r="W590">
            <v>19580</v>
          </cell>
          <cell r="X590">
            <v>0</v>
          </cell>
          <cell r="Y590" t="str">
            <v>L</v>
          </cell>
          <cell r="Z590">
            <v>2750</v>
          </cell>
          <cell r="AA590">
            <v>500</v>
          </cell>
          <cell r="AB590">
            <v>150</v>
          </cell>
          <cell r="AC590">
            <v>1250</v>
          </cell>
          <cell r="AE590">
            <v>1000</v>
          </cell>
          <cell r="AG590">
            <v>7000</v>
          </cell>
          <cell r="AH590">
            <v>32230</v>
          </cell>
          <cell r="AI590">
            <v>386760</v>
          </cell>
          <cell r="AJ590">
            <v>30000</v>
          </cell>
          <cell r="AK590">
            <v>75000</v>
          </cell>
          <cell r="AL590">
            <v>10000</v>
          </cell>
          <cell r="AO590">
            <v>10000</v>
          </cell>
          <cell r="AQ590">
            <v>63439</v>
          </cell>
          <cell r="AR590">
            <v>575199</v>
          </cell>
        </row>
        <row r="591">
          <cell r="M591">
            <v>24</v>
          </cell>
          <cell r="P591">
            <v>1</v>
          </cell>
          <cell r="S591" t="str">
            <v xml:space="preserve"> </v>
          </cell>
          <cell r="U591">
            <v>2002</v>
          </cell>
          <cell r="W591">
            <v>21780</v>
          </cell>
          <cell r="X591">
            <v>0</v>
          </cell>
          <cell r="Z591">
            <v>4000</v>
          </cell>
          <cell r="AA591">
            <v>500</v>
          </cell>
          <cell r="AB591">
            <v>150</v>
          </cell>
          <cell r="AC591">
            <v>1250</v>
          </cell>
          <cell r="AF591">
            <v>0</v>
          </cell>
          <cell r="AG591">
            <v>7000</v>
          </cell>
          <cell r="AH591">
            <v>34680</v>
          </cell>
          <cell r="AI591">
            <v>416160</v>
          </cell>
          <cell r="AJ591">
            <v>30000</v>
          </cell>
          <cell r="AK591">
            <v>85000</v>
          </cell>
          <cell r="AL591">
            <v>15000</v>
          </cell>
          <cell r="AM591">
            <v>0</v>
          </cell>
          <cell r="AN591">
            <v>0</v>
          </cell>
          <cell r="AO591">
            <v>10000</v>
          </cell>
          <cell r="AP591">
            <v>0</v>
          </cell>
          <cell r="AQ591">
            <v>70567</v>
          </cell>
          <cell r="AR591">
            <v>626727</v>
          </cell>
          <cell r="AS591">
            <v>0</v>
          </cell>
        </row>
        <row r="592">
          <cell r="P592">
            <v>1</v>
          </cell>
          <cell r="S592" t="str">
            <v xml:space="preserve"> </v>
          </cell>
          <cell r="U592" t="str">
            <v>DIFF.</v>
          </cell>
          <cell r="W592">
            <v>2200</v>
          </cell>
          <cell r="X592">
            <v>0</v>
          </cell>
          <cell r="Z592">
            <v>1250</v>
          </cell>
          <cell r="AA592">
            <v>0</v>
          </cell>
          <cell r="AB592">
            <v>0</v>
          </cell>
          <cell r="AC592">
            <v>0</v>
          </cell>
          <cell r="AE592">
            <v>-1000</v>
          </cell>
          <cell r="AF592">
            <v>0</v>
          </cell>
          <cell r="AG592">
            <v>0</v>
          </cell>
          <cell r="AH592">
            <v>2450</v>
          </cell>
          <cell r="AI592">
            <v>29400</v>
          </cell>
          <cell r="AJ592">
            <v>0</v>
          </cell>
          <cell r="AK592">
            <v>10000</v>
          </cell>
          <cell r="AL592">
            <v>5000</v>
          </cell>
          <cell r="AM592">
            <v>0</v>
          </cell>
          <cell r="AN592">
            <v>0</v>
          </cell>
          <cell r="AO592">
            <v>0</v>
          </cell>
          <cell r="AP592">
            <v>0</v>
          </cell>
          <cell r="AQ592">
            <v>7128</v>
          </cell>
          <cell r="AR592">
            <v>51528</v>
          </cell>
          <cell r="AS592">
            <v>8.9600000000000009</v>
          </cell>
        </row>
        <row r="593">
          <cell r="P593">
            <v>1</v>
          </cell>
          <cell r="S593" t="str">
            <v xml:space="preserve"> </v>
          </cell>
        </row>
        <row r="594">
          <cell r="G594">
            <v>2294</v>
          </cell>
          <cell r="H594" t="str">
            <v>MR N.B. REDDY</v>
          </cell>
          <cell r="I594">
            <v>20866</v>
          </cell>
          <cell r="J594">
            <v>31455</v>
          </cell>
          <cell r="K594">
            <v>16412</v>
          </cell>
          <cell r="L594" t="str">
            <v>MA</v>
          </cell>
          <cell r="M594">
            <v>24</v>
          </cell>
          <cell r="O594" t="str">
            <v>MA</v>
          </cell>
          <cell r="P594">
            <v>3</v>
          </cell>
          <cell r="Q594" t="str">
            <v>Delhi</v>
          </cell>
          <cell r="R594" t="str">
            <v>Delhi</v>
          </cell>
          <cell r="S594" t="str">
            <v xml:space="preserve"> </v>
          </cell>
          <cell r="T594" t="str">
            <v>BL</v>
          </cell>
          <cell r="U594">
            <v>2001</v>
          </cell>
          <cell r="V594">
            <v>76750</v>
          </cell>
          <cell r="W594">
            <v>21220</v>
          </cell>
          <cell r="X594">
            <v>0</v>
          </cell>
          <cell r="Y594" t="str">
            <v>L</v>
          </cell>
          <cell r="Z594">
            <v>2750</v>
          </cell>
          <cell r="AA594">
            <v>500</v>
          </cell>
          <cell r="AB594">
            <v>150</v>
          </cell>
          <cell r="AC594">
            <v>0</v>
          </cell>
          <cell r="AD594" t="str">
            <v>RS</v>
          </cell>
          <cell r="AE594">
            <v>450</v>
          </cell>
          <cell r="AG594">
            <v>7000</v>
          </cell>
          <cell r="AH594">
            <v>32070</v>
          </cell>
          <cell r="AI594">
            <v>384840</v>
          </cell>
          <cell r="AJ594">
            <v>30000</v>
          </cell>
          <cell r="AK594">
            <v>75000</v>
          </cell>
          <cell r="AL594">
            <v>10000</v>
          </cell>
          <cell r="AO594">
            <v>10000</v>
          </cell>
          <cell r="AQ594">
            <v>68753</v>
          </cell>
          <cell r="AR594">
            <v>578593</v>
          </cell>
        </row>
        <row r="595">
          <cell r="M595">
            <v>24</v>
          </cell>
          <cell r="P595">
            <v>3</v>
          </cell>
          <cell r="S595" t="str">
            <v xml:space="preserve"> </v>
          </cell>
          <cell r="U595">
            <v>2002</v>
          </cell>
          <cell r="W595">
            <v>23970</v>
          </cell>
          <cell r="X595">
            <v>0</v>
          </cell>
          <cell r="Z595">
            <v>3200</v>
          </cell>
          <cell r="AA595">
            <v>500</v>
          </cell>
          <cell r="AB595">
            <v>150</v>
          </cell>
          <cell r="AC595">
            <v>0</v>
          </cell>
          <cell r="AF595">
            <v>0</v>
          </cell>
          <cell r="AG595">
            <v>7000</v>
          </cell>
          <cell r="AH595">
            <v>34820</v>
          </cell>
          <cell r="AI595">
            <v>417840</v>
          </cell>
          <cell r="AJ595">
            <v>30000</v>
          </cell>
          <cell r="AK595">
            <v>85000</v>
          </cell>
          <cell r="AL595">
            <v>15000</v>
          </cell>
          <cell r="AM595">
            <v>0</v>
          </cell>
          <cell r="AN595">
            <v>0</v>
          </cell>
          <cell r="AO595">
            <v>10000</v>
          </cell>
          <cell r="AP595">
            <v>0</v>
          </cell>
          <cell r="AQ595">
            <v>77663</v>
          </cell>
          <cell r="AR595">
            <v>635503</v>
          </cell>
          <cell r="AS595">
            <v>0</v>
          </cell>
        </row>
        <row r="596">
          <cell r="P596">
            <v>3</v>
          </cell>
          <cell r="S596" t="str">
            <v xml:space="preserve"> </v>
          </cell>
          <cell r="U596" t="str">
            <v>DIFF.</v>
          </cell>
          <cell r="W596">
            <v>2750</v>
          </cell>
          <cell r="X596">
            <v>0</v>
          </cell>
          <cell r="Z596">
            <v>450</v>
          </cell>
          <cell r="AA596">
            <v>0</v>
          </cell>
          <cell r="AB596">
            <v>0</v>
          </cell>
          <cell r="AC596">
            <v>0</v>
          </cell>
          <cell r="AE596">
            <v>-450</v>
          </cell>
          <cell r="AF596">
            <v>0</v>
          </cell>
          <cell r="AG596">
            <v>0</v>
          </cell>
          <cell r="AH596">
            <v>2750</v>
          </cell>
          <cell r="AI596">
            <v>33000</v>
          </cell>
          <cell r="AJ596">
            <v>0</v>
          </cell>
          <cell r="AK596">
            <v>10000</v>
          </cell>
          <cell r="AL596">
            <v>5000</v>
          </cell>
          <cell r="AM596">
            <v>0</v>
          </cell>
          <cell r="AN596">
            <v>0</v>
          </cell>
          <cell r="AO596">
            <v>0</v>
          </cell>
          <cell r="AP596">
            <v>0</v>
          </cell>
          <cell r="AQ596">
            <v>8910</v>
          </cell>
          <cell r="AR596">
            <v>56910</v>
          </cell>
          <cell r="AS596">
            <v>9.84</v>
          </cell>
        </row>
        <row r="597">
          <cell r="P597">
            <v>3</v>
          </cell>
          <cell r="S597" t="str">
            <v xml:space="preserve"> </v>
          </cell>
        </row>
        <row r="598">
          <cell r="G598">
            <v>2297</v>
          </cell>
          <cell r="H598" t="str">
            <v>MR G.K. SINGH</v>
          </cell>
          <cell r="I598">
            <v>21653</v>
          </cell>
          <cell r="J598">
            <v>32469</v>
          </cell>
          <cell r="K598">
            <v>15625</v>
          </cell>
          <cell r="L598" t="str">
            <v>MA</v>
          </cell>
          <cell r="M598">
            <v>24</v>
          </cell>
          <cell r="O598" t="str">
            <v>MA</v>
          </cell>
          <cell r="P598">
            <v>1</v>
          </cell>
          <cell r="Q598" t="str">
            <v>Mumbai</v>
          </cell>
          <cell r="R598" t="str">
            <v>Ho</v>
          </cell>
          <cell r="S598" t="str">
            <v xml:space="preserve"> </v>
          </cell>
          <cell r="T598" t="str">
            <v>CA</v>
          </cell>
          <cell r="U598">
            <v>2001</v>
          </cell>
          <cell r="V598">
            <v>66000</v>
          </cell>
          <cell r="W598">
            <v>19665</v>
          </cell>
          <cell r="X598">
            <v>0</v>
          </cell>
          <cell r="Y598" t="str">
            <v>L</v>
          </cell>
          <cell r="Z598">
            <v>2750</v>
          </cell>
          <cell r="AA598">
            <v>500</v>
          </cell>
          <cell r="AB598">
            <v>150</v>
          </cell>
          <cell r="AC598">
            <v>0</v>
          </cell>
          <cell r="AD598" t="str">
            <v>RS</v>
          </cell>
          <cell r="AE598">
            <v>1000</v>
          </cell>
          <cell r="AG598">
            <v>7000</v>
          </cell>
          <cell r="AH598">
            <v>31065</v>
          </cell>
          <cell r="AI598">
            <v>372780</v>
          </cell>
          <cell r="AJ598">
            <v>30000</v>
          </cell>
          <cell r="AK598">
            <v>75000</v>
          </cell>
          <cell r="AL598">
            <v>10000</v>
          </cell>
          <cell r="AO598">
            <v>10000</v>
          </cell>
          <cell r="AQ598">
            <v>63715</v>
          </cell>
          <cell r="AR598">
            <v>561495</v>
          </cell>
        </row>
        <row r="599">
          <cell r="M599">
            <v>24</v>
          </cell>
          <cell r="P599">
            <v>1</v>
          </cell>
          <cell r="S599" t="str">
            <v xml:space="preserve"> </v>
          </cell>
          <cell r="U599">
            <v>2002</v>
          </cell>
          <cell r="W599">
            <v>21865</v>
          </cell>
          <cell r="X599">
            <v>0</v>
          </cell>
          <cell r="Z599">
            <v>4000</v>
          </cell>
          <cell r="AA599">
            <v>500</v>
          </cell>
          <cell r="AB599">
            <v>150</v>
          </cell>
          <cell r="AC599">
            <v>0</v>
          </cell>
          <cell r="AF599">
            <v>0</v>
          </cell>
          <cell r="AG599">
            <v>7000</v>
          </cell>
          <cell r="AH599">
            <v>33515</v>
          </cell>
          <cell r="AI599">
            <v>402180</v>
          </cell>
          <cell r="AJ599">
            <v>30000</v>
          </cell>
          <cell r="AK599">
            <v>85000</v>
          </cell>
          <cell r="AL599">
            <v>15000</v>
          </cell>
          <cell r="AM599">
            <v>0</v>
          </cell>
          <cell r="AN599">
            <v>0</v>
          </cell>
          <cell r="AO599">
            <v>10000</v>
          </cell>
          <cell r="AP599">
            <v>0</v>
          </cell>
          <cell r="AQ599">
            <v>70843</v>
          </cell>
          <cell r="AR599">
            <v>613023</v>
          </cell>
          <cell r="AS599">
            <v>0</v>
          </cell>
        </row>
        <row r="600">
          <cell r="P600">
            <v>1</v>
          </cell>
          <cell r="S600" t="str">
            <v xml:space="preserve"> </v>
          </cell>
          <cell r="U600" t="str">
            <v>DIFF.</v>
          </cell>
          <cell r="W600">
            <v>2200</v>
          </cell>
          <cell r="X600">
            <v>0</v>
          </cell>
          <cell r="Z600">
            <v>1250</v>
          </cell>
          <cell r="AA600">
            <v>0</v>
          </cell>
          <cell r="AB600">
            <v>0</v>
          </cell>
          <cell r="AC600">
            <v>0</v>
          </cell>
          <cell r="AE600">
            <v>-1000</v>
          </cell>
          <cell r="AF600">
            <v>0</v>
          </cell>
          <cell r="AG600">
            <v>0</v>
          </cell>
          <cell r="AH600">
            <v>2450</v>
          </cell>
          <cell r="AI600">
            <v>29400</v>
          </cell>
          <cell r="AJ600">
            <v>0</v>
          </cell>
          <cell r="AK600">
            <v>10000</v>
          </cell>
          <cell r="AL600">
            <v>5000</v>
          </cell>
          <cell r="AM600">
            <v>0</v>
          </cell>
          <cell r="AN600">
            <v>0</v>
          </cell>
          <cell r="AO600">
            <v>0</v>
          </cell>
          <cell r="AP600">
            <v>0</v>
          </cell>
          <cell r="AQ600">
            <v>7128</v>
          </cell>
          <cell r="AR600">
            <v>51528</v>
          </cell>
          <cell r="AS600">
            <v>9.18</v>
          </cell>
        </row>
        <row r="601">
          <cell r="P601">
            <v>1</v>
          </cell>
          <cell r="S601" t="str">
            <v xml:space="preserve"> </v>
          </cell>
        </row>
        <row r="602">
          <cell r="G602">
            <v>2301</v>
          </cell>
          <cell r="H602" t="str">
            <v>MR SAURIN H. SHAH</v>
          </cell>
          <cell r="I602">
            <v>24896</v>
          </cell>
          <cell r="J602">
            <v>32832</v>
          </cell>
          <cell r="K602">
            <v>12382</v>
          </cell>
          <cell r="L602" t="str">
            <v>MA</v>
          </cell>
          <cell r="M602">
            <v>24</v>
          </cell>
          <cell r="O602" t="str">
            <v>MA</v>
          </cell>
          <cell r="P602">
            <v>7</v>
          </cell>
          <cell r="Q602" t="str">
            <v>Other Locations</v>
          </cell>
          <cell r="R602" t="str">
            <v>Amd</v>
          </cell>
          <cell r="S602" t="str">
            <v xml:space="preserve"> </v>
          </cell>
          <cell r="T602" t="str">
            <v>BP</v>
          </cell>
          <cell r="U602">
            <v>2001</v>
          </cell>
          <cell r="V602">
            <v>76750</v>
          </cell>
          <cell r="W602">
            <v>19200</v>
          </cell>
          <cell r="X602">
            <v>6700</v>
          </cell>
          <cell r="Y602" t="str">
            <v>E</v>
          </cell>
          <cell r="AA602">
            <v>500</v>
          </cell>
          <cell r="AB602">
            <v>150</v>
          </cell>
          <cell r="AC602">
            <v>0</v>
          </cell>
          <cell r="AD602" t="str">
            <v>RS</v>
          </cell>
          <cell r="AE602">
            <v>0</v>
          </cell>
          <cell r="AG602">
            <v>7000</v>
          </cell>
          <cell r="AH602">
            <v>33550</v>
          </cell>
          <cell r="AI602">
            <v>402600</v>
          </cell>
          <cell r="AJ602">
            <v>30000</v>
          </cell>
          <cell r="AK602">
            <v>75000</v>
          </cell>
          <cell r="AL602">
            <v>10000</v>
          </cell>
          <cell r="AO602">
            <v>10000</v>
          </cell>
          <cell r="AQ602">
            <v>62208</v>
          </cell>
          <cell r="AR602">
            <v>589808</v>
          </cell>
        </row>
        <row r="603">
          <cell r="M603">
            <v>24</v>
          </cell>
          <cell r="P603">
            <v>7</v>
          </cell>
          <cell r="S603" t="str">
            <v xml:space="preserve"> </v>
          </cell>
          <cell r="U603">
            <v>2002</v>
          </cell>
          <cell r="W603">
            <v>22800</v>
          </cell>
          <cell r="X603">
            <v>8000</v>
          </cell>
          <cell r="Z603">
            <v>0</v>
          </cell>
          <cell r="AA603">
            <v>500</v>
          </cell>
          <cell r="AB603">
            <v>150</v>
          </cell>
          <cell r="AC603">
            <v>0</v>
          </cell>
          <cell r="AF603">
            <v>0</v>
          </cell>
          <cell r="AG603">
            <v>7000</v>
          </cell>
          <cell r="AH603">
            <v>38450</v>
          </cell>
          <cell r="AI603">
            <v>461400</v>
          </cell>
          <cell r="AJ603">
            <v>30000</v>
          </cell>
          <cell r="AK603">
            <v>85000</v>
          </cell>
          <cell r="AL603">
            <v>15000</v>
          </cell>
          <cell r="AM603">
            <v>0</v>
          </cell>
          <cell r="AN603">
            <v>0</v>
          </cell>
          <cell r="AO603">
            <v>10000</v>
          </cell>
          <cell r="AP603">
            <v>0</v>
          </cell>
          <cell r="AQ603">
            <v>73872</v>
          </cell>
          <cell r="AR603">
            <v>675272</v>
          </cell>
          <cell r="AS603">
            <v>0</v>
          </cell>
        </row>
        <row r="604">
          <cell r="P604">
            <v>7</v>
          </cell>
          <cell r="S604" t="str">
            <v xml:space="preserve"> </v>
          </cell>
          <cell r="U604" t="str">
            <v>DIFF.</v>
          </cell>
          <cell r="W604">
            <v>3600</v>
          </cell>
          <cell r="X604">
            <v>1300</v>
          </cell>
          <cell r="Z604">
            <v>0</v>
          </cell>
          <cell r="AA604">
            <v>0</v>
          </cell>
          <cell r="AB604">
            <v>0</v>
          </cell>
          <cell r="AC604">
            <v>0</v>
          </cell>
          <cell r="AE604">
            <v>0</v>
          </cell>
          <cell r="AF604">
            <v>0</v>
          </cell>
          <cell r="AG604">
            <v>0</v>
          </cell>
          <cell r="AH604">
            <v>4900</v>
          </cell>
          <cell r="AI604">
            <v>58800</v>
          </cell>
          <cell r="AJ604">
            <v>0</v>
          </cell>
          <cell r="AK604">
            <v>10000</v>
          </cell>
          <cell r="AL604">
            <v>5000</v>
          </cell>
          <cell r="AM604">
            <v>0</v>
          </cell>
          <cell r="AN604">
            <v>0</v>
          </cell>
          <cell r="AO604">
            <v>0</v>
          </cell>
          <cell r="AP604">
            <v>0</v>
          </cell>
          <cell r="AQ604">
            <v>11664</v>
          </cell>
          <cell r="AR604">
            <v>85464</v>
          </cell>
          <cell r="AS604">
            <v>14.49</v>
          </cell>
        </row>
        <row r="605">
          <cell r="P605">
            <v>7</v>
          </cell>
          <cell r="S605" t="str">
            <v xml:space="preserve"> </v>
          </cell>
        </row>
        <row r="606">
          <cell r="G606">
            <v>2303</v>
          </cell>
          <cell r="H606" t="str">
            <v>MR G. SAMBAMURTHY</v>
          </cell>
          <cell r="I606">
            <v>20598</v>
          </cell>
          <cell r="J606">
            <v>33086</v>
          </cell>
          <cell r="K606">
            <v>16680</v>
          </cell>
          <cell r="L606" t="str">
            <v>MA</v>
          </cell>
          <cell r="M606">
            <v>24</v>
          </cell>
          <cell r="O606" t="str">
            <v>MA</v>
          </cell>
          <cell r="P606">
            <v>7</v>
          </cell>
          <cell r="Q606" t="str">
            <v>Other Locations</v>
          </cell>
          <cell r="R606" t="str">
            <v>Hyderabad</v>
          </cell>
          <cell r="S606" t="str">
            <v xml:space="preserve"> </v>
          </cell>
          <cell r="T606" t="str">
            <v>CL</v>
          </cell>
          <cell r="U606">
            <v>2001</v>
          </cell>
          <cell r="V606">
            <v>66000</v>
          </cell>
          <cell r="W606">
            <v>20200</v>
          </cell>
          <cell r="X606">
            <v>7050</v>
          </cell>
          <cell r="AA606">
            <v>500</v>
          </cell>
          <cell r="AB606">
            <v>150</v>
          </cell>
          <cell r="AC606">
            <v>0</v>
          </cell>
          <cell r="AD606" t="str">
            <v>RS</v>
          </cell>
          <cell r="AE606">
            <v>0</v>
          </cell>
          <cell r="AG606">
            <v>7000</v>
          </cell>
          <cell r="AH606">
            <v>34900</v>
          </cell>
          <cell r="AI606">
            <v>418800</v>
          </cell>
          <cell r="AJ606">
            <v>30000</v>
          </cell>
          <cell r="AK606">
            <v>75000</v>
          </cell>
          <cell r="AL606">
            <v>10000</v>
          </cell>
          <cell r="AO606">
            <v>10000</v>
          </cell>
          <cell r="AQ606">
            <v>65448</v>
          </cell>
          <cell r="AR606">
            <v>609248</v>
          </cell>
        </row>
        <row r="607">
          <cell r="M607">
            <v>24</v>
          </cell>
          <cell r="P607">
            <v>7</v>
          </cell>
          <cell r="S607" t="str">
            <v xml:space="preserve"> </v>
          </cell>
          <cell r="U607">
            <v>2002</v>
          </cell>
          <cell r="W607">
            <v>22200</v>
          </cell>
          <cell r="X607">
            <v>8000</v>
          </cell>
          <cell r="Z607">
            <v>0</v>
          </cell>
          <cell r="AA607">
            <v>500</v>
          </cell>
          <cell r="AB607">
            <v>150</v>
          </cell>
          <cell r="AC607">
            <v>0</v>
          </cell>
          <cell r="AF607">
            <v>0</v>
          </cell>
          <cell r="AG607">
            <v>7000</v>
          </cell>
          <cell r="AH607">
            <v>37850</v>
          </cell>
          <cell r="AI607">
            <v>454200</v>
          </cell>
          <cell r="AJ607">
            <v>30000</v>
          </cell>
          <cell r="AK607">
            <v>85000</v>
          </cell>
          <cell r="AL607">
            <v>15000</v>
          </cell>
          <cell r="AM607">
            <v>0</v>
          </cell>
          <cell r="AN607">
            <v>0</v>
          </cell>
          <cell r="AO607">
            <v>10000</v>
          </cell>
          <cell r="AP607">
            <v>0</v>
          </cell>
          <cell r="AQ607">
            <v>71928</v>
          </cell>
          <cell r="AR607">
            <v>666128</v>
          </cell>
          <cell r="AS607">
            <v>0</v>
          </cell>
        </row>
        <row r="608">
          <cell r="P608">
            <v>7</v>
          </cell>
          <cell r="S608" t="str">
            <v xml:space="preserve"> </v>
          </cell>
          <cell r="U608" t="str">
            <v>DIFF.</v>
          </cell>
          <cell r="W608">
            <v>2000</v>
          </cell>
          <cell r="X608">
            <v>950</v>
          </cell>
          <cell r="Z608">
            <v>0</v>
          </cell>
          <cell r="AA608">
            <v>0</v>
          </cell>
          <cell r="AB608">
            <v>0</v>
          </cell>
          <cell r="AC608">
            <v>0</v>
          </cell>
          <cell r="AE608">
            <v>0</v>
          </cell>
          <cell r="AF608">
            <v>0</v>
          </cell>
          <cell r="AG608">
            <v>0</v>
          </cell>
          <cell r="AH608">
            <v>2950</v>
          </cell>
          <cell r="AI608">
            <v>35400</v>
          </cell>
          <cell r="AJ608">
            <v>0</v>
          </cell>
          <cell r="AK608">
            <v>10000</v>
          </cell>
          <cell r="AL608">
            <v>5000</v>
          </cell>
          <cell r="AM608">
            <v>0</v>
          </cell>
          <cell r="AN608">
            <v>0</v>
          </cell>
          <cell r="AO608">
            <v>0</v>
          </cell>
          <cell r="AP608">
            <v>0</v>
          </cell>
          <cell r="AQ608">
            <v>6480</v>
          </cell>
          <cell r="AR608">
            <v>56880</v>
          </cell>
          <cell r="AS608">
            <v>9.34</v>
          </cell>
        </row>
        <row r="609">
          <cell r="P609">
            <v>7</v>
          </cell>
          <cell r="S609" t="str">
            <v xml:space="preserve"> </v>
          </cell>
        </row>
        <row r="610">
          <cell r="G610">
            <v>2331</v>
          </cell>
          <cell r="H610" t="str">
            <v>MR RAJENDRA VELAGALA</v>
          </cell>
          <cell r="I610">
            <v>26480</v>
          </cell>
          <cell r="J610">
            <v>35397</v>
          </cell>
          <cell r="K610">
            <v>10798</v>
          </cell>
          <cell r="L610" t="str">
            <v>MA</v>
          </cell>
          <cell r="M610">
            <v>24</v>
          </cell>
          <cell r="O610" t="str">
            <v>MA</v>
          </cell>
          <cell r="P610">
            <v>1</v>
          </cell>
          <cell r="Q610" t="str">
            <v>Mumbai</v>
          </cell>
          <cell r="R610" t="str">
            <v>Ho</v>
          </cell>
          <cell r="S610" t="str">
            <v xml:space="preserve"> </v>
          </cell>
          <cell r="T610" t="str">
            <v>BP</v>
          </cell>
          <cell r="U610">
            <v>2001</v>
          </cell>
          <cell r="V610">
            <v>76750</v>
          </cell>
          <cell r="W610">
            <v>16000</v>
          </cell>
          <cell r="X610">
            <v>0</v>
          </cell>
          <cell r="Y610" t="str">
            <v>L</v>
          </cell>
          <cell r="Z610">
            <v>2750</v>
          </cell>
          <cell r="AA610">
            <v>500</v>
          </cell>
          <cell r="AB610">
            <v>150</v>
          </cell>
          <cell r="AC610">
            <v>1250</v>
          </cell>
          <cell r="AE610">
            <v>1000</v>
          </cell>
          <cell r="AG610">
            <v>7000</v>
          </cell>
          <cell r="AH610">
            <v>28650</v>
          </cell>
          <cell r="AI610">
            <v>343800</v>
          </cell>
          <cell r="AJ610">
            <v>30000</v>
          </cell>
          <cell r="AK610">
            <v>75000</v>
          </cell>
          <cell r="AL610">
            <v>10000</v>
          </cell>
          <cell r="AO610">
            <v>10000</v>
          </cell>
          <cell r="AQ610">
            <v>51840</v>
          </cell>
          <cell r="AR610">
            <v>520640</v>
          </cell>
        </row>
        <row r="611">
          <cell r="M611">
            <v>24</v>
          </cell>
          <cell r="P611">
            <v>1</v>
          </cell>
          <cell r="S611" t="str">
            <v xml:space="preserve"> </v>
          </cell>
          <cell r="U611">
            <v>2002</v>
          </cell>
          <cell r="W611">
            <v>19600</v>
          </cell>
          <cell r="X611">
            <v>0</v>
          </cell>
          <cell r="Z611">
            <v>4000</v>
          </cell>
          <cell r="AA611">
            <v>500</v>
          </cell>
          <cell r="AB611">
            <v>150</v>
          </cell>
          <cell r="AC611">
            <v>1250</v>
          </cell>
          <cell r="AF611">
            <v>0</v>
          </cell>
          <cell r="AG611">
            <v>7000</v>
          </cell>
          <cell r="AH611">
            <v>32500</v>
          </cell>
          <cell r="AI611">
            <v>390000</v>
          </cell>
          <cell r="AJ611">
            <v>30000</v>
          </cell>
          <cell r="AK611">
            <v>85000</v>
          </cell>
          <cell r="AL611">
            <v>15000</v>
          </cell>
          <cell r="AM611">
            <v>0</v>
          </cell>
          <cell r="AN611">
            <v>0</v>
          </cell>
          <cell r="AO611">
            <v>10000</v>
          </cell>
          <cell r="AP611">
            <v>0</v>
          </cell>
          <cell r="AQ611">
            <v>63504</v>
          </cell>
          <cell r="AR611">
            <v>593504</v>
          </cell>
          <cell r="AS611">
            <v>0</v>
          </cell>
        </row>
        <row r="612">
          <cell r="P612">
            <v>1</v>
          </cell>
          <cell r="S612" t="str">
            <v xml:space="preserve"> </v>
          </cell>
          <cell r="U612" t="str">
            <v>DIFF.</v>
          </cell>
          <cell r="W612">
            <v>3600</v>
          </cell>
          <cell r="X612">
            <v>0</v>
          </cell>
          <cell r="Z612">
            <v>1250</v>
          </cell>
          <cell r="AA612">
            <v>0</v>
          </cell>
          <cell r="AB612">
            <v>0</v>
          </cell>
          <cell r="AC612">
            <v>0</v>
          </cell>
          <cell r="AE612">
            <v>-1000</v>
          </cell>
          <cell r="AF612">
            <v>0</v>
          </cell>
          <cell r="AG612">
            <v>0</v>
          </cell>
          <cell r="AH612">
            <v>3850</v>
          </cell>
          <cell r="AI612">
            <v>46200</v>
          </cell>
          <cell r="AJ612">
            <v>0</v>
          </cell>
          <cell r="AK612">
            <v>10000</v>
          </cell>
          <cell r="AL612">
            <v>5000</v>
          </cell>
          <cell r="AM612">
            <v>0</v>
          </cell>
          <cell r="AN612">
            <v>0</v>
          </cell>
          <cell r="AO612">
            <v>0</v>
          </cell>
          <cell r="AP612">
            <v>0</v>
          </cell>
          <cell r="AQ612">
            <v>11664</v>
          </cell>
          <cell r="AR612">
            <v>72864</v>
          </cell>
          <cell r="AS612">
            <v>14</v>
          </cell>
        </row>
        <row r="613">
          <cell r="P613">
            <v>1</v>
          </cell>
          <cell r="S613" t="str">
            <v xml:space="preserve"> </v>
          </cell>
        </row>
        <row r="614">
          <cell r="G614">
            <v>2351</v>
          </cell>
          <cell r="H614" t="str">
            <v>MR BIJIT SARMAH</v>
          </cell>
          <cell r="I614">
            <v>20121</v>
          </cell>
          <cell r="J614">
            <v>35828</v>
          </cell>
          <cell r="K614">
            <v>17157</v>
          </cell>
          <cell r="L614" t="str">
            <v>MA</v>
          </cell>
          <cell r="M614">
            <v>24</v>
          </cell>
          <cell r="O614" t="str">
            <v>MA</v>
          </cell>
          <cell r="P614">
            <v>4</v>
          </cell>
          <cell r="Q614" t="str">
            <v>Kolkatta</v>
          </cell>
          <cell r="R614" t="str">
            <v>Kolkatta</v>
          </cell>
          <cell r="S614" t="str">
            <v xml:space="preserve"> </v>
          </cell>
          <cell r="T614" t="str">
            <v>CL</v>
          </cell>
          <cell r="U614">
            <v>2001</v>
          </cell>
          <cell r="V614">
            <v>66000</v>
          </cell>
          <cell r="W614">
            <v>19030</v>
          </cell>
          <cell r="X614">
            <v>0</v>
          </cell>
          <cell r="Y614" t="str">
            <v>L</v>
          </cell>
          <cell r="Z614">
            <v>2750</v>
          </cell>
          <cell r="AA614">
            <v>500</v>
          </cell>
          <cell r="AB614">
            <v>150</v>
          </cell>
          <cell r="AC614">
            <v>1250</v>
          </cell>
          <cell r="AE614">
            <v>450</v>
          </cell>
          <cell r="AG614">
            <v>7000</v>
          </cell>
          <cell r="AH614">
            <v>31130</v>
          </cell>
          <cell r="AI614">
            <v>373560</v>
          </cell>
          <cell r="AJ614">
            <v>30000</v>
          </cell>
          <cell r="AK614">
            <v>75000</v>
          </cell>
          <cell r="AL614">
            <v>10000</v>
          </cell>
          <cell r="AO614">
            <v>10000</v>
          </cell>
          <cell r="AQ614">
            <v>61657</v>
          </cell>
          <cell r="AR614">
            <v>560217</v>
          </cell>
        </row>
        <row r="615">
          <cell r="M615">
            <v>24</v>
          </cell>
          <cell r="P615">
            <v>4</v>
          </cell>
          <cell r="S615" t="str">
            <v xml:space="preserve"> </v>
          </cell>
          <cell r="U615">
            <v>2002</v>
          </cell>
          <cell r="W615">
            <v>21030</v>
          </cell>
          <cell r="X615">
            <v>0</v>
          </cell>
          <cell r="Z615">
            <v>3200</v>
          </cell>
          <cell r="AA615">
            <v>500</v>
          </cell>
          <cell r="AB615">
            <v>150</v>
          </cell>
          <cell r="AC615">
            <v>1250</v>
          </cell>
          <cell r="AF615">
            <v>0</v>
          </cell>
          <cell r="AG615">
            <v>7000</v>
          </cell>
          <cell r="AH615">
            <v>33130</v>
          </cell>
          <cell r="AI615">
            <v>397560</v>
          </cell>
          <cell r="AJ615">
            <v>30000</v>
          </cell>
          <cell r="AK615">
            <v>85000</v>
          </cell>
          <cell r="AL615">
            <v>15000</v>
          </cell>
          <cell r="AM615">
            <v>0</v>
          </cell>
          <cell r="AN615">
            <v>0</v>
          </cell>
          <cell r="AO615">
            <v>10000</v>
          </cell>
          <cell r="AP615">
            <v>0</v>
          </cell>
          <cell r="AQ615">
            <v>68137</v>
          </cell>
          <cell r="AR615">
            <v>605697</v>
          </cell>
          <cell r="AS615">
            <v>0</v>
          </cell>
        </row>
        <row r="616">
          <cell r="P616">
            <v>4</v>
          </cell>
          <cell r="S616" t="str">
            <v xml:space="preserve"> </v>
          </cell>
          <cell r="U616" t="str">
            <v>DIFF.</v>
          </cell>
          <cell r="W616">
            <v>2000</v>
          </cell>
          <cell r="X616">
            <v>0</v>
          </cell>
          <cell r="Z616">
            <v>450</v>
          </cell>
          <cell r="AA616">
            <v>0</v>
          </cell>
          <cell r="AB616">
            <v>0</v>
          </cell>
          <cell r="AC616">
            <v>0</v>
          </cell>
          <cell r="AE616">
            <v>-450</v>
          </cell>
          <cell r="AF616">
            <v>0</v>
          </cell>
          <cell r="AG616">
            <v>0</v>
          </cell>
          <cell r="AH616">
            <v>2000</v>
          </cell>
          <cell r="AI616">
            <v>24000</v>
          </cell>
          <cell r="AJ616">
            <v>0</v>
          </cell>
          <cell r="AK616">
            <v>10000</v>
          </cell>
          <cell r="AL616">
            <v>5000</v>
          </cell>
          <cell r="AM616">
            <v>0</v>
          </cell>
          <cell r="AN616">
            <v>0</v>
          </cell>
          <cell r="AO616">
            <v>0</v>
          </cell>
          <cell r="AP616">
            <v>0</v>
          </cell>
          <cell r="AQ616">
            <v>6480</v>
          </cell>
          <cell r="AR616">
            <v>45480</v>
          </cell>
          <cell r="AS616">
            <v>8.1199999999999992</v>
          </cell>
        </row>
        <row r="617">
          <cell r="P617">
            <v>4</v>
          </cell>
          <cell r="S617" t="str">
            <v xml:space="preserve"> </v>
          </cell>
        </row>
        <row r="618">
          <cell r="G618">
            <v>2419</v>
          </cell>
          <cell r="H618" t="str">
            <v>MR MITTAL SUSHEEL</v>
          </cell>
          <cell r="I618">
            <v>25869</v>
          </cell>
          <cell r="J618">
            <v>37104</v>
          </cell>
          <cell r="K618">
            <v>11409</v>
          </cell>
          <cell r="L618" t="str">
            <v>MA</v>
          </cell>
          <cell r="M618">
            <v>24</v>
          </cell>
          <cell r="O618" t="str">
            <v>MA</v>
          </cell>
          <cell r="P618">
            <v>1</v>
          </cell>
          <cell r="Q618" t="str">
            <v>Mumbai</v>
          </cell>
          <cell r="R618" t="str">
            <v>Ho</v>
          </cell>
          <cell r="S618" t="str">
            <v xml:space="preserve"> </v>
          </cell>
          <cell r="U618">
            <v>2001</v>
          </cell>
          <cell r="V618">
            <v>31250</v>
          </cell>
          <cell r="W618">
            <v>22000</v>
          </cell>
          <cell r="X618">
            <v>7700</v>
          </cell>
          <cell r="AA618">
            <v>500</v>
          </cell>
          <cell r="AB618">
            <v>150</v>
          </cell>
          <cell r="AC618">
            <v>0</v>
          </cell>
          <cell r="AD618" t="str">
            <v>RS</v>
          </cell>
          <cell r="AE618">
            <v>1000</v>
          </cell>
          <cell r="AG618">
            <v>7000</v>
          </cell>
          <cell r="AH618">
            <v>38350</v>
          </cell>
          <cell r="AI618">
            <v>460200</v>
          </cell>
          <cell r="AJ618">
            <v>30000</v>
          </cell>
          <cell r="AK618">
            <v>75000</v>
          </cell>
          <cell r="AL618">
            <v>10000</v>
          </cell>
          <cell r="AO618">
            <v>10000</v>
          </cell>
          <cell r="AQ618">
            <v>71280</v>
          </cell>
          <cell r="AR618">
            <v>656480</v>
          </cell>
        </row>
        <row r="619">
          <cell r="M619">
            <v>24</v>
          </cell>
          <cell r="P619">
            <v>1</v>
          </cell>
          <cell r="S619" t="str">
            <v xml:space="preserve"> </v>
          </cell>
          <cell r="U619">
            <v>2002</v>
          </cell>
          <cell r="W619">
            <v>22000</v>
          </cell>
          <cell r="X619">
            <v>12000</v>
          </cell>
          <cell r="Z619">
            <v>0</v>
          </cell>
          <cell r="AA619">
            <v>500</v>
          </cell>
          <cell r="AB619">
            <v>150</v>
          </cell>
          <cell r="AC619">
            <v>0</v>
          </cell>
          <cell r="AF619">
            <v>0</v>
          </cell>
          <cell r="AG619">
            <v>7000</v>
          </cell>
          <cell r="AH619">
            <v>41650</v>
          </cell>
          <cell r="AI619">
            <v>499800</v>
          </cell>
          <cell r="AJ619">
            <v>30000</v>
          </cell>
          <cell r="AK619">
            <v>85000</v>
          </cell>
          <cell r="AL619">
            <v>15000</v>
          </cell>
          <cell r="AM619">
            <v>0</v>
          </cell>
          <cell r="AN619">
            <v>0</v>
          </cell>
          <cell r="AO619">
            <v>10000</v>
          </cell>
          <cell r="AP619">
            <v>0</v>
          </cell>
          <cell r="AQ619">
            <v>71280</v>
          </cell>
          <cell r="AR619">
            <v>711080</v>
          </cell>
          <cell r="AS619">
            <v>0</v>
          </cell>
        </row>
        <row r="620">
          <cell r="P620">
            <v>1</v>
          </cell>
          <cell r="S620" t="str">
            <v xml:space="preserve"> </v>
          </cell>
          <cell r="U620" t="str">
            <v>DIFF.</v>
          </cell>
          <cell r="W620">
            <v>0</v>
          </cell>
          <cell r="X620">
            <v>4300</v>
          </cell>
          <cell r="Z620">
            <v>0</v>
          </cell>
          <cell r="AA620">
            <v>0</v>
          </cell>
          <cell r="AB620">
            <v>0</v>
          </cell>
          <cell r="AC620">
            <v>0</v>
          </cell>
          <cell r="AE620">
            <v>-1000</v>
          </cell>
          <cell r="AF620">
            <v>0</v>
          </cell>
          <cell r="AG620">
            <v>0</v>
          </cell>
          <cell r="AH620">
            <v>3300</v>
          </cell>
          <cell r="AI620">
            <v>39600</v>
          </cell>
          <cell r="AJ620">
            <v>0</v>
          </cell>
          <cell r="AK620">
            <v>10000</v>
          </cell>
          <cell r="AL620">
            <v>5000</v>
          </cell>
          <cell r="AM620">
            <v>0</v>
          </cell>
          <cell r="AN620">
            <v>0</v>
          </cell>
          <cell r="AO620">
            <v>0</v>
          </cell>
          <cell r="AP620">
            <v>0</v>
          </cell>
          <cell r="AQ620">
            <v>0</v>
          </cell>
          <cell r="AR620">
            <v>54600</v>
          </cell>
          <cell r="AS620">
            <v>8.32</v>
          </cell>
        </row>
        <row r="621">
          <cell r="P621">
            <v>1</v>
          </cell>
          <cell r="S621" t="str">
            <v xml:space="preserve"> </v>
          </cell>
        </row>
        <row r="622">
          <cell r="G622">
            <v>1335</v>
          </cell>
          <cell r="H622" t="str">
            <v>MR RAO K V</v>
          </cell>
          <cell r="I622">
            <v>18902</v>
          </cell>
          <cell r="J622">
            <v>28947</v>
          </cell>
          <cell r="K622">
            <v>18376</v>
          </cell>
          <cell r="L622" t="str">
            <v>MA</v>
          </cell>
          <cell r="M622">
            <v>25</v>
          </cell>
          <cell r="O622" t="str">
            <v>MAM</v>
          </cell>
          <cell r="P622">
            <v>1</v>
          </cell>
          <cell r="Q622" t="str">
            <v>Mumbai</v>
          </cell>
          <cell r="R622" t="str">
            <v>Ho</v>
          </cell>
          <cell r="S622" t="str">
            <v xml:space="preserve"> </v>
          </cell>
          <cell r="T622" t="str">
            <v>BP</v>
          </cell>
          <cell r="U622">
            <v>2001</v>
          </cell>
          <cell r="V622">
            <v>101500</v>
          </cell>
          <cell r="W622">
            <v>29214</v>
          </cell>
          <cell r="X622">
            <v>10750</v>
          </cell>
          <cell r="AA622">
            <v>500</v>
          </cell>
          <cell r="AB622">
            <v>150</v>
          </cell>
          <cell r="AC622">
            <v>0</v>
          </cell>
          <cell r="AE622">
            <v>1000</v>
          </cell>
          <cell r="AG622">
            <v>9000</v>
          </cell>
          <cell r="AH622">
            <v>50614</v>
          </cell>
          <cell r="AI622">
            <v>607368</v>
          </cell>
          <cell r="AJ622">
            <v>35000</v>
          </cell>
          <cell r="AK622">
            <v>100000</v>
          </cell>
          <cell r="AL622">
            <v>15000</v>
          </cell>
          <cell r="AM622">
            <v>6000</v>
          </cell>
          <cell r="AO622">
            <v>15000</v>
          </cell>
          <cell r="AQ622">
            <v>94653</v>
          </cell>
          <cell r="AR622">
            <v>873021</v>
          </cell>
        </row>
        <row r="623">
          <cell r="M623">
            <v>25</v>
          </cell>
          <cell r="P623">
            <v>1</v>
          </cell>
          <cell r="S623" t="str">
            <v xml:space="preserve"> </v>
          </cell>
          <cell r="U623">
            <v>2002</v>
          </cell>
          <cell r="W623">
            <v>33414</v>
          </cell>
          <cell r="X623">
            <v>15000</v>
          </cell>
          <cell r="Z623">
            <v>0</v>
          </cell>
          <cell r="AA623">
            <v>500</v>
          </cell>
          <cell r="AB623">
            <v>150</v>
          </cell>
          <cell r="AC623">
            <v>0</v>
          </cell>
          <cell r="AF623">
            <v>0</v>
          </cell>
          <cell r="AG623">
            <v>9000</v>
          </cell>
          <cell r="AH623">
            <v>58064</v>
          </cell>
          <cell r="AI623">
            <v>696768</v>
          </cell>
          <cell r="AJ623">
            <v>40000</v>
          </cell>
          <cell r="AK623">
            <v>125000</v>
          </cell>
          <cell r="AL623">
            <v>15000</v>
          </cell>
          <cell r="AM623">
            <v>6000</v>
          </cell>
          <cell r="AN623">
            <v>0</v>
          </cell>
          <cell r="AO623">
            <v>15000</v>
          </cell>
          <cell r="AP623">
            <v>0</v>
          </cell>
          <cell r="AQ623">
            <v>108261</v>
          </cell>
          <cell r="AR623">
            <v>1006029</v>
          </cell>
          <cell r="AS623">
            <v>0</v>
          </cell>
        </row>
        <row r="624">
          <cell r="P624">
            <v>1</v>
          </cell>
          <cell r="S624" t="str">
            <v xml:space="preserve"> </v>
          </cell>
          <cell r="U624" t="str">
            <v>DIFF.</v>
          </cell>
          <cell r="W624">
            <v>4200</v>
          </cell>
          <cell r="X624">
            <v>4250</v>
          </cell>
          <cell r="Z624">
            <v>0</v>
          </cell>
          <cell r="AA624">
            <v>0</v>
          </cell>
          <cell r="AB624">
            <v>0</v>
          </cell>
          <cell r="AC624">
            <v>0</v>
          </cell>
          <cell r="AE624">
            <v>-1000</v>
          </cell>
          <cell r="AF624">
            <v>0</v>
          </cell>
          <cell r="AG624">
            <v>0</v>
          </cell>
          <cell r="AH624">
            <v>7450</v>
          </cell>
          <cell r="AI624">
            <v>89400</v>
          </cell>
          <cell r="AJ624">
            <v>5000</v>
          </cell>
          <cell r="AK624">
            <v>25000</v>
          </cell>
          <cell r="AL624">
            <v>0</v>
          </cell>
          <cell r="AM624">
            <v>0</v>
          </cell>
          <cell r="AN624">
            <v>0</v>
          </cell>
          <cell r="AO624">
            <v>0</v>
          </cell>
          <cell r="AP624">
            <v>0</v>
          </cell>
          <cell r="AQ624">
            <v>13608</v>
          </cell>
          <cell r="AR624">
            <v>133008</v>
          </cell>
          <cell r="AS624">
            <v>15.24</v>
          </cell>
        </row>
        <row r="625">
          <cell r="P625">
            <v>1</v>
          </cell>
          <cell r="S625" t="str">
            <v xml:space="preserve"> </v>
          </cell>
        </row>
        <row r="626">
          <cell r="G626">
            <v>1556</v>
          </cell>
          <cell r="H626" t="str">
            <v>MR SHIRVAIKAR A M</v>
          </cell>
          <cell r="I626">
            <v>18923</v>
          </cell>
          <cell r="J626">
            <v>30335</v>
          </cell>
          <cell r="K626">
            <v>18355</v>
          </cell>
          <cell r="L626" t="str">
            <v>MA</v>
          </cell>
          <cell r="M626">
            <v>25</v>
          </cell>
          <cell r="O626" t="str">
            <v>MA</v>
          </cell>
          <cell r="P626">
            <v>1</v>
          </cell>
          <cell r="Q626" t="str">
            <v>Mumbai</v>
          </cell>
          <cell r="R626" t="str">
            <v>Ho</v>
          </cell>
          <cell r="S626" t="str">
            <v xml:space="preserve"> </v>
          </cell>
          <cell r="T626" t="str">
            <v>BA</v>
          </cell>
          <cell r="U626">
            <v>2001</v>
          </cell>
          <cell r="V626">
            <v>101500</v>
          </cell>
          <cell r="W626">
            <v>32175</v>
          </cell>
          <cell r="X626">
            <v>11750</v>
          </cell>
          <cell r="Y626" t="str">
            <v>E</v>
          </cell>
          <cell r="AA626">
            <v>500</v>
          </cell>
          <cell r="AB626">
            <v>150</v>
          </cell>
          <cell r="AC626">
            <v>0</v>
          </cell>
          <cell r="AE626">
            <v>1000</v>
          </cell>
          <cell r="AG626">
            <v>9000</v>
          </cell>
          <cell r="AH626">
            <v>54575</v>
          </cell>
          <cell r="AI626">
            <v>654900</v>
          </cell>
          <cell r="AJ626">
            <v>35000</v>
          </cell>
          <cell r="AK626">
            <v>100000</v>
          </cell>
          <cell r="AL626">
            <v>15000</v>
          </cell>
          <cell r="AM626">
            <v>6000</v>
          </cell>
          <cell r="AO626">
            <v>15000</v>
          </cell>
          <cell r="AQ626">
            <v>104247</v>
          </cell>
          <cell r="AR626">
            <v>930147</v>
          </cell>
        </row>
        <row r="627">
          <cell r="M627">
            <v>25</v>
          </cell>
          <cell r="P627">
            <v>1</v>
          </cell>
          <cell r="S627" t="str">
            <v xml:space="preserve"> </v>
          </cell>
          <cell r="U627">
            <v>2002</v>
          </cell>
          <cell r="W627">
            <v>35425</v>
          </cell>
          <cell r="X627">
            <v>15000</v>
          </cell>
          <cell r="Z627">
            <v>0</v>
          </cell>
          <cell r="AA627">
            <v>500</v>
          </cell>
          <cell r="AB627">
            <v>150</v>
          </cell>
          <cell r="AC627">
            <v>0</v>
          </cell>
          <cell r="AF627">
            <v>0</v>
          </cell>
          <cell r="AG627">
            <v>9000</v>
          </cell>
          <cell r="AH627">
            <v>60075</v>
          </cell>
          <cell r="AI627">
            <v>720900</v>
          </cell>
          <cell r="AJ627">
            <v>40000</v>
          </cell>
          <cell r="AK627">
            <v>125000</v>
          </cell>
          <cell r="AL627">
            <v>15000</v>
          </cell>
          <cell r="AM627">
            <v>6000</v>
          </cell>
          <cell r="AN627">
            <v>0</v>
          </cell>
          <cell r="AO627">
            <v>15000</v>
          </cell>
          <cell r="AP627">
            <v>0</v>
          </cell>
          <cell r="AQ627">
            <v>114777</v>
          </cell>
          <cell r="AR627">
            <v>1036677</v>
          </cell>
          <cell r="AS627">
            <v>0</v>
          </cell>
        </row>
        <row r="628">
          <cell r="P628">
            <v>1</v>
          </cell>
          <cell r="S628" t="str">
            <v xml:space="preserve"> </v>
          </cell>
          <cell r="U628" t="str">
            <v>DIFF.</v>
          </cell>
          <cell r="W628">
            <v>3250</v>
          </cell>
          <cell r="X628">
            <v>3250</v>
          </cell>
          <cell r="Z628">
            <v>0</v>
          </cell>
          <cell r="AA628">
            <v>0</v>
          </cell>
          <cell r="AB628">
            <v>0</v>
          </cell>
          <cell r="AC628">
            <v>0</v>
          </cell>
          <cell r="AE628">
            <v>-1000</v>
          </cell>
          <cell r="AF628">
            <v>0</v>
          </cell>
          <cell r="AG628">
            <v>0</v>
          </cell>
          <cell r="AH628">
            <v>5500</v>
          </cell>
          <cell r="AI628">
            <v>66000</v>
          </cell>
          <cell r="AJ628">
            <v>5000</v>
          </cell>
          <cell r="AK628">
            <v>25000</v>
          </cell>
          <cell r="AL628">
            <v>0</v>
          </cell>
          <cell r="AM628">
            <v>0</v>
          </cell>
          <cell r="AN628">
            <v>0</v>
          </cell>
          <cell r="AO628">
            <v>0</v>
          </cell>
          <cell r="AP628">
            <v>0</v>
          </cell>
          <cell r="AQ628">
            <v>10530</v>
          </cell>
          <cell r="AR628">
            <v>106530</v>
          </cell>
          <cell r="AS628">
            <v>11.45</v>
          </cell>
        </row>
        <row r="629">
          <cell r="P629">
            <v>1</v>
          </cell>
          <cell r="S629" t="str">
            <v xml:space="preserve"> </v>
          </cell>
        </row>
        <row r="630">
          <cell r="G630">
            <v>1336</v>
          </cell>
          <cell r="H630" t="str">
            <v>MR BADOLA D M</v>
          </cell>
          <cell r="I630">
            <v>19088</v>
          </cell>
          <cell r="J630">
            <v>28954</v>
          </cell>
          <cell r="K630">
            <v>18190</v>
          </cell>
          <cell r="L630" t="str">
            <v>MA</v>
          </cell>
          <cell r="M630">
            <v>26</v>
          </cell>
          <cell r="O630" t="str">
            <v>MAM</v>
          </cell>
          <cell r="P630">
            <v>1</v>
          </cell>
          <cell r="Q630" t="str">
            <v>Mumbai</v>
          </cell>
          <cell r="R630" t="str">
            <v>Ho</v>
          </cell>
          <cell r="S630" t="str">
            <v xml:space="preserve"> </v>
          </cell>
          <cell r="T630" t="str">
            <v>BA</v>
          </cell>
          <cell r="U630">
            <v>2001</v>
          </cell>
          <cell r="V630">
            <v>148125</v>
          </cell>
          <cell r="W630">
            <v>38331</v>
          </cell>
          <cell r="X630">
            <v>0</v>
          </cell>
          <cell r="Y630" t="str">
            <v>C</v>
          </cell>
          <cell r="Z630">
            <v>5500</v>
          </cell>
          <cell r="AA630">
            <v>500</v>
          </cell>
          <cell r="AB630">
            <v>0</v>
          </cell>
          <cell r="AC630">
            <v>0</v>
          </cell>
          <cell r="AE630">
            <v>1000</v>
          </cell>
          <cell r="AG630">
            <v>17000</v>
          </cell>
          <cell r="AH630">
            <v>62331</v>
          </cell>
          <cell r="AI630">
            <v>747972</v>
          </cell>
          <cell r="AJ630">
            <v>50000</v>
          </cell>
          <cell r="AK630">
            <v>150000</v>
          </cell>
          <cell r="AL630">
            <v>15000</v>
          </cell>
          <cell r="AM630">
            <v>7500</v>
          </cell>
          <cell r="AN630">
            <v>10000</v>
          </cell>
          <cell r="AO630">
            <v>15000</v>
          </cell>
          <cell r="AP630">
            <v>16000</v>
          </cell>
          <cell r="AQ630">
            <v>124192</v>
          </cell>
          <cell r="AR630">
            <v>1135664</v>
          </cell>
        </row>
        <row r="631">
          <cell r="M631">
            <v>26</v>
          </cell>
          <cell r="P631">
            <v>1</v>
          </cell>
          <cell r="S631" t="str">
            <v xml:space="preserve"> </v>
          </cell>
          <cell r="U631">
            <v>2002</v>
          </cell>
          <cell r="W631">
            <v>43831</v>
          </cell>
          <cell r="X631">
            <v>0</v>
          </cell>
          <cell r="Z631">
            <v>7000</v>
          </cell>
          <cell r="AA631">
            <v>500</v>
          </cell>
          <cell r="AB631">
            <v>0</v>
          </cell>
          <cell r="AC631">
            <v>0</v>
          </cell>
          <cell r="AF631">
            <v>0</v>
          </cell>
          <cell r="AG631">
            <v>18000</v>
          </cell>
          <cell r="AH631">
            <v>69331</v>
          </cell>
          <cell r="AI631">
            <v>831972</v>
          </cell>
          <cell r="AJ631">
            <v>55000</v>
          </cell>
          <cell r="AK631">
            <v>175000</v>
          </cell>
          <cell r="AL631">
            <v>15000</v>
          </cell>
          <cell r="AM631">
            <v>7500</v>
          </cell>
          <cell r="AN631">
            <v>10000</v>
          </cell>
          <cell r="AO631">
            <v>15000</v>
          </cell>
          <cell r="AP631">
            <v>16000</v>
          </cell>
          <cell r="AQ631">
            <v>142012</v>
          </cell>
          <cell r="AR631">
            <v>1267484</v>
          </cell>
          <cell r="AS631">
            <v>0</v>
          </cell>
        </row>
        <row r="632">
          <cell r="P632">
            <v>1</v>
          </cell>
          <cell r="S632" t="str">
            <v xml:space="preserve"> </v>
          </cell>
          <cell r="U632" t="str">
            <v>DIFF.</v>
          </cell>
          <cell r="W632">
            <v>5500</v>
          </cell>
          <cell r="X632">
            <v>0</v>
          </cell>
          <cell r="Z632">
            <v>1500</v>
          </cell>
          <cell r="AA632">
            <v>0</v>
          </cell>
          <cell r="AB632">
            <v>0</v>
          </cell>
          <cell r="AC632">
            <v>0</v>
          </cell>
          <cell r="AE632">
            <v>-1000</v>
          </cell>
          <cell r="AF632">
            <v>0</v>
          </cell>
          <cell r="AG632">
            <v>1000</v>
          </cell>
          <cell r="AH632">
            <v>7000</v>
          </cell>
          <cell r="AI632">
            <v>84000</v>
          </cell>
          <cell r="AJ632">
            <v>5000</v>
          </cell>
          <cell r="AK632">
            <v>25000</v>
          </cell>
          <cell r="AL632">
            <v>0</v>
          </cell>
          <cell r="AM632">
            <v>0</v>
          </cell>
          <cell r="AN632">
            <v>0</v>
          </cell>
          <cell r="AO632">
            <v>0</v>
          </cell>
          <cell r="AP632">
            <v>0</v>
          </cell>
          <cell r="AQ632">
            <v>17820</v>
          </cell>
          <cell r="AR632">
            <v>131820</v>
          </cell>
          <cell r="AS632">
            <v>11.61</v>
          </cell>
        </row>
        <row r="633">
          <cell r="P633">
            <v>1</v>
          </cell>
          <cell r="S633" t="str">
            <v xml:space="preserve"> </v>
          </cell>
        </row>
        <row r="634">
          <cell r="G634">
            <v>2260</v>
          </cell>
          <cell r="H634" t="str">
            <v>MR THYAGARAJAN K S</v>
          </cell>
          <cell r="I634">
            <v>20595</v>
          </cell>
          <cell r="J634">
            <v>36913</v>
          </cell>
          <cell r="K634">
            <v>16683</v>
          </cell>
          <cell r="L634" t="str">
            <v>MA</v>
          </cell>
          <cell r="M634">
            <v>26</v>
          </cell>
          <cell r="O634" t="str">
            <v>MAT</v>
          </cell>
          <cell r="P634">
            <v>1</v>
          </cell>
          <cell r="Q634" t="str">
            <v>Mumbai</v>
          </cell>
          <cell r="R634" t="str">
            <v>Ho</v>
          </cell>
          <cell r="S634" t="str">
            <v xml:space="preserve"> </v>
          </cell>
          <cell r="T634" t="str">
            <v>BP</v>
          </cell>
          <cell r="U634">
            <v>2001</v>
          </cell>
          <cell r="V634">
            <v>148125</v>
          </cell>
          <cell r="W634">
            <v>27000</v>
          </cell>
          <cell r="X634">
            <v>0</v>
          </cell>
          <cell r="Y634" t="str">
            <v>L</v>
          </cell>
          <cell r="Z634">
            <v>5500</v>
          </cell>
          <cell r="AA634">
            <v>500</v>
          </cell>
          <cell r="AE634">
            <v>1000</v>
          </cell>
          <cell r="AG634">
            <v>17000</v>
          </cell>
          <cell r="AH634">
            <v>51000</v>
          </cell>
          <cell r="AI634">
            <v>612000</v>
          </cell>
          <cell r="AJ634">
            <v>50000</v>
          </cell>
          <cell r="AK634">
            <v>150000</v>
          </cell>
          <cell r="AL634">
            <v>15000</v>
          </cell>
          <cell r="AM634">
            <v>7500</v>
          </cell>
          <cell r="AN634">
            <v>10000</v>
          </cell>
          <cell r="AO634">
            <v>15000</v>
          </cell>
          <cell r="AP634">
            <v>16000</v>
          </cell>
          <cell r="AQ634">
            <v>87480</v>
          </cell>
          <cell r="AR634">
            <v>962980</v>
          </cell>
        </row>
        <row r="635">
          <cell r="M635">
            <v>26</v>
          </cell>
          <cell r="P635">
            <v>1</v>
          </cell>
          <cell r="S635" t="str">
            <v xml:space="preserve"> </v>
          </cell>
          <cell r="U635">
            <v>2002</v>
          </cell>
          <cell r="W635">
            <v>37000</v>
          </cell>
          <cell r="X635">
            <v>0</v>
          </cell>
          <cell r="Z635">
            <v>7000</v>
          </cell>
          <cell r="AA635">
            <v>500</v>
          </cell>
          <cell r="AB635">
            <v>0</v>
          </cell>
          <cell r="AC635">
            <v>0</v>
          </cell>
          <cell r="AF635">
            <v>0</v>
          </cell>
          <cell r="AG635">
            <v>18000</v>
          </cell>
          <cell r="AH635">
            <v>62500</v>
          </cell>
          <cell r="AI635">
            <v>750000</v>
          </cell>
          <cell r="AJ635">
            <v>55000</v>
          </cell>
          <cell r="AK635">
            <v>175000</v>
          </cell>
          <cell r="AL635">
            <v>15000</v>
          </cell>
          <cell r="AM635">
            <v>7500</v>
          </cell>
          <cell r="AN635">
            <v>10000</v>
          </cell>
          <cell r="AO635">
            <v>15000</v>
          </cell>
          <cell r="AP635">
            <v>16000</v>
          </cell>
          <cell r="AQ635">
            <v>119880</v>
          </cell>
          <cell r="AR635">
            <v>1163380</v>
          </cell>
          <cell r="AS635">
            <v>0</v>
          </cell>
        </row>
        <row r="636">
          <cell r="P636">
            <v>1</v>
          </cell>
          <cell r="S636" t="str">
            <v xml:space="preserve"> </v>
          </cell>
          <cell r="U636" t="str">
            <v>DIFF.</v>
          </cell>
          <cell r="W636">
            <v>10000</v>
          </cell>
          <cell r="X636">
            <v>0</v>
          </cell>
          <cell r="Z636">
            <v>1500</v>
          </cell>
          <cell r="AA636">
            <v>0</v>
          </cell>
          <cell r="AB636">
            <v>0</v>
          </cell>
          <cell r="AC636">
            <v>0</v>
          </cell>
          <cell r="AE636">
            <v>-1000</v>
          </cell>
          <cell r="AF636">
            <v>0</v>
          </cell>
          <cell r="AG636">
            <v>1000</v>
          </cell>
          <cell r="AH636">
            <v>11500</v>
          </cell>
          <cell r="AI636">
            <v>138000</v>
          </cell>
          <cell r="AJ636">
            <v>5000</v>
          </cell>
          <cell r="AK636">
            <v>25000</v>
          </cell>
          <cell r="AL636">
            <v>0</v>
          </cell>
          <cell r="AM636">
            <v>0</v>
          </cell>
          <cell r="AN636">
            <v>0</v>
          </cell>
          <cell r="AO636">
            <v>0</v>
          </cell>
          <cell r="AP636">
            <v>0</v>
          </cell>
          <cell r="AQ636">
            <v>32400</v>
          </cell>
          <cell r="AR636">
            <v>200400</v>
          </cell>
          <cell r="AS636">
            <v>20.81</v>
          </cell>
        </row>
        <row r="637">
          <cell r="P637">
            <v>1</v>
          </cell>
          <cell r="S637" t="str">
            <v xml:space="preserve"> </v>
          </cell>
        </row>
        <row r="638">
          <cell r="G638">
            <v>2290</v>
          </cell>
          <cell r="H638" t="str">
            <v>MR N. JANAKIRAM RAJU</v>
          </cell>
          <cell r="I638">
            <v>20102</v>
          </cell>
          <cell r="J638">
            <v>29487</v>
          </cell>
          <cell r="K638">
            <v>17176</v>
          </cell>
          <cell r="L638" t="str">
            <v>MA</v>
          </cell>
          <cell r="M638">
            <v>26</v>
          </cell>
          <cell r="O638" t="str">
            <v>MA</v>
          </cell>
          <cell r="P638">
            <v>1</v>
          </cell>
          <cell r="Q638" t="str">
            <v>Mumbai</v>
          </cell>
          <cell r="R638" t="str">
            <v>Ho</v>
          </cell>
          <cell r="S638" t="str">
            <v xml:space="preserve"> </v>
          </cell>
          <cell r="T638" t="str">
            <v>CA</v>
          </cell>
          <cell r="U638">
            <v>2001</v>
          </cell>
          <cell r="V638">
            <v>130000</v>
          </cell>
          <cell r="W638">
            <v>42115</v>
          </cell>
          <cell r="X638">
            <v>0</v>
          </cell>
          <cell r="Y638" t="str">
            <v>L</v>
          </cell>
          <cell r="Z638">
            <v>5500</v>
          </cell>
          <cell r="AA638">
            <v>500</v>
          </cell>
          <cell r="AE638">
            <v>1000</v>
          </cell>
          <cell r="AG638">
            <v>17000</v>
          </cell>
          <cell r="AH638">
            <v>66115</v>
          </cell>
          <cell r="AI638">
            <v>793380</v>
          </cell>
          <cell r="AJ638">
            <v>50000</v>
          </cell>
          <cell r="AK638">
            <v>150000</v>
          </cell>
          <cell r="AL638">
            <v>15000</v>
          </cell>
          <cell r="AM638">
            <v>7500</v>
          </cell>
          <cell r="AN638">
            <v>10000</v>
          </cell>
          <cell r="AO638">
            <v>15000</v>
          </cell>
          <cell r="AP638">
            <v>16000</v>
          </cell>
          <cell r="AQ638">
            <v>136453</v>
          </cell>
          <cell r="AR638">
            <v>1193333</v>
          </cell>
        </row>
        <row r="639">
          <cell r="M639">
            <v>26</v>
          </cell>
          <cell r="P639">
            <v>1</v>
          </cell>
          <cell r="S639" t="str">
            <v xml:space="preserve"> </v>
          </cell>
          <cell r="U639">
            <v>2002</v>
          </cell>
          <cell r="W639">
            <v>46365</v>
          </cell>
          <cell r="X639">
            <v>0</v>
          </cell>
          <cell r="Z639">
            <v>7000</v>
          </cell>
          <cell r="AA639">
            <v>500</v>
          </cell>
          <cell r="AB639">
            <v>0</v>
          </cell>
          <cell r="AC639">
            <v>0</v>
          </cell>
          <cell r="AF639">
            <v>0</v>
          </cell>
          <cell r="AG639">
            <v>18000</v>
          </cell>
          <cell r="AH639">
            <v>71865</v>
          </cell>
          <cell r="AI639">
            <v>862380</v>
          </cell>
          <cell r="AJ639">
            <v>55000</v>
          </cell>
          <cell r="AK639">
            <v>175000</v>
          </cell>
          <cell r="AL639">
            <v>15000</v>
          </cell>
          <cell r="AM639">
            <v>7500</v>
          </cell>
          <cell r="AN639">
            <v>10000</v>
          </cell>
          <cell r="AO639">
            <v>15000</v>
          </cell>
          <cell r="AP639">
            <v>16000</v>
          </cell>
          <cell r="AQ639">
            <v>150223</v>
          </cell>
          <cell r="AR639">
            <v>1306103</v>
          </cell>
          <cell r="AS639">
            <v>0</v>
          </cell>
        </row>
        <row r="640">
          <cell r="P640">
            <v>1</v>
          </cell>
          <cell r="S640" t="str">
            <v xml:space="preserve"> </v>
          </cell>
          <cell r="U640" t="str">
            <v>DIFF.</v>
          </cell>
          <cell r="W640">
            <v>4250</v>
          </cell>
          <cell r="X640">
            <v>0</v>
          </cell>
          <cell r="Z640">
            <v>1500</v>
          </cell>
          <cell r="AA640">
            <v>0</v>
          </cell>
          <cell r="AB640">
            <v>0</v>
          </cell>
          <cell r="AC640">
            <v>0</v>
          </cell>
          <cell r="AE640">
            <v>-1000</v>
          </cell>
          <cell r="AF640">
            <v>0</v>
          </cell>
          <cell r="AG640">
            <v>1000</v>
          </cell>
          <cell r="AH640">
            <v>5750</v>
          </cell>
          <cell r="AI640">
            <v>69000</v>
          </cell>
          <cell r="AJ640">
            <v>5000</v>
          </cell>
          <cell r="AK640">
            <v>25000</v>
          </cell>
          <cell r="AL640">
            <v>0</v>
          </cell>
          <cell r="AM640">
            <v>0</v>
          </cell>
          <cell r="AN640">
            <v>0</v>
          </cell>
          <cell r="AO640">
            <v>0</v>
          </cell>
          <cell r="AP640">
            <v>0</v>
          </cell>
          <cell r="AQ640">
            <v>13770</v>
          </cell>
          <cell r="AR640">
            <v>112770</v>
          </cell>
          <cell r="AS640">
            <v>9.4499999999999993</v>
          </cell>
        </row>
        <row r="641">
          <cell r="P641">
            <v>1</v>
          </cell>
          <cell r="S641" t="str">
            <v xml:space="preserve"> </v>
          </cell>
        </row>
        <row r="642">
          <cell r="G642">
            <v>2302</v>
          </cell>
          <cell r="H642" t="str">
            <v>MR FAIZ PATHAN</v>
          </cell>
          <cell r="I642">
            <v>20448</v>
          </cell>
          <cell r="J642">
            <v>32905</v>
          </cell>
          <cell r="K642">
            <v>16830</v>
          </cell>
          <cell r="L642" t="str">
            <v>MA</v>
          </cell>
          <cell r="M642">
            <v>26</v>
          </cell>
          <cell r="O642" t="str">
            <v>MA</v>
          </cell>
          <cell r="P642">
            <v>1</v>
          </cell>
          <cell r="Q642" t="str">
            <v>Mumbai</v>
          </cell>
          <cell r="R642" t="str">
            <v>Ho</v>
          </cell>
          <cell r="S642" t="str">
            <v xml:space="preserve"> </v>
          </cell>
          <cell r="T642" t="str">
            <v>CL</v>
          </cell>
          <cell r="U642">
            <v>2001</v>
          </cell>
          <cell r="V642">
            <v>130000</v>
          </cell>
          <cell r="W642">
            <v>45495</v>
          </cell>
          <cell r="X642">
            <v>0</v>
          </cell>
          <cell r="Y642" t="str">
            <v>L</v>
          </cell>
          <cell r="Z642">
            <v>5500</v>
          </cell>
          <cell r="AA642">
            <v>500</v>
          </cell>
          <cell r="AE642">
            <v>1000</v>
          </cell>
          <cell r="AG642">
            <v>17000</v>
          </cell>
          <cell r="AH642">
            <v>69495</v>
          </cell>
          <cell r="AI642">
            <v>833940</v>
          </cell>
          <cell r="AJ642">
            <v>50000</v>
          </cell>
          <cell r="AK642">
            <v>150000</v>
          </cell>
          <cell r="AL642">
            <v>15000</v>
          </cell>
          <cell r="AM642">
            <v>7500</v>
          </cell>
          <cell r="AN642">
            <v>10000</v>
          </cell>
          <cell r="AO642">
            <v>15000</v>
          </cell>
          <cell r="AP642">
            <v>16000</v>
          </cell>
          <cell r="AQ642">
            <v>147404</v>
          </cell>
          <cell r="AR642">
            <v>1244844</v>
          </cell>
        </row>
        <row r="643">
          <cell r="M643">
            <v>26</v>
          </cell>
          <cell r="P643">
            <v>1</v>
          </cell>
          <cell r="S643" t="str">
            <v xml:space="preserve"> </v>
          </cell>
          <cell r="U643">
            <v>2002</v>
          </cell>
          <cell r="W643">
            <v>48995</v>
          </cell>
          <cell r="X643">
            <v>0</v>
          </cell>
          <cell r="Z643">
            <v>7000</v>
          </cell>
          <cell r="AA643">
            <v>500</v>
          </cell>
          <cell r="AB643">
            <v>0</v>
          </cell>
          <cell r="AC643">
            <v>0</v>
          </cell>
          <cell r="AF643">
            <v>0</v>
          </cell>
          <cell r="AG643">
            <v>18000</v>
          </cell>
          <cell r="AH643">
            <v>74495</v>
          </cell>
          <cell r="AI643">
            <v>893940</v>
          </cell>
          <cell r="AJ643">
            <v>55000</v>
          </cell>
          <cell r="AK643">
            <v>175000</v>
          </cell>
          <cell r="AL643">
            <v>15000</v>
          </cell>
          <cell r="AM643">
            <v>7500</v>
          </cell>
          <cell r="AN643">
            <v>10000</v>
          </cell>
          <cell r="AO643">
            <v>15000</v>
          </cell>
          <cell r="AP643">
            <v>16000</v>
          </cell>
          <cell r="AQ643">
            <v>158744</v>
          </cell>
          <cell r="AR643">
            <v>1346184</v>
          </cell>
          <cell r="AS643">
            <v>0</v>
          </cell>
        </row>
        <row r="644">
          <cell r="P644">
            <v>1</v>
          </cell>
          <cell r="S644" t="str">
            <v xml:space="preserve"> </v>
          </cell>
          <cell r="U644" t="str">
            <v>DIFF.</v>
          </cell>
          <cell r="W644">
            <v>3500</v>
          </cell>
          <cell r="X644">
            <v>0</v>
          </cell>
          <cell r="Z644">
            <v>1500</v>
          </cell>
          <cell r="AA644">
            <v>0</v>
          </cell>
          <cell r="AB644">
            <v>0</v>
          </cell>
          <cell r="AC644">
            <v>0</v>
          </cell>
          <cell r="AE644">
            <v>-1000</v>
          </cell>
          <cell r="AF644">
            <v>0</v>
          </cell>
          <cell r="AG644">
            <v>1000</v>
          </cell>
          <cell r="AH644">
            <v>5000</v>
          </cell>
          <cell r="AI644">
            <v>60000</v>
          </cell>
          <cell r="AJ644">
            <v>5000</v>
          </cell>
          <cell r="AK644">
            <v>25000</v>
          </cell>
          <cell r="AL644">
            <v>0</v>
          </cell>
          <cell r="AM644">
            <v>0</v>
          </cell>
          <cell r="AN644">
            <v>0</v>
          </cell>
          <cell r="AO644">
            <v>0</v>
          </cell>
          <cell r="AP644">
            <v>0</v>
          </cell>
          <cell r="AQ644">
            <v>11340</v>
          </cell>
          <cell r="AR644">
            <v>101340</v>
          </cell>
          <cell r="AS644">
            <v>8.14</v>
          </cell>
        </row>
        <row r="645">
          <cell r="P645">
            <v>1</v>
          </cell>
          <cell r="S645" t="str">
            <v xml:space="preserve">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metnal"/>
      <sheetName val="HONOTES"/>
    </sheetNames>
    <sheetDataSet>
      <sheetData sheetId="0"/>
      <sheetData sheetId="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賦EX"/>
      <sheetName val="業種小分類"/>
      <sheetName val="業種大分類"/>
      <sheetName val="その他"/>
      <sheetName val="全体"/>
    </sheetNames>
    <definedNames>
      <definedName name="Haifu_Execute"/>
      <definedName name="Haifu_NumberEdit"/>
    </definedNames>
    <sheetDataSet>
      <sheetData sheetId="0" refreshError="1"/>
      <sheetData sheetId="1" refreshError="1"/>
      <sheetData sheetId="2" refreshError="1"/>
      <sheetData sheetId="3" refreshError="1"/>
      <sheetData sheetId="4"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CPD"/>
      <sheetName val="CPD Output"/>
      <sheetName val="balsara"/>
      <sheetName val="bayer"/>
      <sheetName val="hll"/>
      <sheetName val="hll (2)"/>
      <sheetName val="colgate"/>
      <sheetName val="Dabur"/>
      <sheetName val="godrej soap"/>
      <sheetName val="henkel"/>
      <sheetName val="ISP"/>
      <sheetName val="Marico"/>
      <sheetName val="nirma"/>
      <sheetName val="P&amp;G"/>
      <sheetName val="Reckkit"/>
      <sheetName val="SBC"/>
      <sheetName val="Mcap"/>
      <sheetName val="Output Table"/>
      <sheetName val="Output Table (3)"/>
      <sheetName val="Input"/>
      <sheetName val="MV &amp; EI"/>
      <sheetName val="MVA &amp; EI"/>
      <sheetName val="EI  Chart"/>
      <sheetName val="EVA Improvement Profile"/>
      <sheetName val="Results"/>
      <sheetName val="Output Table (2)"/>
      <sheetName val="ANNX -II"/>
      <sheetName val="HAL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A 3.7"/>
      <sheetName val="CE"/>
      <sheetName val="201-04REL-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_SUMMARY"/>
      <sheetName val="PRICE SUMMARY"/>
      <sheetName val="FACTORS"/>
      <sheetName val="("/>
      <sheetName val="M1-O1-10.5GHz"/>
      <sheetName val="M1-O1-3.5GHz"/>
      <sheetName val="M1-O2-10.5GHz"/>
      <sheetName val="M1-O2-3.5GHz"/>
      <sheetName val="M2-10.5GHz"/>
      <sheetName val="M2-3.5GHz "/>
      <sheetName val=")"/>
      <sheetName val="{"/>
      <sheetName val="M1-O1-Acc10.5"/>
      <sheetName val="M1-O1-Acc3.5"/>
      <sheetName val="M1-O2-Acc10.5"/>
      <sheetName val="M1-O2-Acc3.5"/>
      <sheetName val="M2-Acc10.5"/>
      <sheetName val="M2-Acc3.5"/>
      <sheetName val="}"/>
      <sheetName val="&lt;"/>
      <sheetName val="M1-O1-EMS"/>
      <sheetName val="M1-O2-EMS"/>
      <sheetName val="M2-EMS"/>
      <sheetName val="&gt;"/>
      <sheetName val="Planning_Tool"/>
      <sheetName val="Interfaces"/>
      <sheetName val="10-city points"/>
      <sheetName val="Assmpns"/>
      <sheetName val="Factors-overall"/>
      <sheetName val="Summary Jun-08"/>
      <sheetName val="Collection"/>
      <sheetName val="FV-08-09"/>
      <sheetName val="Excise Cen Awailment-Jun-08"/>
      <sheetName val="Cenvat Awailment-ST"/>
      <sheetName val="ST Cenvat June-08"/>
      <sheetName val="ST Cenvat May'08 "/>
      <sheetName val="Offer_22.10.02"/>
      <sheetName val="Unit - An 2"/>
      <sheetName val="XL4Poppy"/>
      <sheetName val="PRICE_SUMMARY"/>
      <sheetName val="M1-O1-10_5GHz"/>
      <sheetName val="M1-O1-3_5GHz"/>
      <sheetName val="M1-O2-10_5GHz"/>
      <sheetName val="M1-O2-3_5GHz"/>
      <sheetName val="M2-10_5GHz"/>
      <sheetName val="M2-3_5GHz_"/>
      <sheetName val="M1-O1-Acc10_5"/>
      <sheetName val="M1-O1-Acc3_5"/>
      <sheetName val="M1-O2-Acc10_5"/>
      <sheetName val="M1-O2-Acc3_5"/>
      <sheetName val="M2-Acc10_5"/>
      <sheetName val="M2-Acc3_5"/>
      <sheetName val="PRICE_SUMMARY1"/>
      <sheetName val="M1-O1-10_5GHz1"/>
      <sheetName val="M1-O1-3_5GHz1"/>
      <sheetName val="M1-O2-10_5GHz1"/>
      <sheetName val="M1-O2-3_5GHz1"/>
      <sheetName val="M2-10_5GHz1"/>
      <sheetName val="M2-3_5GHz_1"/>
      <sheetName val="M1-O1-Acc10_51"/>
      <sheetName val="M1-O1-Acc3_51"/>
      <sheetName val="M1-O2-Acc10_51"/>
      <sheetName val="M1-O2-Acc3_51"/>
      <sheetName val="M2-Acc10_51"/>
      <sheetName val="M2-Acc3_51"/>
      <sheetName val="Offer_22_10_02"/>
      <sheetName val="Unit_-_An_2"/>
      <sheetName val="Summary_Jun-08"/>
      <sheetName val="Excise_Cen_Awailment-Jun-08"/>
      <sheetName val="Cenvat_Awailment-ST"/>
      <sheetName val="ST_Cenvat_June-08"/>
      <sheetName val="ST_Cenvat_May'08_"/>
      <sheetName val="Factor -local"/>
      <sheetName val="Factor- cables"/>
      <sheetName val="Summary_Jun-081"/>
      <sheetName val="Excise_Cen_Awailment-Jun-081"/>
      <sheetName val="Cenvat_Awailment-ST1"/>
      <sheetName val="ST_Cenvat_June-081"/>
      <sheetName val="ST_Cenvat_May'08_1"/>
      <sheetName val="PRICE_SUMMARY2"/>
      <sheetName val="M1-O1-10_5GHz2"/>
      <sheetName val="M1-O1-3_5GHz2"/>
      <sheetName val="M1-O2-10_5GHz2"/>
      <sheetName val="M1-O2-3_5GHz2"/>
      <sheetName val="M2-10_5GHz2"/>
      <sheetName val="M2-3_5GHz_2"/>
      <sheetName val="M1-O1-Acc10_52"/>
      <sheetName val="M1-O1-Acc3_52"/>
      <sheetName val="M1-O2-Acc10_52"/>
      <sheetName val="M1-O2-Acc3_52"/>
      <sheetName val="M2-Acc10_52"/>
      <sheetName val="M2-Acc3_52"/>
      <sheetName val="Summary_Jun-082"/>
      <sheetName val="Excise_Cen_Awailment-Jun-082"/>
      <sheetName val="Cenvat_Awailment-ST2"/>
      <sheetName val="ST_Cenvat_June-082"/>
      <sheetName val="ST_Cenvat_May'08_2"/>
      <sheetName val="PRICE_SUMMARY3"/>
      <sheetName val="M1-O1-10_5GHz3"/>
      <sheetName val="M1-O1-3_5GHz3"/>
      <sheetName val="M1-O2-10_5GHz3"/>
      <sheetName val="M1-O2-3_5GHz3"/>
      <sheetName val="M2-10_5GHz3"/>
      <sheetName val="M2-3_5GHz_3"/>
      <sheetName val="M1-O1-Acc10_53"/>
      <sheetName val="M1-O1-Acc3_53"/>
      <sheetName val="M1-O2-Acc10_53"/>
      <sheetName val="M1-O2-Acc3_53"/>
      <sheetName val="M2-Acc10_53"/>
      <sheetName val="M2-Acc3_53"/>
      <sheetName val="Summary_Jun-083"/>
      <sheetName val="Excise_Cen_Awailment-Jun-083"/>
      <sheetName val="Cenvat_Awailment-ST3"/>
      <sheetName val="ST_Cenvat_June-083"/>
      <sheetName val="ST_Cenvat_May'08_3"/>
      <sheetName val="COMPLEXALL"/>
      <sheetName val="Assumptions"/>
      <sheetName val="CAR-97-98"/>
      <sheetName val="OL"/>
      <sheetName val="exec summ"/>
      <sheetName val="Assump. "/>
      <sheetName val="GlobalVariables"/>
      <sheetName val="Sheet1"/>
      <sheetName val="PRICE_SUMMARY4"/>
      <sheetName val="M1-O1-10_5GHz4"/>
      <sheetName val="M1-O1-3_5GHz4"/>
      <sheetName val="M1-O2-10_5GHz4"/>
      <sheetName val="M1-O2-3_5GHz4"/>
      <sheetName val="M2-10_5GHz4"/>
      <sheetName val="M2-3_5GHz_4"/>
      <sheetName val="M1-O1-Acc10_54"/>
      <sheetName val="M1-O1-Acc3_54"/>
      <sheetName val="M1-O2-Acc10_54"/>
      <sheetName val="M1-O2-Acc3_54"/>
      <sheetName val="M2-Acc10_54"/>
      <sheetName val="M2-Acc3_54"/>
      <sheetName val="Summary_Jun-084"/>
      <sheetName val="Excise_Cen_Awailment-Jun-084"/>
      <sheetName val="Cenvat_Awailment-ST4"/>
      <sheetName val="ST_Cenvat_June-084"/>
      <sheetName val="ST_Cenvat_May'08_4"/>
      <sheetName val="PRICE_SUMMARY5"/>
      <sheetName val="M1-O1-10_5GHz5"/>
      <sheetName val="M1-O1-3_5GHz5"/>
      <sheetName val="M1-O2-10_5GHz5"/>
      <sheetName val="M1-O2-3_5GHz5"/>
      <sheetName val="M2-10_5GHz5"/>
      <sheetName val="M2-3_5GHz_5"/>
      <sheetName val="M1-O1-Acc10_55"/>
      <sheetName val="M1-O1-Acc3_55"/>
      <sheetName val="M1-O2-Acc10_55"/>
      <sheetName val="M1-O2-Acc3_55"/>
      <sheetName val="M2-Acc10_55"/>
      <sheetName val="M2-Acc3_55"/>
      <sheetName val="Summary_Jun-085"/>
      <sheetName val="Excise_Cen_Awailment-Jun-085"/>
      <sheetName val="Cenvat_Awailment-ST5"/>
      <sheetName val="ST_Cenvat_June-085"/>
      <sheetName val="ST_Cenvat_May'08_5"/>
      <sheetName val="PRICE_SUMMARY6"/>
      <sheetName val="M1-O1-10_5GHz6"/>
      <sheetName val="M1-O1-3_5GHz6"/>
      <sheetName val="M1-O2-10_5GHz6"/>
      <sheetName val="M1-O2-3_5GHz6"/>
      <sheetName val="M2-10_5GHz6"/>
      <sheetName val="M2-3_5GHz_6"/>
      <sheetName val="M1-O1-Acc10_56"/>
      <sheetName val="M1-O1-Acc3_56"/>
      <sheetName val="M1-O2-Acc10_56"/>
      <sheetName val="M1-O2-Acc3_56"/>
      <sheetName val="M2-Acc10_56"/>
      <sheetName val="M2-Acc3_56"/>
      <sheetName val="Summary_Jun-086"/>
      <sheetName val="Excise_Cen_Awailment-Jun-086"/>
      <sheetName val="Cenvat_Awailment-ST6"/>
      <sheetName val="ST_Cenvat_June-086"/>
      <sheetName val="ST_Cenvat_May'08_6"/>
      <sheetName val="PRICE_SUMMARY7"/>
      <sheetName val="M1-O1-10_5GHz7"/>
      <sheetName val="M1-O1-3_5GHz7"/>
      <sheetName val="M1-O2-10_5GHz7"/>
      <sheetName val="M1-O2-3_5GHz7"/>
      <sheetName val="M2-10_5GHz7"/>
      <sheetName val="M2-3_5GHz_7"/>
      <sheetName val="M1-O1-Acc10_57"/>
      <sheetName val="M1-O1-Acc3_57"/>
      <sheetName val="M1-O2-Acc10_57"/>
      <sheetName val="M1-O2-Acc3_57"/>
      <sheetName val="M2-Acc10_57"/>
      <sheetName val="M2-Acc3_57"/>
      <sheetName val="Summary_Jun-087"/>
      <sheetName val="Excise_Cen_Awailment-Jun-087"/>
      <sheetName val="Cenvat_Awailment-ST7"/>
      <sheetName val="ST_Cenvat_June-087"/>
      <sheetName val="ST_Cenvat_May'08_7"/>
      <sheetName val="USD Savings"/>
      <sheetName val="HKD Cheque"/>
      <sheetName val="code"/>
      <sheetName val="Offer_22_10_022"/>
      <sheetName val="Unit_-_An_22"/>
      <sheetName val="Factor_-local1"/>
      <sheetName val="Factor-_cables1"/>
      <sheetName val="Offer_22_10_021"/>
      <sheetName val="Unit_-_An_21"/>
      <sheetName val="Factor_-local"/>
      <sheetName val="Factor-_cables"/>
      <sheetName val="Howard Park-Agra-IP format"/>
      <sheetName val="ITC-All locations-IP format"/>
      <sheetName val="Consequences Categories"/>
      <sheetName val="Risk Categorization"/>
      <sheetName val="Cause Categories"/>
      <sheetName val="D-3503"/>
      <sheetName val="EXPENSES"/>
      <sheetName val="SummaryHrs"/>
      <sheetName val="plan&amp;section of foundation"/>
      <sheetName val="working load at the btm ft."/>
      <sheetName val="stability check"/>
      <sheetName val="design load"/>
      <sheetName val="硬件IBM"/>
      <sheetName val="费用_技术资料_备件_培训"/>
      <sheetName val="组网图"/>
      <sheetName val="PRICE_SUMMARY8"/>
      <sheetName val="M1-O1-10_5GHz8"/>
      <sheetName val="M1-O1-3_5GHz8"/>
      <sheetName val="M1-O2-10_5GHz8"/>
      <sheetName val="M1-O2-3_5GHz8"/>
      <sheetName val="M2-10_5GHz8"/>
      <sheetName val="M2-3_5GHz_8"/>
      <sheetName val="M1-O1-Acc10_58"/>
      <sheetName val="M1-O1-Acc3_58"/>
      <sheetName val="M1-O2-Acc10_58"/>
      <sheetName val="M1-O2-Acc3_58"/>
      <sheetName val="M2-Acc10_58"/>
      <sheetName val="M2-Acc3_58"/>
      <sheetName val="Summary_Jun-088"/>
      <sheetName val="Excise_Cen_Awailment-Jun-088"/>
      <sheetName val="Cenvat_Awailment-ST8"/>
      <sheetName val="ST_Cenvat_June-088"/>
      <sheetName val="ST_Cenvat_May'08_8"/>
      <sheetName val="PRICE_SUMMARY9"/>
      <sheetName val="M1-O1-10_5GHz9"/>
      <sheetName val="M1-O1-3_5GHz9"/>
      <sheetName val="M1-O2-10_5GHz9"/>
      <sheetName val="M1-O2-3_5GHz9"/>
      <sheetName val="M2-10_5GHz9"/>
      <sheetName val="M2-3_5GHz_9"/>
      <sheetName val="M1-O1-Acc10_59"/>
      <sheetName val="M1-O1-Acc3_59"/>
      <sheetName val="M1-O2-Acc10_59"/>
      <sheetName val="M1-O2-Acc3_59"/>
      <sheetName val="M2-Acc10_59"/>
      <sheetName val="M2-Acc3_59"/>
      <sheetName val="Summary_Jun-089"/>
      <sheetName val="Excise_Cen_Awailment-Jun-089"/>
      <sheetName val="Cenvat_Awailment-ST9"/>
      <sheetName val="ST_Cenvat_June-089"/>
      <sheetName val="ST_Cenvat_May'08_9"/>
      <sheetName val="10-city_points"/>
      <sheetName val="USD_Savings"/>
      <sheetName val="HKD_Cheque"/>
      <sheetName val="PRICE_SUMMARY10"/>
      <sheetName val="M1-O1-10_5GHz10"/>
      <sheetName val="M1-O1-3_5GHz10"/>
      <sheetName val="M1-O2-10_5GHz10"/>
      <sheetName val="M1-O2-3_5GHz10"/>
      <sheetName val="M2-10_5GHz10"/>
      <sheetName val="M2-3_5GHz_10"/>
      <sheetName val="M1-O1-Acc10_510"/>
      <sheetName val="M1-O1-Acc3_510"/>
      <sheetName val="M1-O2-Acc10_510"/>
      <sheetName val="M1-O2-Acc3_510"/>
      <sheetName val="M2-Acc10_510"/>
      <sheetName val="M2-Acc3_510"/>
      <sheetName val="Summary_Jun-0810"/>
      <sheetName val="Excise_Cen_Awailment-Jun-0810"/>
      <sheetName val="Cenvat_Awailment-ST10"/>
      <sheetName val="ST_Cenvat_June-0810"/>
      <sheetName val="ST_Cenvat_May'08_10"/>
      <sheetName val="10-city_points1"/>
      <sheetName val="USD_Savings1"/>
      <sheetName val="HKD_Cheque1"/>
      <sheetName val="PRICE_SUMMARY11"/>
      <sheetName val="M1-O1-10_5GHz11"/>
      <sheetName val="M1-O1-3_5GHz11"/>
      <sheetName val="M1-O2-10_5GHz11"/>
      <sheetName val="M1-O2-3_5GHz11"/>
      <sheetName val="M2-10_5GHz11"/>
      <sheetName val="M2-3_5GHz_11"/>
      <sheetName val="M1-O1-Acc10_511"/>
      <sheetName val="M1-O1-Acc3_511"/>
      <sheetName val="M1-O2-Acc10_511"/>
      <sheetName val="M1-O2-Acc3_511"/>
      <sheetName val="M2-Acc10_511"/>
      <sheetName val="M2-Acc3_511"/>
      <sheetName val="Summary_Jun-0811"/>
      <sheetName val="Excise_Cen_Awailment-Jun-0811"/>
      <sheetName val="Cenvat_Awailment-ST11"/>
      <sheetName val="ST_Cenvat_June-0811"/>
      <sheetName val="ST_Cenvat_May'08_11"/>
      <sheetName val="10-city_points2"/>
      <sheetName val="USD_Savings2"/>
      <sheetName val="HKD_Cheque2"/>
      <sheetName val="PRICE_SUMMARY12"/>
      <sheetName val="M1-O1-10_5GHz12"/>
      <sheetName val="M1-O1-3_5GHz12"/>
      <sheetName val="M1-O2-10_5GHz12"/>
      <sheetName val="M1-O2-3_5GHz12"/>
      <sheetName val="M2-10_5GHz12"/>
      <sheetName val="M2-3_5GHz_12"/>
      <sheetName val="M1-O1-Acc10_512"/>
      <sheetName val="M1-O1-Acc3_512"/>
      <sheetName val="M1-O2-Acc10_512"/>
      <sheetName val="M1-O2-Acc3_512"/>
      <sheetName val="M2-Acc10_512"/>
      <sheetName val="M2-Acc3_512"/>
      <sheetName val="Summary_Jun-0812"/>
      <sheetName val="Excise_Cen_Awailment-Jun-0812"/>
      <sheetName val="Cenvat_Awailment-ST12"/>
      <sheetName val="ST_Cenvat_June-0812"/>
      <sheetName val="ST_Cenvat_May'08_12"/>
      <sheetName val="10-city_points3"/>
      <sheetName val="USD_Savings3"/>
      <sheetName val="HKD_Cheque3"/>
      <sheetName val="OPERATING HEAD"/>
      <sheetName val="BS"/>
      <sheetName val="KEY INPUTS"/>
      <sheetName val="Offer_22_10_023"/>
      <sheetName val="Unit_-_An_23"/>
      <sheetName val="Factor_-local2"/>
      <sheetName val="Factor-_cables2"/>
      <sheetName val="exec_summ"/>
      <sheetName val="Assump__"/>
      <sheetName val="Howard_Park-Agra-IP_format"/>
      <sheetName val="ITC-All_locations-IP_format"/>
      <sheetName val="Consequences_Categories"/>
      <sheetName val="Risk_Categorization"/>
      <sheetName val="Cause_Categories"/>
      <sheetName val="plan&amp;section_of_foundation"/>
      <sheetName val="working_load_at_the_btm_ft_"/>
      <sheetName val="stability_check"/>
      <sheetName val="design_load"/>
      <sheetName val="Cal"/>
      <sheetName val="Erection grider"/>
      <sheetName val="Voucher"/>
      <sheetName val="Ring Details"/>
      <sheetName val="PIMS"/>
      <sheetName val="SOLUT008"/>
      <sheetName val="BR"/>
      <sheetName val="Outgoing"/>
      <sheetName val="Incoming"/>
      <sheetName val="Inventory"/>
      <sheetName val="Factors_overall"/>
      <sheetName val="Geography Heirarchy"/>
    </sheetNames>
    <sheetDataSet>
      <sheetData sheetId="0"/>
      <sheetData sheetId="1"/>
      <sheetData sheetId="2" refreshError="1">
        <row r="5">
          <cell r="B5">
            <v>1</v>
          </cell>
        </row>
        <row r="14">
          <cell r="B14">
            <v>1.2357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ow r="5">
          <cell r="B5">
            <v>1</v>
          </cell>
        </row>
      </sheetData>
      <sheetData sheetId="30">
        <row r="5">
          <cell r="B5">
            <v>1</v>
          </cell>
        </row>
      </sheetData>
      <sheetData sheetId="31">
        <row r="5">
          <cell r="B5">
            <v>1</v>
          </cell>
        </row>
      </sheetData>
      <sheetData sheetId="32">
        <row r="5">
          <cell r="B5">
            <v>1</v>
          </cell>
        </row>
      </sheetData>
      <sheetData sheetId="33">
        <row r="5">
          <cell r="B5">
            <v>1</v>
          </cell>
        </row>
      </sheetData>
      <sheetData sheetId="34">
        <row r="5">
          <cell r="B5">
            <v>1</v>
          </cell>
        </row>
      </sheetData>
      <sheetData sheetId="35">
        <row r="5">
          <cell r="B5">
            <v>1</v>
          </cell>
        </row>
      </sheetData>
      <sheetData sheetId="36" refreshError="1"/>
      <sheetData sheetId="37" refreshError="1"/>
      <sheetData sheetId="38" refreshError="1"/>
      <sheetData sheetId="39">
        <row r="5">
          <cell r="B5">
            <v>1</v>
          </cell>
        </row>
      </sheetData>
      <sheetData sheetId="40">
        <row r="5">
          <cell r="B5">
            <v>1</v>
          </cell>
        </row>
      </sheetData>
      <sheetData sheetId="41">
        <row r="5">
          <cell r="B5">
            <v>1</v>
          </cell>
        </row>
      </sheetData>
      <sheetData sheetId="42">
        <row r="5">
          <cell r="B5">
            <v>1</v>
          </cell>
        </row>
      </sheetData>
      <sheetData sheetId="43">
        <row r="5">
          <cell r="B5">
            <v>1</v>
          </cell>
        </row>
      </sheetData>
      <sheetData sheetId="44">
        <row r="5">
          <cell r="B5">
            <v>1</v>
          </cell>
        </row>
      </sheetData>
      <sheetData sheetId="45">
        <row r="5">
          <cell r="B5">
            <v>1</v>
          </cell>
        </row>
      </sheetData>
      <sheetData sheetId="46">
        <row r="5">
          <cell r="B5">
            <v>1</v>
          </cell>
        </row>
      </sheetData>
      <sheetData sheetId="47">
        <row r="5">
          <cell r="B5">
            <v>1</v>
          </cell>
        </row>
      </sheetData>
      <sheetData sheetId="48">
        <row r="5">
          <cell r="B5">
            <v>1</v>
          </cell>
        </row>
      </sheetData>
      <sheetData sheetId="49">
        <row r="5">
          <cell r="B5">
            <v>1</v>
          </cell>
        </row>
      </sheetData>
      <sheetData sheetId="50">
        <row r="5">
          <cell r="B5">
            <v>1</v>
          </cell>
        </row>
      </sheetData>
      <sheetData sheetId="51">
        <row r="5">
          <cell r="B5">
            <v>1</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5">
          <cell r="B5">
            <v>1</v>
          </cell>
        </row>
      </sheetData>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rd of Changes"/>
      <sheetName val="Copyright"/>
      <sheetName val="b"/>
      <sheetName val="Instructions"/>
      <sheetName val="Assumptions"/>
      <sheetName val="Supporting Sheet"/>
      <sheetName val="Input"/>
      <sheetName val="TV"/>
      <sheetName val="NOPAT"/>
      <sheetName val="Capital"/>
      <sheetName val="Valuation"/>
      <sheetName val="Dashboard"/>
      <sheetName val="EVA vs FCF Graph"/>
      <sheetName val="IRR"/>
      <sheetName val="Payback"/>
      <sheetName val="Payback Chart"/>
      <sheetName val="Sensitivity-Tornado"/>
      <sheetName val="Scenario Analysis"/>
      <sheetName val="Summary Output"/>
      <sheetName val="Sample Monte Carlo REPORT"/>
      <sheetName val="Depr 1"/>
      <sheetName val="Depr 2"/>
      <sheetName val="Depr 3"/>
      <sheetName val="Depr 4"/>
      <sheetName val="Depr 5"/>
      <sheetName val="Amort"/>
      <sheetName val="Module2"/>
      <sheetName val="Module1"/>
      <sheetName val="Dialog1"/>
      <sheetName val="Module4"/>
      <sheetName val="Chart1"/>
      <sheetName val="Rebuild Option"/>
      <sheetName val="Replace Option"/>
      <sheetName val="Divest Analy"/>
      <sheetName val="Parameters"/>
      <sheetName val="TB9899"/>
      <sheetName val="ANNEX-I(21(B)"/>
      <sheetName val="ANNEX-J(P)"/>
      <sheetName val="ANX-D(16b)"/>
      <sheetName val="HI-TARGE"/>
      <sheetName val="FACTORS"/>
      <sheetName val="Lists"/>
      <sheetName val="inc rec"/>
      <sheetName val="DEP-SCH-V"/>
      <sheetName val="EXIS-COMBINED"/>
      <sheetName val="Selection"/>
      <sheetName val="Record_of_Changes"/>
      <sheetName val="Supporting_Sheet"/>
      <sheetName val="EVA_vs_FCF_Graph"/>
      <sheetName val="Payback_Chart"/>
      <sheetName val="Scenario_Analysis"/>
      <sheetName val="Summary_Output"/>
      <sheetName val="Sample_Monte_Carlo_REPORT"/>
      <sheetName val="Depr_1"/>
      <sheetName val="Depr_2"/>
      <sheetName val="Depr_3"/>
      <sheetName val="Depr_4"/>
      <sheetName val="Depr_5"/>
      <sheetName val="Rebuild_Option"/>
      <sheetName val="Replace_Option"/>
      <sheetName val="Divest_Analy"/>
      <sheetName val="inc_rec"/>
      <sheetName val="Descriptions"/>
      <sheetName val="mapping"/>
      <sheetName val="Sheet2"/>
      <sheetName val="Sheet3"/>
      <sheetName val="Operating_Statistics"/>
      <sheetName val="NOTES"/>
      <sheetName val="FORM-16"/>
      <sheetName val="Company"/>
      <sheetName val="0101_00"/>
      <sheetName val="Inhouse"/>
      <sheetName val="Assume"/>
      <sheetName val="Record_of_Changes2"/>
      <sheetName val="Supporting_Sheet2"/>
      <sheetName val="EVA_vs_FCF_Graph2"/>
      <sheetName val="Payback_Chart2"/>
      <sheetName val="Scenario_Analysis2"/>
      <sheetName val="Summary_Output2"/>
      <sheetName val="Sample_Monte_Carlo_REPORT2"/>
      <sheetName val="Depr_12"/>
      <sheetName val="Depr_22"/>
      <sheetName val="Depr_32"/>
      <sheetName val="Depr_42"/>
      <sheetName val="Depr_52"/>
      <sheetName val="Rebuild_Option2"/>
      <sheetName val="Replace_Option2"/>
      <sheetName val="Divest_Analy2"/>
      <sheetName val="Record_of_Changes1"/>
      <sheetName val="Supporting_Sheet1"/>
      <sheetName val="EVA_vs_FCF_Graph1"/>
      <sheetName val="Payback_Chart1"/>
      <sheetName val="Scenario_Analysis1"/>
      <sheetName val="Summary_Output1"/>
      <sheetName val="Sample_Monte_Carlo_REPORT1"/>
      <sheetName val="Depr_11"/>
      <sheetName val="Depr_21"/>
      <sheetName val="Depr_31"/>
      <sheetName val="Depr_41"/>
      <sheetName val="Depr_51"/>
      <sheetName val="Rebuild_Option1"/>
      <sheetName val="Replace_Option1"/>
      <sheetName val="Divest_Analy1"/>
      <sheetName val="SCB - Annexure A"/>
      <sheetName val="bs-schedule"/>
      <sheetName val="Record_of_Changes3"/>
      <sheetName val="Supporting_Sheet3"/>
      <sheetName val="EVA_vs_FCF_Graph3"/>
      <sheetName val="Payback_Chart3"/>
      <sheetName val="Scenario_Analysis3"/>
      <sheetName val="Summary_Output3"/>
      <sheetName val="Sample_Monte_Carlo_REPORT3"/>
      <sheetName val="Depr_13"/>
      <sheetName val="Depr_23"/>
      <sheetName val="Depr_33"/>
      <sheetName val="Depr_43"/>
      <sheetName val="Depr_53"/>
      <sheetName val="Rebuild_Option3"/>
      <sheetName val="Replace_Option3"/>
      <sheetName val="Divest_Analy3"/>
      <sheetName val="inc_rec1"/>
      <sheetName val="Sch"/>
      <sheetName val="co_tax"/>
      <sheetName val="Groups"/>
      <sheetName val="Bsheet"/>
      <sheetName val="Page 5"/>
      <sheetName val="ORDER"/>
      <sheetName val="SHIPMENT"/>
      <sheetName val="BALANCE SHEET"/>
      <sheetName val="Fin. Proj."/>
      <sheetName val="repaymentsch"/>
      <sheetName val="Sheet1"/>
      <sheetName val="Other"/>
      <sheetName val="mancount"/>
      <sheetName val="PRESFMS"/>
      <sheetName val="License Fees"/>
      <sheetName val="cs"/>
      <sheetName val="Gen Assumptions"/>
      <sheetName val="Paid Syndication Dashboard"/>
      <sheetName val="Weekly Uniques Query"/>
      <sheetName val="GRgmshw"/>
      <sheetName val="CTI"/>
      <sheetName val="Sub Fee Rprt VOP CNBC"/>
      <sheetName val="Mobilephones"/>
    </sheetNames>
    <sheetDataSet>
      <sheetData sheetId="0" refreshError="1"/>
      <sheetData sheetId="1" refreshError="1"/>
      <sheetData sheetId="2" refreshError="1">
        <row r="10">
          <cell r="C10">
            <v>100</v>
          </cell>
        </row>
        <row r="11">
          <cell r="C11" t="b">
            <v>1</v>
          </cell>
        </row>
      </sheetData>
      <sheetData sheetId="3" refreshError="1"/>
      <sheetData sheetId="4" refreshError="1"/>
      <sheetData sheetId="5" refreshError="1"/>
      <sheetData sheetId="6" refreshError="1">
        <row r="10">
          <cell r="C10">
            <v>100</v>
          </cell>
          <cell r="D10">
            <v>110.00000000000001</v>
          </cell>
          <cell r="E10">
            <v>121.00000000000003</v>
          </cell>
          <cell r="F10">
            <v>133.10000000000005</v>
          </cell>
          <cell r="G10">
            <v>137.09300000000005</v>
          </cell>
          <cell r="H10">
            <v>141.20579000000006</v>
          </cell>
          <cell r="I10">
            <v>145.44196370000006</v>
          </cell>
          <cell r="J10">
            <v>145.44196370000006</v>
          </cell>
          <cell r="K10">
            <v>145.44196370000006</v>
          </cell>
          <cell r="L10">
            <v>145.44196370000006</v>
          </cell>
        </row>
        <row r="11">
          <cell r="C11" t="b">
            <v>1</v>
          </cell>
        </row>
        <row r="32">
          <cell r="C32">
            <v>10</v>
          </cell>
          <cell r="D32">
            <v>11.000000000000002</v>
          </cell>
          <cell r="E32">
            <v>12.100000000000003</v>
          </cell>
          <cell r="F32">
            <v>13.310000000000006</v>
          </cell>
          <cell r="G32">
            <v>13.709300000000006</v>
          </cell>
          <cell r="H32">
            <v>14.120579000000006</v>
          </cell>
          <cell r="I32">
            <v>14.544196370000007</v>
          </cell>
          <cell r="J32">
            <v>14.544196370000007</v>
          </cell>
          <cell r="K32">
            <v>14.544196370000007</v>
          </cell>
          <cell r="L32">
            <v>14.544196370000007</v>
          </cell>
        </row>
        <row r="33">
          <cell r="C33">
            <v>30</v>
          </cell>
          <cell r="D33">
            <v>31.5</v>
          </cell>
          <cell r="E33">
            <v>33.075000000000003</v>
          </cell>
          <cell r="F33">
            <v>34.728750000000005</v>
          </cell>
          <cell r="G33">
            <v>36.465187500000006</v>
          </cell>
          <cell r="H33">
            <v>38.288446875000005</v>
          </cell>
          <cell r="I33">
            <v>40.20286921875001</v>
          </cell>
          <cell r="J33">
            <v>42.213012679687509</v>
          </cell>
          <cell r="K33">
            <v>44.323663313671886</v>
          </cell>
          <cell r="L33">
            <v>46.539846479355482</v>
          </cell>
        </row>
        <row r="34">
          <cell r="C34">
            <v>50</v>
          </cell>
          <cell r="D34">
            <v>51.5</v>
          </cell>
          <cell r="E34">
            <v>53.045000000000002</v>
          </cell>
          <cell r="F34">
            <v>54.63635</v>
          </cell>
          <cell r="G34">
            <v>56.275440500000002</v>
          </cell>
          <cell r="H34">
            <v>57.963703715000001</v>
          </cell>
          <cell r="I34">
            <v>59.702614826450002</v>
          </cell>
          <cell r="J34">
            <v>61.493693271243501</v>
          </cell>
          <cell r="K34">
            <v>63.338504069380811</v>
          </cell>
          <cell r="L34">
            <v>65.238659191462233</v>
          </cell>
        </row>
        <row r="57">
          <cell r="C57">
            <v>1.5924999999999991</v>
          </cell>
          <cell r="D57">
            <v>3.152500000000003</v>
          </cell>
          <cell r="E57">
            <v>4.9153000000000029</v>
          </cell>
          <cell r="F57">
            <v>6.9029740000000128</v>
          </cell>
          <cell r="G57">
            <v>6.9596987200000076</v>
          </cell>
          <cell r="H57">
            <v>6.1922623732666784</v>
          </cell>
          <cell r="I57">
            <v>6.2336603207146775</v>
          </cell>
          <cell r="J57">
            <v>5.2453426252246178</v>
          </cell>
          <cell r="K57">
            <v>4.7044226528729771</v>
          </cell>
          <cell r="L57">
            <v>3.6341746980540726</v>
          </cell>
        </row>
        <row r="66">
          <cell r="B66">
            <v>15</v>
          </cell>
          <cell r="G66">
            <v>10</v>
          </cell>
        </row>
        <row r="67">
          <cell r="B67">
            <v>15</v>
          </cell>
        </row>
        <row r="75">
          <cell r="B75">
            <v>10</v>
          </cell>
          <cell r="G75">
            <v>6</v>
          </cell>
        </row>
        <row r="76">
          <cell r="B76">
            <v>10</v>
          </cell>
        </row>
        <row r="84">
          <cell r="B84">
            <v>15</v>
          </cell>
          <cell r="G84">
            <v>15</v>
          </cell>
        </row>
        <row r="85">
          <cell r="B85">
            <v>8</v>
          </cell>
        </row>
        <row r="123">
          <cell r="B123">
            <v>10</v>
          </cell>
        </row>
        <row r="124">
          <cell r="B124">
            <v>5</v>
          </cell>
        </row>
        <row r="132">
          <cell r="B132">
            <v>5</v>
          </cell>
          <cell r="C132">
            <v>10</v>
          </cell>
          <cell r="D132">
            <v>11.000000000000002</v>
          </cell>
          <cell r="E132">
            <v>12.100000000000003</v>
          </cell>
          <cell r="F132">
            <v>13.310000000000006</v>
          </cell>
          <cell r="G132">
            <v>13.709300000000006</v>
          </cell>
          <cell r="H132">
            <v>14.120579000000006</v>
          </cell>
          <cell r="I132">
            <v>14.544196370000007</v>
          </cell>
          <cell r="J132">
            <v>14.544196370000007</v>
          </cell>
          <cell r="K132">
            <v>14.544196370000007</v>
          </cell>
          <cell r="L132">
            <v>14.544196370000007</v>
          </cell>
        </row>
        <row r="133">
          <cell r="B133">
            <v>5</v>
          </cell>
          <cell r="C133">
            <v>1</v>
          </cell>
          <cell r="D133">
            <v>1.1000000000000003</v>
          </cell>
          <cell r="E133">
            <v>1.2100000000000004</v>
          </cell>
          <cell r="F133">
            <v>1.3310000000000006</v>
          </cell>
          <cell r="G133">
            <v>1.3709300000000006</v>
          </cell>
          <cell r="H133">
            <v>1.4120579000000006</v>
          </cell>
          <cell r="I133">
            <v>1.4544196370000009</v>
          </cell>
          <cell r="J133">
            <v>1.4544196370000009</v>
          </cell>
          <cell r="K133">
            <v>1.4544196370000009</v>
          </cell>
          <cell r="L133">
            <v>1.4544196370000009</v>
          </cell>
        </row>
        <row r="139">
          <cell r="C139">
            <v>0.82191780821917804</v>
          </cell>
          <cell r="D139">
            <v>0.90410958904109595</v>
          </cell>
          <cell r="E139">
            <v>0.99452054794520572</v>
          </cell>
          <cell r="F139">
            <v>1.0939726027397265</v>
          </cell>
          <cell r="G139">
            <v>1.1267917808219183</v>
          </cell>
          <cell r="H139">
            <v>1.1605955342465759</v>
          </cell>
          <cell r="I139">
            <v>1.1954134002739731</v>
          </cell>
          <cell r="J139">
            <v>1.1954134002739731</v>
          </cell>
          <cell r="K139">
            <v>1.1954134002739731</v>
          </cell>
          <cell r="L139">
            <v>1.1954134002739731</v>
          </cell>
        </row>
        <row r="162">
          <cell r="B162" t="b">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Debt Scheduling"/>
      <sheetName val="Sensitivity"/>
      <sheetName val="interest "/>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nge Info"/>
      <sheetName val="Sheet1"/>
      <sheetName val="MPR Summ"/>
      <sheetName val="MPR Cons"/>
      <sheetName val="CPGA"/>
      <sheetName val="Channel Wise Subs"/>
      <sheetName val="False"/>
      <sheetName val="Financial Position (C)"/>
      <sheetName val="Capex Details"/>
      <sheetName val="Profit &amp; Loss Account (C)"/>
      <sheetName val="Fixed License-Entry Fee"/>
      <sheetName val="Investment"/>
      <sheetName val="Deposit"/>
      <sheetName val="Advances"/>
      <sheetName val="Other CA"/>
      <sheetName val="Cash &amp; Bank Balance"/>
      <sheetName val="Inventories"/>
      <sheetName val="Debtors"/>
      <sheetName val="Roaming  Debtors"/>
      <sheetName val="Borrowings"/>
      <sheetName val="Creditors"/>
      <sheetName val="Sub Dep"/>
      <sheetName val="Revenue Statement (C)"/>
      <sheetName val="Engineering Expenses (C)"/>
      <sheetName val="Customer Servicing Expenses (C)"/>
      <sheetName val="Marketing Expenses (C)"/>
      <sheetName val="General &amp; Admin Expenses (C)"/>
      <sheetName val="Interest &amp; Fin Expenses (C)"/>
      <sheetName val="MPR SUMM (M)"/>
      <sheetName val="MPR Maha"/>
      <sheetName val="False M"/>
      <sheetName val="Capex (M)"/>
      <sheetName val="Financial Position"/>
      <sheetName val="Profit &amp; Loss Account"/>
      <sheetName val="Revenue Statement"/>
      <sheetName val="Engineering Expenses"/>
      <sheetName val="Customer Servicing Expenses"/>
      <sheetName val="Marketing Expenses"/>
      <sheetName val="General &amp; Admin Expenses"/>
      <sheetName val="Interest &amp; Financing Expenses"/>
      <sheetName val="MPR Summ (G)"/>
      <sheetName val="MPR GUJ"/>
      <sheetName val="False G"/>
      <sheetName val="Financial Position (2)"/>
      <sheetName val="Capex Guj"/>
      <sheetName val="Profit &amp; Loss Account (G)"/>
      <sheetName val="Revenue Statement (G)"/>
      <sheetName val="Engineering Expenses (G)"/>
      <sheetName val="Customer Servicing Expenses (G)"/>
      <sheetName val="Marketing Expenses (G)"/>
      <sheetName val="General &amp; Admin Expenses (G)"/>
      <sheetName val="Interest &amp; Fin Expenses (G)"/>
      <sheetName val="ARPU Statement"/>
      <sheetName val="Sheet2"/>
      <sheetName val="Sheet3"/>
      <sheetName val="Inc_st"/>
      <sheetName val="Input"/>
      <sheetName val="b"/>
      <sheetName val="fco"/>
      <sheetName val="FACTORS"/>
      <sheetName val="INI"/>
      <sheetName val="Assumptions"/>
      <sheetName val="Output"/>
      <sheetName val="Sheet4"/>
      <sheetName val="AC1"/>
      <sheetName val="O1"/>
      <sheetName val="Information"/>
    </sheetNames>
    <sheetDataSet>
      <sheetData sheetId="0" refreshError="1"/>
      <sheetData sheetId="1" refreshError="1">
        <row r="4">
          <cell r="B4">
            <v>36831</v>
          </cell>
        </row>
        <row r="10">
          <cell r="A10" t="str">
            <v>Million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R)"/>
      <sheetName val="07-10"/>
      <sheetName val="Store Details FY08"/>
      <sheetName val="Sheet3"/>
      <sheetName val="Move (R)"/>
      <sheetName val="Jun07"/>
      <sheetName val="Exp"/>
      <sheetName val="MPBF"/>
      <sheetName val="Mov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TC-Insulation_Volume"/>
    </sheetNames>
    <sheetDataSet>
      <sheetData sheetId="0"/>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A SBI Change"/>
      <sheetName val="Sensitivity"/>
      <sheetName val="Input"/>
      <sheetName val="Depreciation"/>
      <sheetName val="Tax"/>
      <sheetName val="Repayment"/>
      <sheetName val="CERC_FC"/>
      <sheetName val="CERC_VC"/>
      <sheetName val="APERC_VC"/>
      <sheetName val="APERC_FC"/>
      <sheetName val="IM"/>
      <sheetName val="Revenue"/>
      <sheetName val="BS"/>
      <sheetName val="P&amp;L"/>
      <sheetName val="CF"/>
      <sheetName val="CMA"/>
      <sheetName val="Equity IRR"/>
      <sheetName val="Project IRR"/>
      <sheetName val="Sheet1"/>
      <sheetName val="LLMS"/>
      <sheetName val="Sheet2"/>
    </sheetNames>
    <sheetDataSet>
      <sheetData sheetId="0" refreshError="1"/>
      <sheetData sheetId="1" refreshError="1"/>
      <sheetData sheetId="2">
        <row r="8">
          <cell r="J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4">
          <cell r="I14">
            <v>1153.8273699730714</v>
          </cell>
        </row>
      </sheetData>
      <sheetData sheetId="13">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sheetData>
      <sheetData sheetId="14">
        <row r="8">
          <cell r="I8">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row>
        <row r="43">
          <cell r="D43">
            <v>0</v>
          </cell>
        </row>
        <row r="46">
          <cell r="D46">
            <v>0</v>
          </cell>
        </row>
      </sheetData>
      <sheetData sheetId="15">
        <row r="93">
          <cell r="I93">
            <v>689.12</v>
          </cell>
        </row>
      </sheetData>
      <sheetData sheetId="16" refreshError="1"/>
      <sheetData sheetId="17">
        <row r="3">
          <cell r="I3">
            <v>42825</v>
          </cell>
        </row>
      </sheetData>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営業収益"/>
    </sheetNames>
    <sheetDataSet>
      <sheetData sheetId="0"/>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
      <sheetName val="PC"/>
      <sheetName val="Funding_I"/>
      <sheetName val="Funding_II"/>
      <sheetName val="Wrkng_I"/>
      <sheetName val="Wrkng_II"/>
      <sheetName val="Accnts_I"/>
      <sheetName val="Accnts_II"/>
      <sheetName val="ConsolAccnts"/>
      <sheetName val="Ratios"/>
      <sheetName val="Cntrl"/>
      <sheetName val="Misc"/>
      <sheetName val="NPV"/>
      <sheetName val="Sheet2"/>
      <sheetName val="MPBF"/>
      <sheetName val="CM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2">
          <cell r="I2">
            <v>41729</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heetName val="trial balance"/>
      <sheetName val="Sheet(2)"/>
      <sheetName val="notes"/>
      <sheetName val="itcomp"/>
      <sheetName val="itdep"/>
      <sheetName val="ANNX1"/>
      <sheetName val="ANNX2"/>
      <sheetName val="ANNX3 "/>
      <sheetName val="ANNX4 "/>
      <sheetName val="ANNX5"/>
      <sheetName val="ANNX6 "/>
      <sheetName val="ANNX7"/>
      <sheetName val="ANNX8"/>
      <sheetName val="ANNX9"/>
      <sheetName val="10ccac"/>
      <sheetName val="TB9798"/>
      <sheetName val="BS"/>
      <sheetName val="it"/>
      <sheetName val="1tdep"/>
      <sheetName val="ann1"/>
      <sheetName val="ann2"/>
      <sheetName val="ann3"/>
      <sheetName val="ann4"/>
      <sheetName val="ann5"/>
      <sheetName val="ann6"/>
      <sheetName val="ann7"/>
      <sheetName val="ann8"/>
      <sheetName val="Cash"/>
      <sheetName val="Sales Inv"/>
      <sheetName val="adp-budget"/>
      <sheetName val="Rates"/>
      <sheetName val="FINAL"/>
      <sheetName val="trial (2)"/>
      <sheetName val="OKS Data"/>
      <sheetName val="Don't Delete"/>
      <sheetName val="IncomeStatement - ALL"/>
      <sheetName val="UNIT-II"/>
      <sheetName val="Variables"/>
      <sheetName val="Sheet1"/>
      <sheetName val="STREET ESTIMATES"/>
      <sheetName val="License Summary Q2"/>
      <sheetName val="Input - 2000 Core Actual"/>
      <sheetName val="Assump"/>
      <sheetName val="China"/>
      <sheetName val="Plant &amp; Mach"/>
      <sheetName val="#REF"/>
      <sheetName val="P&amp;L(ignore)"/>
      <sheetName val="EXPENSES"/>
      <sheetName val="dividendos"/>
      <sheetName val="India Mapping"/>
      <sheetName val="BS Schdl- 1 &amp; 2"/>
      <sheetName val="Data Entry-1"/>
      <sheetName val="Data Entry-2 "/>
      <sheetName val="Lists"/>
      <sheetName val="Summary"/>
      <sheetName val="Balance Sheet "/>
      <sheetName val="Schaefer(B) 9798"/>
      <sheetName val="HIGMAN9798"/>
      <sheetName val="Higman(B)9798"/>
      <sheetName val="SCHAEFER9798"/>
      <sheetName val="SCHULMEYER9798"/>
      <sheetName val="Schulmeyer(B)9798"/>
      <sheetName val="SMITH9798"/>
      <sheetName val="Smith(B)9798"/>
      <sheetName val="Allowances"/>
      <sheetName val="_x0000_"/>
      <sheetName val="P&amp;L"/>
      <sheetName val="SCH-A,B,C"/>
      <sheetName val="Input"/>
      <sheetName val="BS Schedules"/>
      <sheetName val="Masters"/>
      <sheetName val="Customize Your Purchase Order"/>
      <sheetName val="Dep"/>
      <sheetName val="Balance SheetLinks"/>
      <sheetName val="INV"/>
      <sheetName val="BS-203"/>
      <sheetName val="IT_DDTP"/>
      <sheetName val="BLANSHT"/>
      <sheetName val="BS98"/>
      <sheetName val="Parameters"/>
      <sheetName val="pack pnl-99"/>
      <sheetName val="Comp"/>
      <sheetName val="DSM checkbook"/>
      <sheetName val="TAX INCOME"/>
      <sheetName val="Tools Rev"/>
      <sheetName val="trial_balance"/>
      <sheetName val="ANNX3_"/>
      <sheetName val="ANNX4_"/>
      <sheetName val="ANNX6_"/>
      <sheetName val="BS_Schedules"/>
      <sheetName val="trial_(2)"/>
      <sheetName val="Customize_Your_Purchase_Order"/>
      <sheetName val="trial_balance1"/>
      <sheetName val="ANNX3_1"/>
      <sheetName val="ANNX4_1"/>
      <sheetName val="ANNX6_1"/>
      <sheetName val="BS_Schedules1"/>
      <sheetName val="trial_(2)1"/>
      <sheetName val="Customize_Your_Purchase_Order1"/>
      <sheetName val="JUN 06 PAY REGISTER"/>
      <sheetName val="SCH-E,F,G,H,I"/>
      <sheetName val="P&amp;L Schedules"/>
      <sheetName val="DrillDownMacros"/>
      <sheetName val="Jan resp"/>
      <sheetName val="Intl S&amp;M"/>
      <sheetName val="Marketing"/>
      <sheetName val="Operations"/>
      <sheetName val="Product Mgmt"/>
      <sheetName val="Production"/>
      <sheetName val="R&amp;D"/>
      <sheetName val="Sales"/>
      <sheetName val="Lookup"/>
      <sheetName val="Test Equip"/>
      <sheetName val="ttam-ELP"/>
      <sheetName val="Groupings 2004"/>
      <sheetName val="pack_pnl-99"/>
      <sheetName val="Balance_SheetLinks"/>
      <sheetName val="Letter"/>
      <sheetName val="Consolidated"/>
      <sheetName val="Income Statement"/>
      <sheetName val="Ann.II"/>
      <sheetName val="Table for Template"/>
      <sheetName val="COVER"/>
      <sheetName val="STB4"/>
      <sheetName val="Preisliste"/>
      <sheetName val="XLR_NoRangeSheet"/>
      <sheetName val="wdr bldg"/>
      <sheetName val="FA-LISTING"/>
      <sheetName val="Sheet3"/>
      <sheetName val="pay Register"/>
      <sheetName val="Simulator Detail"/>
      <sheetName val="pukhraj (HUF)"/>
      <sheetName val="pack_pnl-991"/>
      <sheetName val="Balance_SheetLinks1"/>
      <sheetName val="Schedules"/>
      <sheetName val="Intermediary"/>
      <sheetName val="OPEX_VC"/>
      <sheetName val="TPM"/>
      <sheetName val="Form"/>
      <sheetName val="Challan"/>
      <sheetName val="TBAL9697 -group wise  sdpl"/>
      <sheetName val="A"/>
      <sheetName val="B"/>
      <sheetName val="Income Tax Indexation"/>
      <sheetName val="2010 FTE Summary"/>
      <sheetName val="OneSource Data"/>
      <sheetName val="OneSource Data (2)"/>
      <sheetName val="EAW Final Accounts - 99"/>
      <sheetName val="FA Register"/>
      <sheetName val="Yr. Print"/>
      <sheetName val="Model"/>
      <sheetName val="List Box"/>
      <sheetName val="Tax Computation"/>
      <sheetName val="InvoiceList"/>
      <sheetName val="Interest on Loan from Director"/>
      <sheetName val="Initialisation"/>
      <sheetName val="Grpng Dtls"/>
      <sheetName val="IPO returns"/>
      <sheetName val="Annx 8 Pg 1  Rev-Annexure (UL)"/>
      <sheetName val="Payroll_Statement"/>
      <sheetName val="234B&amp;C"/>
      <sheetName val="Total DTH Forecast"/>
      <sheetName val="Total Distribution Forecast"/>
      <sheetName val="STI"/>
      <sheetName val="CAS"/>
      <sheetName val="3CD"/>
      <sheetName val="Don't_Delete"/>
      <sheetName val="STREET_ESTIMATES"/>
      <sheetName val="License_Summary_Q2"/>
      <sheetName val="Input_-_2000_Core_Actual"/>
      <sheetName val="OKS_Data"/>
      <sheetName val="IncomeStatement_-_ALL"/>
      <sheetName val="Balance_Sheet_"/>
      <sheetName val="Schaefer(B)_9798"/>
      <sheetName val=""/>
      <sheetName val="TAX_INCOME"/>
      <sheetName val="M_Maincomp"/>
      <sheetName val="M-1 Nov"/>
      <sheetName val="K2"/>
      <sheetName val="Med Reimb."/>
      <sheetName val="Tools_Rev"/>
      <sheetName val="Groupings_2004"/>
      <sheetName val="P&amp;L_Schedules"/>
      <sheetName val="Jan_resp"/>
      <sheetName val="Intl_S&amp;M"/>
      <sheetName val="Product_Mgmt"/>
      <sheetName val="Test_Equip"/>
      <sheetName val="Ann_II"/>
      <sheetName val="Income_Statement"/>
      <sheetName val="Sing Comp"/>
      <sheetName val="Charts"/>
      <sheetName val="Audit"/>
      <sheetName val="trial_balance2"/>
      <sheetName val="ANNX3_2"/>
      <sheetName val="ANNX4_2"/>
      <sheetName val="ANNX6_2"/>
      <sheetName val="trial_balance3"/>
      <sheetName val="ANNX3_3"/>
      <sheetName val="ANNX4_3"/>
      <sheetName val="ANNX6_3"/>
      <sheetName val="trial_balance4"/>
      <sheetName val="ANNX3_4"/>
      <sheetName val="ANNX4_4"/>
      <sheetName val="ANNX6_4"/>
      <sheetName val="ICB"/>
      <sheetName val="trial_balance5"/>
      <sheetName val="ANNX3_5"/>
      <sheetName val="ANNX4_5"/>
      <sheetName val="ANNX6_5"/>
      <sheetName val="Customize_Your_Purchase_Order2"/>
      <sheetName val="Oct 2007 Moeller data"/>
      <sheetName val="CRITERIAS"/>
      <sheetName val="Master LOV"/>
      <sheetName val="HBI NCD"/>
      <sheetName val="Summary Output"/>
      <sheetName val="?"/>
      <sheetName val="_x005f_x0000_"/>
      <sheetName val="CashFlow"/>
      <sheetName val="Sales TBU"/>
      <sheetName val="Input Acq Firm"/>
      <sheetName val="Input Combined Firm"/>
      <sheetName val="cif imports 02-03"/>
      <sheetName val="TB Jan-DEC97"/>
      <sheetName val="BS&amp;PL_97"/>
      <sheetName val="Details"/>
      <sheetName val="Medical"/>
      <sheetName val="Mar-06"/>
      <sheetName val="Sydney"/>
      <sheetName val="Jul-05"/>
      <sheetName val="Ann -1"/>
      <sheetName val="Bal_Gr"/>
      <sheetName val="IOControl"/>
      <sheetName val="ROW"/>
      <sheetName val="France"/>
      <sheetName val="UK"/>
      <sheetName val="LOM_MOD"/>
      <sheetName val="Ann.VI.2"/>
      <sheetName val="OH rate"/>
      <sheetName val="Dept Lookup"/>
      <sheetName val="X-charge IN"/>
      <sheetName val="IO LIST"/>
      <sheetName val="IPAS"/>
      <sheetName val="Validation Lists"/>
      <sheetName val="Corporate"/>
      <sheetName val="COF"/>
      <sheetName val="URD-s"/>
      <sheetName val="Jul 96 Worksheet"/>
      <sheetName val="Inputs"/>
      <sheetName val="Income Statement - Trending"/>
      <sheetName val="DSM_checkbook"/>
      <sheetName val="pay_Register"/>
      <sheetName val="Simulator_Detail"/>
      <sheetName val="BS_Schdl-_1_&amp;_2"/>
      <sheetName val="wdr_bldg"/>
      <sheetName val="Table_for_Template"/>
      <sheetName val="Data Elements-Exp Driv &amp; Assump"/>
      <sheetName val="Data Elements-Staffing"/>
      <sheetName val="Assmp"/>
      <sheetName val="MasterData"/>
      <sheetName val="ODEP"/>
      <sheetName val="RM stock"/>
      <sheetName val="Bsheet"/>
      <sheetName val="FG QTY"/>
      <sheetName val="Avg Rate"/>
      <sheetName val="Control"/>
      <sheetName val="Input _EAST"/>
      <sheetName val="Input_TOTAL"/>
      <sheetName val="IT_Report"/>
      <sheetName val="20.0"/>
      <sheetName val="100.1"/>
      <sheetName val="03.0"/>
      <sheetName val="Companycode"/>
      <sheetName val="IC"/>
      <sheetName val="P&amp;L Input Sheet"/>
      <sheetName val="Sale 30-4-2006"/>
      <sheetName val="Instructions"/>
      <sheetName val="Unmatched"/>
      <sheetName val="Matched"/>
      <sheetName val="directors"/>
      <sheetName val="전체실적"/>
      <sheetName val="TB (2)"/>
      <sheetName val="trial_balance6"/>
      <sheetName val="ANNX3_6"/>
      <sheetName val="ANNX4_6"/>
      <sheetName val="ANNX6_6"/>
      <sheetName val="trial_(2)2"/>
      <sheetName val="pack_pnl-992"/>
      <sheetName val="BS_Schedules2"/>
      <sheetName val="Customize_Your_Purchase_Order3"/>
      <sheetName val="Balance_SheetLinks2"/>
      <sheetName val="Balance_Sheet_1"/>
      <sheetName val="Don't_Delete1"/>
      <sheetName val="TAX_INCOME1"/>
      <sheetName val="Tools_Rev1"/>
      <sheetName val="2010_FTE_Summary"/>
      <sheetName val="OKS_Data1"/>
      <sheetName val="STREET_ESTIMATES1"/>
      <sheetName val="License_Summary_Q21"/>
      <sheetName val="Input_-_2000_Core_Actual1"/>
      <sheetName val="IncomeStatement_-_ALL1"/>
      <sheetName val="Grpng_Dtls"/>
      <sheetName val="TBAL9697_-group_wise__sdpl"/>
      <sheetName val="Tax_Computation"/>
      <sheetName val="Interest_on_Loan_from_Director"/>
      <sheetName val="Income_Tax_Indexation"/>
      <sheetName val="JUN_06_PAY_REGISTER"/>
      <sheetName val="Schaefer(B)_97981"/>
      <sheetName val="Annx_8_Pg_1__Rev-Annexure_(UL)"/>
      <sheetName val="OneSource_Data"/>
      <sheetName val="OneSource_Data_(2)"/>
      <sheetName val="EAW_Final_Accounts_-_99"/>
      <sheetName val="M-1_Nov"/>
      <sheetName val="Master_LOV"/>
      <sheetName val="Plant_&amp;_Mach"/>
      <sheetName val="India_Mapping"/>
      <sheetName val="Data_Entry-1"/>
      <sheetName val="Data_Entry-2_"/>
      <sheetName val="Input_Acq_Firm"/>
      <sheetName val="Input_Combined_Firm"/>
      <sheetName val="TB_Jan-DEC97"/>
      <sheetName val="Sales_TBU"/>
      <sheetName val="Ann_-1"/>
      <sheetName val="pukhraj_(HUF)"/>
      <sheetName val="Total_DTH_Forecast"/>
      <sheetName val="Total_Distribution_Forecast"/>
      <sheetName val="TB_(2)"/>
      <sheetName val="Service Income"/>
      <sheetName val="cif_imports_02-03"/>
      <sheetName val="Capital advances"/>
    </sheetNames>
    <sheetDataSet>
      <sheetData sheetId="0" refreshError="1">
        <row r="2">
          <cell r="A2" t="str">
            <v>SCHEDULE:5</v>
          </cell>
        </row>
        <row r="3">
          <cell r="A3" t="str">
            <v>FIXED ASSETS</v>
          </cell>
        </row>
        <row r="4">
          <cell r="L4" t="str">
            <v>(in rupees)</v>
          </cell>
        </row>
        <row r="5">
          <cell r="D5" t="str">
            <v xml:space="preserve">   G R O S S  B L O C K</v>
          </cell>
          <cell r="H5" t="str">
            <v xml:space="preserve">  D E P R E C I A T I O N</v>
          </cell>
          <cell r="K5" t="str">
            <v xml:space="preserve">     N E T  B L O C K</v>
          </cell>
        </row>
        <row r="6">
          <cell r="A6" t="str">
            <v>SL.</v>
          </cell>
          <cell r="B6" t="str">
            <v>DESCRIPTION</v>
          </cell>
          <cell r="C6" t="str">
            <v>Cost as at</v>
          </cell>
          <cell r="D6" t="str">
            <v>Additions</v>
          </cell>
          <cell r="E6" t="str">
            <v>Deductions</v>
          </cell>
          <cell r="F6" t="str">
            <v>Cost as at</v>
          </cell>
          <cell r="G6" t="str">
            <v>Upto</v>
          </cell>
          <cell r="H6" t="str">
            <v>Deductions</v>
          </cell>
          <cell r="I6" t="str">
            <v>For the</v>
          </cell>
          <cell r="J6" t="str">
            <v>Upto</v>
          </cell>
          <cell r="K6" t="str">
            <v>As at</v>
          </cell>
          <cell r="L6" t="str">
            <v>As at</v>
          </cell>
        </row>
        <row r="7">
          <cell r="A7" t="str">
            <v>NO.</v>
          </cell>
          <cell r="C7" t="str">
            <v>1st April</v>
          </cell>
          <cell r="D7" t="str">
            <v>during</v>
          </cell>
          <cell r="E7" t="str">
            <v>during</v>
          </cell>
          <cell r="F7" t="str">
            <v>31st March</v>
          </cell>
          <cell r="G7" t="str">
            <v>31st March,</v>
          </cell>
          <cell r="H7" t="str">
            <v>on a/c of</v>
          </cell>
          <cell r="I7" t="str">
            <v>year</v>
          </cell>
          <cell r="J7" t="str">
            <v>31st March,</v>
          </cell>
          <cell r="K7" t="str">
            <v>31st March,</v>
          </cell>
          <cell r="L7" t="str">
            <v>31st March,</v>
          </cell>
        </row>
        <row r="8">
          <cell r="C8" t="str">
            <v>1997</v>
          </cell>
          <cell r="D8" t="str">
            <v>the year</v>
          </cell>
          <cell r="E8" t="str">
            <v>the year</v>
          </cell>
          <cell r="F8" t="str">
            <v>1998</v>
          </cell>
          <cell r="G8" t="str">
            <v>1997</v>
          </cell>
          <cell r="H8" t="str">
            <v>adjustments</v>
          </cell>
          <cell r="J8" t="str">
            <v>1998</v>
          </cell>
          <cell r="K8" t="str">
            <v>1998</v>
          </cell>
          <cell r="L8" t="str">
            <v>1997</v>
          </cell>
        </row>
        <row r="9">
          <cell r="A9" t="str">
            <v>1.</v>
          </cell>
          <cell r="B9" t="str">
            <v>Land</v>
          </cell>
        </row>
        <row r="10">
          <cell r="B10" t="str">
            <v xml:space="preserve">  Freehold</v>
          </cell>
          <cell r="C10">
            <v>16589275</v>
          </cell>
          <cell r="D10" t="str">
            <v>-</v>
          </cell>
          <cell r="E10">
            <v>1460406</v>
          </cell>
          <cell r="F10">
            <v>15128869</v>
          </cell>
          <cell r="G10" t="str">
            <v>-</v>
          </cell>
          <cell r="H10" t="str">
            <v>-</v>
          </cell>
          <cell r="I10" t="str">
            <v>-</v>
          </cell>
          <cell r="J10" t="str">
            <v>-</v>
          </cell>
          <cell r="K10">
            <v>15128869</v>
          </cell>
          <cell r="L10">
            <v>16589275</v>
          </cell>
        </row>
        <row r="11">
          <cell r="B11" t="str">
            <v xml:space="preserve">  Leasehold</v>
          </cell>
          <cell r="C11">
            <v>2523442.7999999998</v>
          </cell>
          <cell r="D11" t="str">
            <v>-</v>
          </cell>
          <cell r="E11" t="str">
            <v>-</v>
          </cell>
          <cell r="F11">
            <v>2523442.7999999998</v>
          </cell>
          <cell r="G11">
            <v>1190343</v>
          </cell>
          <cell r="H11" t="str">
            <v>-</v>
          </cell>
          <cell r="I11">
            <v>229404</v>
          </cell>
          <cell r="J11">
            <v>1419747</v>
          </cell>
          <cell r="K11">
            <v>1103695.7999999998</v>
          </cell>
          <cell r="L11">
            <v>1333099.7999999998</v>
          </cell>
        </row>
        <row r="12">
          <cell r="A12" t="str">
            <v>2.</v>
          </cell>
          <cell r="B12" t="str">
            <v>Buildings</v>
          </cell>
          <cell r="C12">
            <v>32319740.359999996</v>
          </cell>
          <cell r="D12">
            <v>7443887.459999999</v>
          </cell>
          <cell r="E12" t="str">
            <v>-</v>
          </cell>
          <cell r="F12">
            <v>39763627.819999993</v>
          </cell>
          <cell r="G12">
            <v>9849276</v>
          </cell>
          <cell r="H12" t="str">
            <v>-</v>
          </cell>
          <cell r="I12">
            <v>2162853</v>
          </cell>
          <cell r="J12">
            <v>12012129</v>
          </cell>
          <cell r="K12">
            <v>27751498.819999993</v>
          </cell>
          <cell r="L12">
            <v>22470464.359999996</v>
          </cell>
        </row>
        <row r="13">
          <cell r="A13" t="str">
            <v>3.</v>
          </cell>
          <cell r="B13" t="str">
            <v>Plant and machinery</v>
          </cell>
          <cell r="C13">
            <v>9975087.870000001</v>
          </cell>
          <cell r="D13">
            <v>789510</v>
          </cell>
          <cell r="E13" t="str">
            <v>-</v>
          </cell>
          <cell r="F13">
            <v>10764597.870000001</v>
          </cell>
          <cell r="G13">
            <v>3796058</v>
          </cell>
          <cell r="H13" t="str">
            <v>-</v>
          </cell>
          <cell r="I13">
            <v>930386</v>
          </cell>
          <cell r="J13">
            <v>4726444</v>
          </cell>
          <cell r="K13">
            <v>6038153.870000001</v>
          </cell>
          <cell r="L13">
            <v>6179029.870000001</v>
          </cell>
        </row>
        <row r="14">
          <cell r="A14" t="str">
            <v>4.</v>
          </cell>
          <cell r="B14" t="str">
            <v>R &amp; D Equipment</v>
          </cell>
          <cell r="C14">
            <v>13996906.99</v>
          </cell>
          <cell r="D14">
            <v>1358972.1600000001</v>
          </cell>
          <cell r="E14" t="str">
            <v>-</v>
          </cell>
          <cell r="F14">
            <v>15355879.15</v>
          </cell>
          <cell r="G14">
            <v>5254513</v>
          </cell>
          <cell r="H14" t="str">
            <v>-</v>
          </cell>
          <cell r="I14">
            <v>1338096</v>
          </cell>
          <cell r="J14">
            <v>6592609</v>
          </cell>
          <cell r="K14">
            <v>8763270.1500000004</v>
          </cell>
          <cell r="L14">
            <v>8742393.9900000002</v>
          </cell>
        </row>
        <row r="15">
          <cell r="A15" t="str">
            <v>5.</v>
          </cell>
          <cell r="B15" t="str">
            <v>Other equipment</v>
          </cell>
          <cell r="C15">
            <v>2913713.73</v>
          </cell>
          <cell r="D15">
            <v>4025947</v>
          </cell>
          <cell r="E15">
            <v>1789</v>
          </cell>
          <cell r="F15">
            <v>6937871.7300000004</v>
          </cell>
          <cell r="G15">
            <v>1375617</v>
          </cell>
          <cell r="H15">
            <v>41</v>
          </cell>
          <cell r="I15">
            <v>362031</v>
          </cell>
          <cell r="J15">
            <v>1737607</v>
          </cell>
          <cell r="K15">
            <v>5200264.7300000004</v>
          </cell>
          <cell r="L15">
            <v>1538096.73</v>
          </cell>
        </row>
        <row r="16">
          <cell r="A16" t="str">
            <v>6.</v>
          </cell>
          <cell r="B16" t="str">
            <v>Furniture and fixtures</v>
          </cell>
          <cell r="C16">
            <v>1952272.27</v>
          </cell>
          <cell r="D16">
            <v>114753.19999999995</v>
          </cell>
          <cell r="E16" t="str">
            <v>-</v>
          </cell>
          <cell r="F16">
            <v>2067025.47</v>
          </cell>
          <cell r="G16">
            <v>779893</v>
          </cell>
          <cell r="H16" t="str">
            <v>-</v>
          </cell>
          <cell r="I16">
            <v>221076</v>
          </cell>
          <cell r="J16">
            <v>1000969</v>
          </cell>
          <cell r="K16">
            <v>1066056.47</v>
          </cell>
          <cell r="L16">
            <v>1172379.27</v>
          </cell>
        </row>
        <row r="17">
          <cell r="A17" t="str">
            <v>7.</v>
          </cell>
          <cell r="B17" t="str">
            <v>Vehicles</v>
          </cell>
          <cell r="C17">
            <v>1652981.06</v>
          </cell>
          <cell r="D17">
            <v>701354</v>
          </cell>
          <cell r="E17" t="str">
            <v>-</v>
          </cell>
          <cell r="F17">
            <v>2354335.06</v>
          </cell>
          <cell r="G17">
            <v>479520</v>
          </cell>
          <cell r="H17" t="str">
            <v>-</v>
          </cell>
          <cell r="I17">
            <v>364004</v>
          </cell>
          <cell r="J17">
            <v>843524</v>
          </cell>
          <cell r="K17">
            <v>1510811.06</v>
          </cell>
          <cell r="L17">
            <v>1173461.06</v>
          </cell>
        </row>
        <row r="18">
          <cell r="B18" t="str">
            <v>TOTAL</v>
          </cell>
          <cell r="C18">
            <v>81923420</v>
          </cell>
          <cell r="D18">
            <v>14434423.819999998</v>
          </cell>
          <cell r="E18">
            <v>1462195</v>
          </cell>
          <cell r="F18">
            <v>94895648.900000006</v>
          </cell>
          <cell r="G18">
            <v>22725220</v>
          </cell>
          <cell r="H18">
            <v>41</v>
          </cell>
          <cell r="I18">
            <v>5607850</v>
          </cell>
          <cell r="J18">
            <v>28333029</v>
          </cell>
          <cell r="K18">
            <v>66562619.899999991</v>
          </cell>
          <cell r="L18">
            <v>59198200.080000006</v>
          </cell>
        </row>
        <row r="19">
          <cell r="B19" t="str">
            <v>PREVIOUS YEAR</v>
          </cell>
          <cell r="C19">
            <v>71862746</v>
          </cell>
          <cell r="D19">
            <v>10425875</v>
          </cell>
          <cell r="E19">
            <v>365200</v>
          </cell>
          <cell r="F19">
            <v>81923421</v>
          </cell>
          <cell r="G19">
            <v>18228265</v>
          </cell>
          <cell r="H19">
            <v>131472</v>
          </cell>
          <cell r="I19">
            <v>4628428</v>
          </cell>
          <cell r="J19">
            <v>22725221</v>
          </cell>
          <cell r="K19">
            <v>59198200</v>
          </cell>
          <cell r="L19" t="str">
            <v>-</v>
          </cell>
        </row>
        <row r="24">
          <cell r="A24" t="str">
            <v>BIOCON INDIA LIMITED</v>
          </cell>
        </row>
        <row r="26">
          <cell r="C26" t="str">
            <v>GROSS BLOCK</v>
          </cell>
          <cell r="G26" t="str">
            <v>DEPRECIATION</v>
          </cell>
        </row>
        <row r="27">
          <cell r="D27" t="str">
            <v>ADDITIONS</v>
          </cell>
          <cell r="E27" t="str">
            <v>DELETIONS</v>
          </cell>
          <cell r="H27" t="str">
            <v>DELETIONS</v>
          </cell>
          <cell r="I27" t="str">
            <v>ADDITIONS</v>
          </cell>
          <cell r="K27" t="str">
            <v>&lt;---WDV---&gt;</v>
          </cell>
        </row>
        <row r="28">
          <cell r="D28" t="str">
            <v>01-04-97</v>
          </cell>
          <cell r="E28" t="str">
            <v>01-04-97</v>
          </cell>
          <cell r="F28" t="str">
            <v>TOTAL</v>
          </cell>
          <cell r="G28" t="str">
            <v xml:space="preserve">Upto </v>
          </cell>
          <cell r="H28" t="str">
            <v>01-04-97</v>
          </cell>
          <cell r="I28" t="str">
            <v>01-04-97</v>
          </cell>
          <cell r="J28" t="str">
            <v>TOTAL DEPN.</v>
          </cell>
          <cell r="K28" t="str">
            <v>WDV</v>
          </cell>
        </row>
        <row r="29">
          <cell r="A29" t="str">
            <v xml:space="preserve">SL </v>
          </cell>
          <cell r="B29" t="str">
            <v>DESCRIPTION</v>
          </cell>
          <cell r="C29" t="str">
            <v>Cost as on</v>
          </cell>
          <cell r="D29" t="str">
            <v>Upto</v>
          </cell>
          <cell r="E29" t="str">
            <v>Upto</v>
          </cell>
          <cell r="F29" t="str">
            <v>COST AS ON</v>
          </cell>
          <cell r="H29" t="str">
            <v>Upto</v>
          </cell>
          <cell r="I29" t="str">
            <v>Upto</v>
          </cell>
          <cell r="J29" t="str">
            <v>UPTO</v>
          </cell>
          <cell r="K29" t="str">
            <v>AS ON</v>
          </cell>
        </row>
        <row r="30">
          <cell r="A30" t="str">
            <v>NO</v>
          </cell>
          <cell r="C30" t="str">
            <v>31-03-1997</v>
          </cell>
          <cell r="D30" t="str">
            <v>31-03-98</v>
          </cell>
          <cell r="E30" t="str">
            <v>31-03-98</v>
          </cell>
          <cell r="F30" t="str">
            <v>31-03-98</v>
          </cell>
          <cell r="G30" t="str">
            <v>31-03-1997</v>
          </cell>
          <cell r="H30" t="str">
            <v>31-03-98</v>
          </cell>
          <cell r="I30" t="str">
            <v>31-03-98</v>
          </cell>
          <cell r="J30" t="str">
            <v>31-03-98</v>
          </cell>
          <cell r="K30" t="str">
            <v>31-03-98</v>
          </cell>
        </row>
        <row r="32">
          <cell r="A32" t="str">
            <v>1</v>
          </cell>
          <cell r="B32" t="str">
            <v>Freehold land - factory</v>
          </cell>
          <cell r="C32">
            <v>280336</v>
          </cell>
          <cell r="D32">
            <v>0</v>
          </cell>
          <cell r="E32">
            <v>40402</v>
          </cell>
          <cell r="F32">
            <v>239934</v>
          </cell>
          <cell r="G32">
            <v>0</v>
          </cell>
          <cell r="H32">
            <v>0</v>
          </cell>
          <cell r="I32">
            <v>0</v>
          </cell>
          <cell r="J32">
            <v>0</v>
          </cell>
          <cell r="K32">
            <v>239934</v>
          </cell>
        </row>
        <row r="33">
          <cell r="A33" t="str">
            <v>2</v>
          </cell>
          <cell r="B33" t="str">
            <v>Revaluation - freehold land factory</v>
          </cell>
          <cell r="C33">
            <v>9853089</v>
          </cell>
          <cell r="D33">
            <v>0</v>
          </cell>
          <cell r="E33">
            <v>1420004</v>
          </cell>
          <cell r="F33">
            <v>8433085</v>
          </cell>
          <cell r="G33">
            <v>0</v>
          </cell>
          <cell r="H33">
            <v>0</v>
          </cell>
          <cell r="I33">
            <v>0</v>
          </cell>
          <cell r="J33">
            <v>0</v>
          </cell>
          <cell r="K33">
            <v>8433085</v>
          </cell>
        </row>
        <row r="34">
          <cell r="A34" t="str">
            <v>3</v>
          </cell>
          <cell r="B34" t="str">
            <v>Freehold land - housing</v>
          </cell>
          <cell r="C34">
            <v>2963115</v>
          </cell>
          <cell r="D34">
            <v>0</v>
          </cell>
          <cell r="F34">
            <v>2963115</v>
          </cell>
          <cell r="G34">
            <v>0</v>
          </cell>
          <cell r="H34">
            <v>0</v>
          </cell>
          <cell r="I34">
            <v>0</v>
          </cell>
          <cell r="J34">
            <v>0</v>
          </cell>
          <cell r="K34">
            <v>2963115</v>
          </cell>
        </row>
        <row r="35">
          <cell r="A35" t="str">
            <v>4</v>
          </cell>
          <cell r="B35" t="str">
            <v>Revaluation - freehold land housing</v>
          </cell>
          <cell r="C35">
            <v>3492735</v>
          </cell>
          <cell r="D35">
            <v>0</v>
          </cell>
          <cell r="F35">
            <v>3492735</v>
          </cell>
          <cell r="G35">
            <v>0</v>
          </cell>
          <cell r="H35">
            <v>0</v>
          </cell>
          <cell r="I35">
            <v>0</v>
          </cell>
          <cell r="J35">
            <v>0</v>
          </cell>
          <cell r="K35">
            <v>3492735</v>
          </cell>
        </row>
        <row r="36">
          <cell r="A36" t="str">
            <v>5</v>
          </cell>
          <cell r="B36" t="str">
            <v>Leasehold land - housing - KMZ</v>
          </cell>
          <cell r="C36">
            <v>1000000</v>
          </cell>
          <cell r="D36">
            <v>0</v>
          </cell>
          <cell r="F36">
            <v>1000000</v>
          </cell>
          <cell r="G36">
            <v>636363</v>
          </cell>
          <cell r="H36">
            <v>0</v>
          </cell>
          <cell r="I36">
            <v>90909</v>
          </cell>
          <cell r="J36">
            <v>727272</v>
          </cell>
          <cell r="K36">
            <v>272728</v>
          </cell>
        </row>
        <row r="37">
          <cell r="A37" t="str">
            <v>6</v>
          </cell>
          <cell r="B37" t="str">
            <v>Leasehold land - housing - PKA</v>
          </cell>
          <cell r="C37">
            <v>1523442.8</v>
          </cell>
          <cell r="D37">
            <v>0</v>
          </cell>
          <cell r="F37">
            <v>1523442.8</v>
          </cell>
          <cell r="G37">
            <v>553980</v>
          </cell>
          <cell r="H37">
            <v>0</v>
          </cell>
          <cell r="I37">
            <v>138495</v>
          </cell>
          <cell r="J37">
            <v>692475</v>
          </cell>
          <cell r="K37">
            <v>830967.8</v>
          </cell>
        </row>
        <row r="38">
          <cell r="A38" t="str">
            <v>7</v>
          </cell>
          <cell r="B38" t="str">
            <v>Factory Buildings</v>
          </cell>
          <cell r="C38">
            <v>6308285.4000000004</v>
          </cell>
          <cell r="D38">
            <v>0</v>
          </cell>
          <cell r="F38">
            <v>6308285.4000000004</v>
          </cell>
          <cell r="G38">
            <v>3548280</v>
          </cell>
          <cell r="H38">
            <v>0</v>
          </cell>
          <cell r="I38">
            <v>276001</v>
          </cell>
          <cell r="J38">
            <v>3824281</v>
          </cell>
          <cell r="K38">
            <v>2484004.4000000004</v>
          </cell>
        </row>
        <row r="39">
          <cell r="A39" t="str">
            <v>8</v>
          </cell>
          <cell r="B39" t="str">
            <v xml:space="preserve">Building R &amp; D </v>
          </cell>
          <cell r="C39">
            <v>2003264.13</v>
          </cell>
          <cell r="D39">
            <v>0</v>
          </cell>
          <cell r="F39">
            <v>2003264.13</v>
          </cell>
          <cell r="G39">
            <v>244095</v>
          </cell>
          <cell r="H39">
            <v>0</v>
          </cell>
          <cell r="I39">
            <v>175917</v>
          </cell>
          <cell r="J39">
            <v>420012</v>
          </cell>
          <cell r="K39">
            <v>1583252.13</v>
          </cell>
        </row>
        <row r="40">
          <cell r="A40" t="str">
            <v>9</v>
          </cell>
          <cell r="B40" t="str">
            <v>Revaluation - factory building</v>
          </cell>
          <cell r="C40">
            <v>15323127</v>
          </cell>
          <cell r="D40">
            <v>0</v>
          </cell>
          <cell r="F40">
            <v>15323127</v>
          </cell>
          <cell r="G40">
            <v>4152567</v>
          </cell>
          <cell r="H40">
            <v>0</v>
          </cell>
          <cell r="I40">
            <v>1117056</v>
          </cell>
          <cell r="J40">
            <v>5269623</v>
          </cell>
          <cell r="K40">
            <v>10053504</v>
          </cell>
        </row>
        <row r="41">
          <cell r="A41" t="str">
            <v>10</v>
          </cell>
          <cell r="B41" t="str">
            <v>Residential Flats</v>
          </cell>
          <cell r="C41">
            <v>2718908.83</v>
          </cell>
          <cell r="D41">
            <v>6568241.459999999</v>
          </cell>
          <cell r="F41">
            <v>9287150.2899999991</v>
          </cell>
          <cell r="G41">
            <v>986773</v>
          </cell>
          <cell r="H41">
            <v>0</v>
          </cell>
          <cell r="I41">
            <v>333141</v>
          </cell>
          <cell r="J41">
            <v>1319914</v>
          </cell>
          <cell r="K41">
            <v>7967236.2899999991</v>
          </cell>
        </row>
        <row r="42">
          <cell r="A42" t="str">
            <v>11</v>
          </cell>
          <cell r="B42" t="str">
            <v>Bombay Premises</v>
          </cell>
          <cell r="D42">
            <v>875646</v>
          </cell>
          <cell r="F42">
            <v>875646</v>
          </cell>
          <cell r="I42">
            <v>7077</v>
          </cell>
          <cell r="J42">
            <v>7077</v>
          </cell>
          <cell r="K42">
            <v>868569</v>
          </cell>
        </row>
        <row r="43">
          <cell r="A43" t="str">
            <v>12</v>
          </cell>
          <cell r="B43" t="str">
            <v>Revaluation - residential flats</v>
          </cell>
          <cell r="C43">
            <v>5859722</v>
          </cell>
          <cell r="D43">
            <v>0</v>
          </cell>
          <cell r="F43">
            <v>5859722</v>
          </cell>
          <cell r="G43">
            <v>835743</v>
          </cell>
          <cell r="H43">
            <v>0</v>
          </cell>
          <cell r="I43">
            <v>251199</v>
          </cell>
          <cell r="J43">
            <v>1086942</v>
          </cell>
          <cell r="K43">
            <v>4772780</v>
          </cell>
        </row>
        <row r="44">
          <cell r="A44" t="str">
            <v>13</v>
          </cell>
          <cell r="B44" t="str">
            <v>Wells &amp; Tanks</v>
          </cell>
          <cell r="C44">
            <v>106433</v>
          </cell>
          <cell r="D44">
            <v>0</v>
          </cell>
          <cell r="F44">
            <v>106433</v>
          </cell>
          <cell r="G44">
            <v>81818</v>
          </cell>
          <cell r="H44">
            <v>0</v>
          </cell>
          <cell r="I44">
            <v>2462</v>
          </cell>
          <cell r="J44">
            <v>84280</v>
          </cell>
          <cell r="K44">
            <v>22153</v>
          </cell>
        </row>
        <row r="45">
          <cell r="A45" t="str">
            <v>14</v>
          </cell>
          <cell r="B45" t="str">
            <v>Electrical Installation</v>
          </cell>
          <cell r="C45">
            <v>870048.36</v>
          </cell>
          <cell r="D45">
            <v>235296.00000000012</v>
          </cell>
          <cell r="F45">
            <v>1105344.3600000001</v>
          </cell>
          <cell r="G45">
            <v>647270</v>
          </cell>
          <cell r="H45">
            <v>0</v>
          </cell>
          <cell r="I45">
            <v>49999</v>
          </cell>
          <cell r="J45">
            <v>697269</v>
          </cell>
          <cell r="K45">
            <v>408075.3600000001</v>
          </cell>
        </row>
        <row r="46">
          <cell r="A46" t="str">
            <v>15</v>
          </cell>
          <cell r="B46" t="str">
            <v>Plant &amp; machinery</v>
          </cell>
          <cell r="C46">
            <v>3834791.4</v>
          </cell>
          <cell r="D46">
            <v>278200</v>
          </cell>
          <cell r="F46">
            <v>4112991.4</v>
          </cell>
          <cell r="G46">
            <v>2175249</v>
          </cell>
          <cell r="H46">
            <v>0</v>
          </cell>
          <cell r="I46">
            <v>251791</v>
          </cell>
          <cell r="J46">
            <v>2427040</v>
          </cell>
          <cell r="K46">
            <v>1685951.4</v>
          </cell>
        </row>
        <row r="47">
          <cell r="A47" t="str">
            <v>16</v>
          </cell>
          <cell r="B47" t="str">
            <v>100% depn-Equip</v>
          </cell>
          <cell r="C47">
            <v>2520495.2599999998</v>
          </cell>
          <cell r="D47">
            <v>15306</v>
          </cell>
          <cell r="F47">
            <v>2535801.2599999998</v>
          </cell>
          <cell r="G47">
            <v>526426</v>
          </cell>
          <cell r="H47">
            <v>0</v>
          </cell>
          <cell r="I47">
            <v>279329</v>
          </cell>
          <cell r="J47">
            <v>805755</v>
          </cell>
          <cell r="K47">
            <v>1730046.2599999998</v>
          </cell>
        </row>
        <row r="48">
          <cell r="A48" t="str">
            <v>17</v>
          </cell>
          <cell r="B48" t="str">
            <v>Generator</v>
          </cell>
          <cell r="C48">
            <v>2584899.21</v>
          </cell>
          <cell r="D48">
            <v>0</v>
          </cell>
          <cell r="F48">
            <v>2584899.21</v>
          </cell>
          <cell r="G48">
            <v>613381</v>
          </cell>
          <cell r="H48">
            <v>0</v>
          </cell>
          <cell r="I48">
            <v>274238</v>
          </cell>
          <cell r="J48">
            <v>887619</v>
          </cell>
          <cell r="K48">
            <v>1697280.21</v>
          </cell>
        </row>
        <row r="49">
          <cell r="A49" t="str">
            <v>18</v>
          </cell>
          <cell r="B49" t="str">
            <v>Computers</v>
          </cell>
          <cell r="C49">
            <v>22356</v>
          </cell>
          <cell r="D49">
            <v>115000</v>
          </cell>
          <cell r="F49">
            <v>137356</v>
          </cell>
          <cell r="G49">
            <v>17527</v>
          </cell>
          <cell r="H49">
            <v>0</v>
          </cell>
          <cell r="I49">
            <v>44151</v>
          </cell>
          <cell r="J49">
            <v>61678</v>
          </cell>
          <cell r="K49">
            <v>75678</v>
          </cell>
        </row>
        <row r="50">
          <cell r="A50" t="str">
            <v>19</v>
          </cell>
          <cell r="B50" t="str">
            <v>Furniture &amp; fixtures</v>
          </cell>
          <cell r="C50">
            <v>1952272.27</v>
          </cell>
          <cell r="D50">
            <v>114753.19999999995</v>
          </cell>
          <cell r="F50">
            <v>2067025.47</v>
          </cell>
          <cell r="G50">
            <v>779893</v>
          </cell>
          <cell r="H50">
            <v>0</v>
          </cell>
          <cell r="I50">
            <v>221076</v>
          </cell>
          <cell r="J50">
            <v>1000969</v>
          </cell>
          <cell r="K50">
            <v>1066056.47</v>
          </cell>
        </row>
        <row r="51">
          <cell r="A51" t="str">
            <v>20</v>
          </cell>
          <cell r="B51" t="str">
            <v>Laboratory Equipment</v>
          </cell>
          <cell r="C51">
            <v>1196180.22</v>
          </cell>
          <cell r="D51">
            <v>3681291</v>
          </cell>
          <cell r="E51">
            <v>1789</v>
          </cell>
          <cell r="F51">
            <v>4875682.42</v>
          </cell>
          <cell r="G51">
            <v>389896</v>
          </cell>
          <cell r="H51">
            <v>41</v>
          </cell>
          <cell r="I51">
            <v>234593</v>
          </cell>
          <cell r="J51">
            <v>624448</v>
          </cell>
          <cell r="K51">
            <v>4251234.42</v>
          </cell>
        </row>
        <row r="52">
          <cell r="A52" t="str">
            <v>21</v>
          </cell>
          <cell r="B52" t="str">
            <v>Office Equipment</v>
          </cell>
          <cell r="C52">
            <v>803545.8</v>
          </cell>
          <cell r="D52">
            <v>0</v>
          </cell>
          <cell r="F52">
            <v>803545.8</v>
          </cell>
          <cell r="G52">
            <v>315028</v>
          </cell>
          <cell r="H52">
            <v>0</v>
          </cell>
          <cell r="I52">
            <v>67953</v>
          </cell>
          <cell r="J52">
            <v>382981</v>
          </cell>
          <cell r="K52">
            <v>420564.80000000005</v>
          </cell>
        </row>
        <row r="53">
          <cell r="A53" t="str">
            <v>22</v>
          </cell>
          <cell r="B53" t="str">
            <v>Other Equipment</v>
          </cell>
          <cell r="C53">
            <v>43939.35</v>
          </cell>
          <cell r="D53">
            <v>109360</v>
          </cell>
          <cell r="F53">
            <v>153299.35</v>
          </cell>
          <cell r="G53">
            <v>23423</v>
          </cell>
          <cell r="H53">
            <v>0</v>
          </cell>
          <cell r="I53">
            <v>9486</v>
          </cell>
          <cell r="J53">
            <v>32909</v>
          </cell>
          <cell r="K53">
            <v>120390.35</v>
          </cell>
        </row>
        <row r="54">
          <cell r="A54" t="str">
            <v>23</v>
          </cell>
          <cell r="B54" t="str">
            <v>Air Conditioners</v>
          </cell>
          <cell r="C54">
            <v>1012546</v>
          </cell>
          <cell r="D54">
            <v>381004</v>
          </cell>
          <cell r="F54">
            <v>1393550</v>
          </cell>
          <cell r="G54">
            <v>463475</v>
          </cell>
          <cell r="H54">
            <v>0</v>
          </cell>
          <cell r="I54">
            <v>80877</v>
          </cell>
          <cell r="J54">
            <v>544352</v>
          </cell>
          <cell r="K54">
            <v>849198</v>
          </cell>
        </row>
        <row r="55">
          <cell r="A55" t="str">
            <v>24</v>
          </cell>
          <cell r="B55" t="str">
            <v>Vehicles</v>
          </cell>
          <cell r="C55">
            <v>1652981.06</v>
          </cell>
          <cell r="D55">
            <v>701354</v>
          </cell>
          <cell r="F55">
            <v>2354335.06</v>
          </cell>
          <cell r="G55">
            <v>479520</v>
          </cell>
          <cell r="I55">
            <v>364004</v>
          </cell>
          <cell r="J55">
            <v>843524</v>
          </cell>
          <cell r="K55">
            <v>1510811.06</v>
          </cell>
        </row>
        <row r="56">
          <cell r="A56" t="str">
            <v>25</v>
          </cell>
          <cell r="B56" t="str">
            <v>R &amp; D equipments</v>
          </cell>
          <cell r="C56">
            <v>13996906.99</v>
          </cell>
          <cell r="D56">
            <v>1358972.1600000001</v>
          </cell>
          <cell r="F56">
            <v>15355879.15</v>
          </cell>
          <cell r="G56">
            <v>5254513</v>
          </cell>
          <cell r="H56">
            <v>0</v>
          </cell>
          <cell r="I56">
            <v>1338096</v>
          </cell>
          <cell r="J56">
            <v>6592609</v>
          </cell>
          <cell r="K56">
            <v>8763270.1500000004</v>
          </cell>
        </row>
        <row r="57">
          <cell r="A57" t="str">
            <v>=</v>
          </cell>
          <cell r="B57" t="str">
            <v>=</v>
          </cell>
          <cell r="C57" t="str">
            <v>=</v>
          </cell>
          <cell r="D57" t="str">
            <v>=</v>
          </cell>
          <cell r="E57" t="str">
            <v>=</v>
          </cell>
          <cell r="F57" t="str">
            <v>=</v>
          </cell>
          <cell r="G57" t="str">
            <v>=</v>
          </cell>
          <cell r="H57" t="str">
            <v>=</v>
          </cell>
          <cell r="I57" t="str">
            <v>=</v>
          </cell>
          <cell r="J57" t="str">
            <v>=</v>
          </cell>
          <cell r="K57" t="str">
            <v>=</v>
          </cell>
        </row>
        <row r="58">
          <cell r="B58" t="str">
            <v>TOTAL</v>
          </cell>
          <cell r="C58">
            <v>81923420.079999983</v>
          </cell>
          <cell r="D58">
            <v>14434423.82</v>
          </cell>
          <cell r="E58">
            <v>1462195</v>
          </cell>
          <cell r="F58">
            <v>94895649.099999994</v>
          </cell>
          <cell r="G58">
            <v>22725220</v>
          </cell>
          <cell r="H58">
            <v>41</v>
          </cell>
          <cell r="I58">
            <v>5607850</v>
          </cell>
          <cell r="J58">
            <v>28333029</v>
          </cell>
          <cell r="K58">
            <v>66562620.100000001</v>
          </cell>
        </row>
        <row r="59">
          <cell r="A59" t="str">
            <v>=</v>
          </cell>
          <cell r="B59" t="str">
            <v>=</v>
          </cell>
          <cell r="C59" t="str">
            <v>=</v>
          </cell>
          <cell r="D59" t="str">
            <v>=</v>
          </cell>
          <cell r="E59" t="str">
            <v>=</v>
          </cell>
          <cell r="F59" t="str">
            <v>=</v>
          </cell>
          <cell r="G59" t="str">
            <v>=</v>
          </cell>
          <cell r="H59" t="str">
            <v>=</v>
          </cell>
          <cell r="I59" t="str">
            <v>=</v>
          </cell>
          <cell r="J59" t="str">
            <v>=</v>
          </cell>
          <cell r="K59" t="str">
            <v>=</v>
          </cell>
        </row>
      </sheetData>
      <sheetData sheetId="1">
        <row r="2">
          <cell r="A2" t="str">
            <v>SCHEDULE:5</v>
          </cell>
        </row>
      </sheetData>
      <sheetData sheetId="2">
        <row r="2">
          <cell r="A2" t="str">
            <v>SCHEDULE:5</v>
          </cell>
        </row>
      </sheetData>
      <sheetData sheetId="3">
        <row r="2">
          <cell r="A2" t="str">
            <v>SCHEDULE:5</v>
          </cell>
        </row>
      </sheetData>
      <sheetData sheetId="4">
        <row r="2">
          <cell r="A2" t="str">
            <v>SCHEDULE:5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sheetData sheetId="86">
        <row r="2">
          <cell r="A2" t="str">
            <v>SCHEDULE:5</v>
          </cell>
        </row>
      </sheetData>
      <sheetData sheetId="87">
        <row r="2">
          <cell r="A2" t="str">
            <v>SCHEDULE:5</v>
          </cell>
        </row>
      </sheetData>
      <sheetData sheetId="88">
        <row r="2">
          <cell r="A2" t="str">
            <v>SCHEDULE:5</v>
          </cell>
        </row>
      </sheetData>
      <sheetData sheetId="89">
        <row r="2">
          <cell r="A2" t="str">
            <v>SCHEDULE:5</v>
          </cell>
        </row>
      </sheetData>
      <sheetData sheetId="90"/>
      <sheetData sheetId="91">
        <row r="2">
          <cell r="A2" t="str">
            <v>SCHEDULE:5</v>
          </cell>
        </row>
      </sheetData>
      <sheetData sheetId="92" refreshError="1"/>
      <sheetData sheetId="93"/>
      <sheetData sheetId="94"/>
      <sheetData sheetId="95"/>
      <sheetData sheetId="96"/>
      <sheetData sheetId="97"/>
      <sheetData sheetId="98"/>
      <sheetData sheetId="99">
        <row r="2">
          <cell r="A2" t="str">
            <v>SCHEDULE:5</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ow r="2">
          <cell r="A2" t="str">
            <v>SCHEDULE:5</v>
          </cell>
        </row>
      </sheetData>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ow r="2">
          <cell r="A2" t="str">
            <v>SCHEDULE:5</v>
          </cell>
        </row>
      </sheetData>
      <sheetData sheetId="194">
        <row r="2">
          <cell r="A2" t="str">
            <v>SCHEDULE:5</v>
          </cell>
        </row>
      </sheetData>
      <sheetData sheetId="195">
        <row r="2">
          <cell r="A2" t="str">
            <v>SCHEDULE:5</v>
          </cell>
        </row>
      </sheetData>
      <sheetData sheetId="196">
        <row r="2">
          <cell r="A2" t="str">
            <v>SCHEDULE:5</v>
          </cell>
        </row>
      </sheetData>
      <sheetData sheetId="197">
        <row r="2">
          <cell r="A2" t="str">
            <v>SCHEDULE:5</v>
          </cell>
        </row>
      </sheetData>
      <sheetData sheetId="198">
        <row r="2">
          <cell r="A2" t="str">
            <v>SCHEDULE:5</v>
          </cell>
        </row>
      </sheetData>
      <sheetData sheetId="199">
        <row r="2">
          <cell r="A2" t="str">
            <v>SCHEDULE:5</v>
          </cell>
        </row>
      </sheetData>
      <sheetData sheetId="200">
        <row r="2">
          <cell r="A2" t="str">
            <v>SCHEDULE:5</v>
          </cell>
        </row>
      </sheetData>
      <sheetData sheetId="201" refreshError="1"/>
      <sheetData sheetId="202">
        <row r="2">
          <cell r="A2" t="str">
            <v>SCHEDULE:5</v>
          </cell>
        </row>
      </sheetData>
      <sheetData sheetId="203">
        <row r="2">
          <cell r="A2" t="str">
            <v>SCHEDULE:5</v>
          </cell>
        </row>
      </sheetData>
      <sheetData sheetId="204">
        <row r="2">
          <cell r="A2" t="str">
            <v>SCHEDULE:5</v>
          </cell>
        </row>
      </sheetData>
      <sheetData sheetId="205" refreshError="1"/>
      <sheetData sheetId="206">
        <row r="2">
          <cell r="A2" t="str">
            <v>SCHEDULE:5</v>
          </cell>
        </row>
      </sheetData>
      <sheetData sheetId="207">
        <row r="2">
          <cell r="A2" t="str">
            <v>SCHEDULE:5</v>
          </cell>
        </row>
      </sheetData>
      <sheetData sheetId="208">
        <row r="2">
          <cell r="A2" t="str">
            <v>SCHEDULE:5</v>
          </cell>
        </row>
      </sheetData>
      <sheetData sheetId="209">
        <row r="2">
          <cell r="A2" t="str">
            <v>SCHEDULE:5</v>
          </cell>
        </row>
      </sheetData>
      <sheetData sheetId="210">
        <row r="2">
          <cell r="A2" t="str">
            <v>SCHEDULE:5</v>
          </cell>
        </row>
      </sheetData>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ow r="2">
          <cell r="A2" t="str">
            <v>SCHEDULE:5</v>
          </cell>
        </row>
      </sheetData>
      <sheetData sheetId="221">
        <row r="2">
          <cell r="A2" t="str">
            <v>SCHEDULE:5</v>
          </cell>
        </row>
      </sheetData>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ow r="2">
          <cell r="A2" t="str">
            <v>SCHEDULE:5</v>
          </cell>
        </row>
      </sheetData>
      <sheetData sheetId="251"/>
      <sheetData sheetId="252">
        <row r="2">
          <cell r="A2" t="str">
            <v>SCHEDULE:5</v>
          </cell>
        </row>
      </sheetData>
      <sheetData sheetId="253">
        <row r="2">
          <cell r="A2" t="str">
            <v>SCHEDULE:5</v>
          </cell>
        </row>
      </sheetData>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ow r="2">
          <cell r="A2" t="str">
            <v>SCHEDULE:5</v>
          </cell>
        </row>
      </sheetData>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ow r="2">
          <cell r="A2" t="str">
            <v>SCHEDULE:5</v>
          </cell>
        </row>
      </sheetData>
      <sheetData sheetId="301"/>
      <sheetData sheetId="302"/>
      <sheetData sheetId="303"/>
      <sheetData sheetId="304">
        <row r="2">
          <cell r="A2" t="str">
            <v>SCHEDULE:5</v>
          </cell>
        </row>
      </sheetData>
      <sheetData sheetId="305"/>
      <sheetData sheetId="306"/>
      <sheetData sheetId="307"/>
      <sheetData sheetId="308"/>
      <sheetData sheetId="309"/>
      <sheetData sheetId="310"/>
      <sheetData sheetId="311"/>
      <sheetData sheetId="312"/>
      <sheetData sheetId="313"/>
      <sheetData sheetId="314"/>
      <sheetData sheetId="315">
        <row r="2">
          <cell r="A2" t="str">
            <v>SCHEDULE:5</v>
          </cell>
        </row>
      </sheetData>
      <sheetData sheetId="316">
        <row r="2">
          <cell r="A2" t="str">
            <v>SCHEDULE:5</v>
          </cell>
        </row>
      </sheetData>
      <sheetData sheetId="317"/>
      <sheetData sheetId="318">
        <row r="2">
          <cell r="A2" t="str">
            <v>SCHEDULE:5</v>
          </cell>
        </row>
      </sheetData>
      <sheetData sheetId="319">
        <row r="2">
          <cell r="A2" t="str">
            <v>SCHEDULE:5</v>
          </cell>
        </row>
      </sheetData>
      <sheetData sheetId="320"/>
      <sheetData sheetId="321"/>
      <sheetData sheetId="322"/>
      <sheetData sheetId="323"/>
      <sheetData sheetId="324"/>
      <sheetData sheetId="325"/>
      <sheetData sheetId="326"/>
      <sheetData sheetId="327" refreshError="1"/>
      <sheetData sheetId="328"/>
      <sheetData sheetId="329"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Part A"/>
      <sheetName val="Beneficial Owners"/>
      <sheetName val="Directors"/>
      <sheetName val="Subsidiary Companies"/>
      <sheetName val="Balance Sheet"/>
      <sheetName val="Profit and Loss"/>
      <sheetName val="Other Information"/>
      <sheetName val="Part B"/>
      <sheetName val="Part C"/>
      <sheetName val="Schedule 1 - Computation"/>
      <sheetName val="Schedule 2 - Capital Gains"/>
      <sheetName val="Schedule 2 - STCG"/>
      <sheetName val="Schedule  - LTCG"/>
      <sheetName val="Schedule 3 - Depreciation"/>
      <sheetName val="Schedule 4 - House Property"/>
      <sheetName val="Schedule 5 - Other Sources"/>
      <sheetName val="Schedule 6"/>
      <sheetName val="Schedule 7"/>
      <sheetName val="Schedule 8"/>
      <sheetName val="Schedule 9 - Deductions Sec. 10"/>
      <sheetName val="Schedule 10 - Deductions Ch VIA"/>
      <sheetName val="Schedule 11 - Rate Purpose"/>
      <sheetName val="Schedule 12 -Tax @ special rate"/>
      <sheetName val="Schedule 13 - Exempt Income"/>
      <sheetName val="Schedule 14 - Rebate"/>
      <sheetName val="Schedule 15 - tax Sec 115JB"/>
      <sheetName val="Schedule 16- Distributed Profit"/>
      <sheetName val="Schedule 17 - Value of FBT"/>
      <sheetName val="Schedule 18 - Bank Accounts"/>
      <sheetName val="Schedule 19 - Advance Tax"/>
      <sheetName val="Schedule 20 - Self Assmnt Tax"/>
      <sheetName val="Schedule 21 - Dividend Tax"/>
      <sheetName val="Schedule 22 - Advance FBT"/>
      <sheetName val="Schedule 23 - FBT Self Assmnt"/>
      <sheetName val="Schedule 24 - TDS"/>
      <sheetName val="Schedule 25 - TCS"/>
      <sheetName val="Principal Item -Trading"/>
      <sheetName val="Principal Item - Raw material"/>
      <sheetName val="Principal Item - Products"/>
    </sheetNames>
    <sheetDataSet>
      <sheetData sheetId="0">
        <row r="16">
          <cell r="A16" t="str">
            <v xml:space="preserve">01 - ANDAMAN AND NICOBAR ISLANDS </v>
          </cell>
        </row>
        <row r="17">
          <cell r="A17" t="str">
            <v xml:space="preserve">02 - ANDHRA PRADESH </v>
          </cell>
        </row>
        <row r="18">
          <cell r="A18" t="str">
            <v xml:space="preserve">03 - ARUNACHAL PRADESH </v>
          </cell>
        </row>
        <row r="19">
          <cell r="A19" t="str">
            <v xml:space="preserve">04 - ASSAM </v>
          </cell>
        </row>
        <row r="20">
          <cell r="A20" t="str">
            <v xml:space="preserve">05 - BIHAR </v>
          </cell>
        </row>
        <row r="21">
          <cell r="A21" t="str">
            <v xml:space="preserve">06 - CHANDIGARH </v>
          </cell>
        </row>
        <row r="22">
          <cell r="A22" t="str">
            <v xml:space="preserve">07 - DADRA &amp; NAGAR HAVELI </v>
          </cell>
        </row>
        <row r="23">
          <cell r="A23" t="str">
            <v xml:space="preserve">08 - DAMAN &amp; DIU </v>
          </cell>
        </row>
        <row r="24">
          <cell r="A24" t="str">
            <v xml:space="preserve">09 - DELHI </v>
          </cell>
        </row>
        <row r="25">
          <cell r="A25" t="str">
            <v xml:space="preserve">10 - GOA </v>
          </cell>
        </row>
        <row r="26">
          <cell r="A26" t="str">
            <v xml:space="preserve">11 - GUJARAT </v>
          </cell>
        </row>
        <row r="27">
          <cell r="A27" t="str">
            <v xml:space="preserve">12 - HARYANA </v>
          </cell>
        </row>
        <row r="28">
          <cell r="A28" t="str">
            <v xml:space="preserve">13 - HIMACHAL PRADESH </v>
          </cell>
        </row>
        <row r="29">
          <cell r="A29" t="str">
            <v xml:space="preserve">14 - JAMMU &amp; KASHMIR </v>
          </cell>
        </row>
        <row r="30">
          <cell r="A30" t="str">
            <v xml:space="preserve">15 - KARNATAKA </v>
          </cell>
        </row>
        <row r="31">
          <cell r="A31" t="str">
            <v xml:space="preserve">16 - KERALA </v>
          </cell>
        </row>
        <row r="32">
          <cell r="A32" t="str">
            <v xml:space="preserve">17 - LAKHSWADEEP </v>
          </cell>
        </row>
        <row r="33">
          <cell r="A33" t="str">
            <v xml:space="preserve">18 - MADHYA PRADESH </v>
          </cell>
        </row>
        <row r="34">
          <cell r="A34" t="str">
            <v xml:space="preserve">19 - MAHARASHTRA </v>
          </cell>
        </row>
        <row r="35">
          <cell r="A35" t="str">
            <v xml:space="preserve">20 - MANIPUR </v>
          </cell>
        </row>
        <row r="36">
          <cell r="A36" t="str">
            <v xml:space="preserve">21 - MEGHALAYA </v>
          </cell>
        </row>
        <row r="37">
          <cell r="A37" t="str">
            <v xml:space="preserve">22 - MIZORAM </v>
          </cell>
        </row>
        <row r="38">
          <cell r="A38" t="str">
            <v xml:space="preserve">23 - NAGALAND </v>
          </cell>
        </row>
        <row r="39">
          <cell r="A39" t="str">
            <v xml:space="preserve">24 - ORISSA </v>
          </cell>
        </row>
        <row r="40">
          <cell r="A40" t="str">
            <v xml:space="preserve">25 - PONDICHERRY </v>
          </cell>
        </row>
        <row r="41">
          <cell r="A41" t="str">
            <v xml:space="preserve">26 - PUNJAB </v>
          </cell>
        </row>
        <row r="42">
          <cell r="A42" t="str">
            <v xml:space="preserve">27 - RAJASTHAN </v>
          </cell>
        </row>
        <row r="43">
          <cell r="A43" t="str">
            <v xml:space="preserve">28 - SIKKIM </v>
          </cell>
        </row>
        <row r="44">
          <cell r="A44" t="str">
            <v xml:space="preserve">29 - TAMILNADU </v>
          </cell>
        </row>
        <row r="45">
          <cell r="A45" t="str">
            <v xml:space="preserve">30 - TRIPURA </v>
          </cell>
        </row>
        <row r="46">
          <cell r="A46" t="str">
            <v xml:space="preserve">31 - UTTAR PRADESH </v>
          </cell>
        </row>
        <row r="47">
          <cell r="A47" t="str">
            <v xml:space="preserve">32 - WEST BENGAL </v>
          </cell>
        </row>
        <row r="48">
          <cell r="A48" t="str">
            <v xml:space="preserve">33 - CHHATISHGARH </v>
          </cell>
        </row>
        <row r="49">
          <cell r="A49" t="str">
            <v xml:space="preserve">34 - UTTARANCHAL </v>
          </cell>
        </row>
        <row r="50">
          <cell r="A50" t="str">
            <v>35 - JHARKHAND</v>
          </cell>
        </row>
        <row r="56">
          <cell r="A56" t="str">
            <v>11- Sec 139</v>
          </cell>
        </row>
        <row r="57">
          <cell r="A57" t="str">
            <v>12 - Sec 142</v>
          </cell>
        </row>
        <row r="58">
          <cell r="A58" t="str">
            <v>13 - Sec 148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562"/>
      <sheetName val="562"/>
      <sheetName val="PR569"/>
      <sheetName val="569"/>
      <sheetName val="PR573"/>
      <sheetName val="573"/>
      <sheetName val="PR596"/>
      <sheetName val="596"/>
      <sheetName val="546"/>
      <sheetName val="SUMMARY"/>
      <sheetName val="SUMMARY (2)"/>
      <sheetName val="KEC Global  "/>
      <sheetName val="KEC Global Revised Schedule III"/>
      <sheetName val="EXPENSES"/>
      <sheetName val="sum"/>
      <sheetName val="Daily Product Cost Sheet"/>
      <sheetName val="SAL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4">
          <cell r="E64">
            <v>0</v>
          </cell>
          <cell r="F64">
            <v>1.2569999999999986</v>
          </cell>
          <cell r="G64">
            <v>0.57299999999999984</v>
          </cell>
          <cell r="H64">
            <v>0</v>
          </cell>
        </row>
      </sheetData>
      <sheetData sheetId="10" refreshError="1"/>
      <sheetData sheetId="11">
        <row r="64">
          <cell r="E64">
            <v>0</v>
          </cell>
        </row>
      </sheetData>
      <sheetData sheetId="12"/>
      <sheetData sheetId="13" refreshError="1"/>
      <sheetData sheetId="14" refreshError="1"/>
      <sheetData sheetId="15" refreshError="1"/>
      <sheetData sheetId="1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1. Policy"/>
      <sheetName val="2. Balance Test"/>
      <sheetName val="3. list of samples"/>
      <sheetName val="4. Depreciation Test"/>
      <sheetName val="5. Repairs &amp; Maintenance"/>
      <sheetName val="Tickmarks "/>
      <sheetName val="ﾏﾁｭﾘﾃｨﾗﾀﾞｰ（月次ベー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替"/>
      <sheetName val="EQ海外"/>
      <sheetName val="海外WORK"/>
    </sheetNames>
    <sheetDataSet>
      <sheetData sheetId="0"/>
      <sheetData sheetId="1"/>
      <sheetData sheetId="2"/>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sheetName val="Inc.Statment_inputs"/>
      <sheetName val="Bal_Sheet"/>
      <sheetName val="Intangadjst"/>
      <sheetName val="Adjst"/>
      <sheetName val="Nopatop"/>
      <sheetName val="Nopatfin"/>
      <sheetName val="Capop"/>
      <sheetName val="Capfin"/>
      <sheetName val="Capsbs"/>
      <sheetName val="nopatsbs"/>
      <sheetName val="Tax"/>
      <sheetName val="EVA"/>
      <sheetName val="EvaGraph"/>
      <sheetName val="MVA"/>
      <sheetName val="MvaGraph"/>
      <sheetName val="Sumperf"/>
      <sheetName val="SixP"/>
      <sheetName val="CostofCap"/>
      <sheetName val="MBRD"/>
      <sheetName val="Links"/>
      <sheetName val="Lead"/>
      <sheetName val="Debt Qtrwise JB"/>
      <sheetName val="Assum"/>
      <sheetName val="entitlements"/>
      <sheetName val="AANEX-L(TDS)"/>
      <sheetName val="Sheet1"/>
      <sheetName val="LTA"/>
      <sheetName val="MAPSHEET"/>
      <sheetName val="Financials"/>
      <sheetName val="Input"/>
      <sheetName val="b"/>
      <sheetName val="Assumptions"/>
      <sheetName val="Master Price List"/>
      <sheetName val="wwww"/>
      <sheetName val="Control"/>
      <sheetName val="mkg"/>
      <sheetName val="BANK TRANSF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XREF"/>
      <sheetName val="Tickmarks"/>
    </sheetNames>
    <sheetDataSet>
      <sheetData sheetId="0" refreshError="1"/>
      <sheetData sheetId="1" refreshError="1"/>
      <sheetData sheetId="2"/>
      <sheetData sheetId="3"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sheetName val="DCF Valuation"/>
      <sheetName val="BV Valuation"/>
      <sheetName val="Listed market comparables"/>
      <sheetName val="Earning Capt."/>
      <sheetName val="Cash Flow"/>
      <sheetName val="Consolidated Balance Sheet"/>
      <sheetName val="Current Asset built up"/>
      <sheetName val="Consolidated Profitability "/>
      <sheetName val="Profitability- Sugar"/>
      <sheetName val="Profitability- Power"/>
      <sheetName val="Profitability - Distillery"/>
      <sheetName val="Assumptions- Sugar"/>
      <sheetName val="Assumption- Power"/>
      <sheetName val="Assumption- Distillery"/>
      <sheetName val="Direct Cost attributable"/>
      <sheetName val="Unallocated Common Cost"/>
      <sheetName val="Fixed Assets &amp; Depreciation"/>
      <sheetName val="Term Loan Working"/>
      <sheetName val="Term Loan details"/>
      <sheetName val="IT Working"/>
      <sheetName val="Ratio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dr bldg"/>
      <sheetName val="#REF"/>
    </sheetNames>
    <sheetDataSet>
      <sheetData sheetId="0"/>
      <sheetData sheetId="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Indicators"/>
      <sheetName val="Assum"/>
      <sheetName val="Phasing"/>
      <sheetName val="PC"/>
      <sheetName val="Capex Phasing &amp; financing"/>
      <sheetName val="LC Drawdown"/>
      <sheetName val="Capex Phasing &amp; Fin-RE"/>
      <sheetName val="Addl Capex &amp; Debt"/>
      <sheetName val="TrafficRev"/>
      <sheetName val="CDM"/>
      <sheetName val="RE-Revenue"/>
      <sheetName val="Sheet2"/>
      <sheetName val="Sheet3"/>
      <sheetName val="Opex"/>
      <sheetName val="FA Schedule"/>
      <sheetName val="Deprn"/>
      <sheetName val="ITDeprn"/>
      <sheetName val="Tax"/>
      <sheetName val="P&amp;L"/>
      <sheetName val="Cash Flow"/>
      <sheetName val="BS"/>
      <sheetName val="Sheet1"/>
    </sheetNames>
    <sheetDataSet>
      <sheetData sheetId="0"/>
      <sheetData sheetId="1"/>
      <sheetData sheetId="2"/>
      <sheetData sheetId="3" refreshError="1"/>
      <sheetData sheetId="4"/>
      <sheetData sheetId="5"/>
      <sheetData sheetId="6"/>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sheetData sheetId="20"/>
      <sheetData sheetId="21" refreshError="1"/>
      <sheetData sheetId="22"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ALES"/>
      <sheetName val="BookingregisterNew.rpt"/>
      <sheetName val="NOTES"/>
      <sheetName val="RR"/>
    </sheetNames>
    <sheetDataSet>
      <sheetData sheetId="0" refreshError="1"/>
      <sheetData sheetId="1" refreshError="1"/>
      <sheetData sheetId="2" refreshError="1"/>
      <sheetData sheetId="3" refreshError="1"/>
      <sheetData sheetId="4"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Inputs"/>
      <sheetName val="Traffic Assumptions"/>
      <sheetName val="Capital Cost"/>
      <sheetName val="JNPT"/>
      <sheetName val="Loan_JNPT"/>
      <sheetName val="BOT"/>
      <sheetName val="Loan_BOT"/>
      <sheetName val="Ratios"/>
      <sheetName val="Scenario Summary 2"/>
      <sheetName val="Sheet1"/>
    </sheetNames>
    <sheetDataSet>
      <sheetData sheetId="0" refreshError="1"/>
      <sheetData sheetId="1"/>
      <sheetData sheetId="2" refreshError="1"/>
      <sheetData sheetId="3">
        <row r="111">
          <cell r="A111" t="str">
            <v>Loan Counter</v>
          </cell>
          <cell r="D111">
            <v>0</v>
          </cell>
          <cell r="E111">
            <v>1</v>
          </cell>
          <cell r="F111">
            <v>2</v>
          </cell>
          <cell r="G111">
            <v>3</v>
          </cell>
          <cell r="H111">
            <v>4</v>
          </cell>
          <cell r="I111">
            <v>5</v>
          </cell>
          <cell r="J111">
            <v>5</v>
          </cell>
          <cell r="K111">
            <v>6</v>
          </cell>
          <cell r="L111">
            <v>6</v>
          </cell>
          <cell r="M111">
            <v>6</v>
          </cell>
          <cell r="N111">
            <v>6</v>
          </cell>
          <cell r="O111">
            <v>6</v>
          </cell>
          <cell r="P111">
            <v>6</v>
          </cell>
          <cell r="Q111">
            <v>6</v>
          </cell>
          <cell r="R111">
            <v>6</v>
          </cell>
          <cell r="S111">
            <v>6</v>
          </cell>
          <cell r="T111">
            <v>6</v>
          </cell>
          <cell r="U111">
            <v>6</v>
          </cell>
          <cell r="V111">
            <v>6</v>
          </cell>
          <cell r="W111">
            <v>6</v>
          </cell>
          <cell r="X111">
            <v>7</v>
          </cell>
          <cell r="Y111">
            <v>7</v>
          </cell>
          <cell r="Z111">
            <v>8</v>
          </cell>
          <cell r="AA111">
            <v>9</v>
          </cell>
          <cell r="AB111">
            <v>9</v>
          </cell>
          <cell r="AC111">
            <v>9</v>
          </cell>
          <cell r="AD111">
            <v>9</v>
          </cell>
          <cell r="AE111">
            <v>9</v>
          </cell>
          <cell r="AF111">
            <v>9</v>
          </cell>
          <cell r="AG111">
            <v>9</v>
          </cell>
          <cell r="AH111">
            <v>9</v>
          </cell>
          <cell r="AI111">
            <v>9</v>
          </cell>
        </row>
      </sheetData>
      <sheetData sheetId="4">
        <row r="7">
          <cell r="A7" t="str">
            <v>Year</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S Rec Control Sheet"/>
      <sheetName val="OIPL"/>
      <sheetName val="Questrix"/>
      <sheetName val="CC"/>
      <sheetName val="Journal 1"/>
      <sheetName val="RR"/>
      <sheetName val="Links"/>
      <sheetName val="Lea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3&amp;4 rev"/>
      <sheetName val="m01"/>
      <sheetName val="m02"/>
      <sheetName val="m3&amp;4"/>
      <sheetName val="costsheet"/>
      <sheetName val="m05"/>
      <sheetName val="m05rev"/>
      <sheetName val="m06"/>
      <sheetName val="m7a"/>
      <sheetName val="m7a rev"/>
      <sheetName val="m08"/>
      <sheetName val="M09"/>
      <sheetName val="m10"/>
      <sheetName val="TB "/>
      <sheetName val="m11"/>
      <sheetName val="OUT0999"/>
      <sheetName val="RMCN"/>
      <sheetName val="rm9900"/>
      <sheetName val="notes&amp;cover"/>
      <sheetName val="M6ANAL"/>
      <sheetName val="SALE9900"/>
      <sheetName val="enrg"/>
      <sheetName val="Foil &amp; die"/>
      <sheetName val="Link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y &amp; Valuation"/>
      <sheetName val="Summary USD"/>
      <sheetName val="Summary INR"/>
      <sheetName val="Essar Ports Consolidated_USD"/>
      <sheetName val="Essar Ports Consolidated"/>
      <sheetName val="Vadinar Consolidated"/>
      <sheetName val="Hazira"/>
      <sheetName val="Paradip1 Iron ore"/>
      <sheetName val="Salaya"/>
      <sheetName val="Paradip2 Coal"/>
      <sheetName val="EPLHoldco"/>
      <sheetName val="FY12_Numbers"/>
      <sheetName val="Vadinar"/>
      <sheetName val="Vadinar Expansion"/>
      <sheetName val="Vadinar + Vadinar expn"/>
      <sheetName val="Vadinar 3P storage"/>
      <sheetName val="Dollarization assumptions"/>
      <sheetName val="Capex Assump"/>
      <sheetName val="Taxcalculations"/>
      <sheetName val="Concession and COD Assump"/>
      <sheetName val="Exch, Tax, and otherassump"/>
      <sheetName val="Traffic and Revenue assump"/>
      <sheetName val="Opex Assump"/>
      <sheetName val="Debt &amp; Interest Schedules"/>
      <sheetName val="Relative Valuation"/>
      <sheetName val="Internal Accruals"/>
      <sheetName val="VOTL_Facilities_Summary_Dollard"/>
      <sheetName val="VOTL_Facilities_Summary"/>
      <sheetName val="Consolidated"/>
      <sheetName val="Facility-wise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esreqsum"/>
      <sheetName val="cover "/>
      <sheetName val="critical"/>
      <sheetName val="over all s curve"/>
      <sheetName val="ROW STATUS"/>
      <sheetName val="LINKWISE STATUS "/>
      <sheetName val="crossing detailed "/>
      <sheetName val="DETAIL SHEET"/>
      <sheetName val="Progress"/>
      <sheetName val="Const activity list"/>
      <sheetName val="NLD7000-Backup"/>
      <sheetName val="AY-202&amp;270"/>
      <sheetName val="cum"/>
      <sheetName val="SCurv"/>
      <sheetName val="synop"/>
      <sheetName val="ex&amp;mob"/>
      <sheetName val="pi chart"/>
      <sheetName val="IBR (2)"/>
      <sheetName val="NIBR (2)"/>
      <sheetName val="act"/>
      <sheetName val="factors"/>
      <sheetName val="["/>
      <sheetName val="ikonos"/>
      <sheetName val="GRIDDING"/>
      <sheetName val="Digitisation"/>
      <sheetName val="QAQC"/>
      <sheetName val="fIELD SURVEY"/>
      <sheetName val="edgematching"/>
      <sheetName val="Attribute "/>
      <sheetName val="LANDBASE"/>
      <sheetName val="asbuilt drgs"/>
      <sheetName val="ASBUILT GIS LANDBASE"/>
      <sheetName val="CODIFICATION"/>
      <sheetName val="Summary"/>
      <sheetName val="SCURCUM"/>
      <sheetName val="wavelength"/>
      <sheetName val="Input for codification,bandwidt"/>
      <sheetName val="SCUR-PERIOD"/>
      <sheetName val="Engg summary"/>
      <sheetName val="LM ASBLT"/>
      <sheetName val="LM FIBRE"/>
      <sheetName val="ISP "/>
      <sheetName val="MA,CA-ASBLT"/>
      <sheetName val="Sheet5"/>
      <sheetName val="MA,CA-FIBRE"/>
      <sheetName val="S-curve"/>
      <sheetName val="Level 2 mhrs"/>
      <sheetName val="Level 2 deliverables"/>
      <sheetName val="INPUT SHEET"/>
      <sheetName val="Sheet4"/>
      <sheetName val="P3 CITIES MA,CA"/>
      <sheetName val="P3CITIES LM"/>
      <sheetName val="Sheet1"/>
      <sheetName val="AP MA,CA"/>
      <sheetName val="MUMBAI LM"/>
      <sheetName val="CHENNAI MA,CA"/>
      <sheetName val="CHENNAI LM"/>
      <sheetName val="KOL MA,CA"/>
      <sheetName val="KOL LM"/>
      <sheetName val="BLR MA,CA"/>
      <sheetName val="BLR LM"/>
      <sheetName val="HYD MA,CA"/>
      <sheetName val="HYD LM"/>
      <sheetName val="PUNE MA,CA"/>
      <sheetName val="PUNE LM"/>
      <sheetName val="AHD MA,CA"/>
      <sheetName val="AHD LM"/>
      <sheetName val="SURAT MA,CA"/>
      <sheetName val="SURAT LM"/>
      <sheetName val="VAD MA,CA"/>
      <sheetName val="VAD LM"/>
      <sheetName val="City S-curves"/>
      <sheetName val="Interconn updation sheet"/>
      <sheetName val="Intercon s-curves"/>
      <sheetName val="Sheet2"/>
      <sheetName val="Sheet3"/>
      <sheetName val="Mumbai"/>
      <sheetName val="delhi"/>
      <sheetName val="hyd"/>
      <sheetName val="chn"/>
      <sheetName val="blr"/>
      <sheetName val="Sheet10"/>
      <sheetName val="digitisation manpwr"/>
      <sheetName val="field manpwr"/>
      <sheetName val="Temp"/>
      <sheetName val="Cover"/>
      <sheetName val="S Curve"/>
      <sheetName val="Critical Action"/>
      <sheetName val="Liquidation"/>
      <sheetName val="2.00-03 Final Budget"/>
      <sheetName val="Vlookup"/>
      <sheetName val="ecc_res"/>
      <sheetName val="_"/>
      <sheetName val="10-city points"/>
      <sheetName val="Assmpns"/>
      <sheetName val="cover_"/>
      <sheetName val="over_all_s_curve"/>
      <sheetName val="ROW_STATUS"/>
      <sheetName val="LINKWISE_STATUS_"/>
      <sheetName val="crossing_detailed_"/>
      <sheetName val="DETAIL_SHEET"/>
      <sheetName val="Const_activity_list"/>
      <sheetName val="spool"/>
      <sheetName val="Assumptions"/>
      <sheetName val="fco"/>
      <sheetName val="NLD - Assum"/>
      <sheetName val="Const QMS Dash Board"/>
      <sheetName val="cover_1"/>
      <sheetName val="over_all_s_curve1"/>
      <sheetName val="ROW_STATUS1"/>
      <sheetName val="LINKWISE_STATUS_1"/>
      <sheetName val="crossing_detailed_1"/>
      <sheetName val="DETAIL_SHEET1"/>
      <sheetName val="Const_activity_list1"/>
      <sheetName val="pi_chart"/>
      <sheetName val="IBR_(2)"/>
      <sheetName val="NIBR_(2)"/>
      <sheetName val="fIELD_SURVEY"/>
      <sheetName val="Attribute_"/>
      <sheetName val="asbuilt_drgs"/>
      <sheetName val="ASBUILT_GIS_LANDBASE"/>
      <sheetName val="Input_for_codification,bandwidt"/>
      <sheetName val="Engg_summary"/>
      <sheetName val="LM_ASBLT"/>
      <sheetName val="LM_FIBRE"/>
      <sheetName val="ISP_"/>
      <sheetName val="Level_2_mhrs"/>
      <sheetName val="Level_2_deliverables"/>
      <sheetName val="INPUT_SHEET"/>
      <sheetName val="P3_CITIES_MA,CA"/>
      <sheetName val="P3CITIES_LM"/>
      <sheetName val="AP_MA,CA"/>
      <sheetName val="MUMBAI_LM"/>
      <sheetName val="CHENNAI_MA,CA"/>
      <sheetName val="CHENNAI_LM"/>
      <sheetName val="KOL_MA,CA"/>
      <sheetName val="KOL_LM"/>
      <sheetName val="BLR_MA,CA"/>
      <sheetName val="BLR_LM"/>
      <sheetName val="HYD_MA,CA"/>
      <sheetName val="HYD_LM"/>
      <sheetName val="PUNE_MA,CA"/>
      <sheetName val="PUNE_LM"/>
      <sheetName val="AHD_MA,CA"/>
      <sheetName val="AHD_LM"/>
      <sheetName val="SURAT_MA,CA"/>
      <sheetName val="SURAT_LM"/>
      <sheetName val="VAD_MA,CA"/>
      <sheetName val="VAD_LM"/>
      <sheetName val="City_S-curves"/>
      <sheetName val="Interconn_updation_sheet"/>
      <sheetName val="Intercon_s-curves"/>
      <sheetName val="digitisation_manpwr"/>
      <sheetName val="field_manpwr"/>
      <sheetName val="S_Curve"/>
      <sheetName val="Critical_Action"/>
      <sheetName val="2_00-03_Final_Budget"/>
      <sheetName val="10-city_points"/>
      <sheetName val="NLD_-_Assum"/>
      <sheetName val="Factors-overall"/>
      <sheetName val="Quantity"/>
      <sheetName val="A6"/>
      <sheetName val="General inputs"/>
      <sheetName val="FORM7"/>
      <sheetName val="Input"/>
      <sheetName val="Const_QMS_Dash_Board"/>
      <sheetName val="COVER SHEET"/>
      <sheetName val="R0 DATA1"/>
      <sheetName val="TERMSHEET"/>
      <sheetName val="SOFTDATA"/>
      <sheetName val="SHEET"/>
      <sheetName val="LAND SPEC"/>
      <sheetName val="TRAFFIC COUNTS"/>
      <sheetName val="QUALITATIVE DETAILS"/>
      <sheetName val="SEZ -S CURVE"/>
      <sheetName val="MFG_TAG"/>
      <sheetName val="General_inputs"/>
      <sheetName val="cover_2"/>
      <sheetName val="over_all_s_curve2"/>
      <sheetName val="ROW_STATUS2"/>
      <sheetName val="LINKWISE_STATUS_2"/>
      <sheetName val="crossing_detailed_2"/>
      <sheetName val="DETAIL_SHEET2"/>
      <sheetName val="Const_activity_list2"/>
      <sheetName val="fIELD_SURVEY1"/>
      <sheetName val="Attribute_1"/>
      <sheetName val="asbuilt_drgs1"/>
      <sheetName val="ASBUILT_GIS_LANDBASE1"/>
      <sheetName val="Input_for_codification,bandwid1"/>
      <sheetName val="Engg_summary1"/>
      <sheetName val="LM_ASBLT1"/>
      <sheetName val="LM_FIBRE1"/>
      <sheetName val="ISP_1"/>
      <sheetName val="Level_2_mhrs1"/>
      <sheetName val="Level_2_deliverables1"/>
      <sheetName val="INPUT_SHEET1"/>
      <sheetName val="P3_CITIES_MA,CA1"/>
      <sheetName val="P3CITIES_LM1"/>
      <sheetName val="AP_MA,CA1"/>
      <sheetName val="MUMBAI_LM1"/>
      <sheetName val="CHENNAI_MA,CA1"/>
      <sheetName val="CHENNAI_LM1"/>
      <sheetName val="KOL_MA,CA1"/>
      <sheetName val="KOL_LM1"/>
      <sheetName val="BLR_MA,CA1"/>
      <sheetName val="BLR_LM1"/>
      <sheetName val="HYD_MA,CA1"/>
      <sheetName val="HYD_LM1"/>
      <sheetName val="PUNE_MA,CA1"/>
      <sheetName val="PUNE_LM1"/>
      <sheetName val="AHD_MA,CA1"/>
      <sheetName val="AHD_LM1"/>
      <sheetName val="SURAT_MA,CA1"/>
      <sheetName val="SURAT_LM1"/>
      <sheetName val="VAD_MA,CA1"/>
      <sheetName val="VAD_LM1"/>
      <sheetName val="City_S-curves1"/>
      <sheetName val="Interconn_updation_sheet1"/>
      <sheetName val="Intercon_s-curves1"/>
      <sheetName val="General_inputs1"/>
      <sheetName val="cover_3"/>
      <sheetName val="over_all_s_curve3"/>
      <sheetName val="ROW_STATUS3"/>
      <sheetName val="LINKWISE_STATUS_3"/>
      <sheetName val="crossing_detailed_3"/>
      <sheetName val="DETAIL_SHEET3"/>
      <sheetName val="Const_activity_list3"/>
      <sheetName val="fIELD_SURVEY2"/>
      <sheetName val="Attribute_2"/>
      <sheetName val="asbuilt_drgs2"/>
      <sheetName val="ASBUILT_GIS_LANDBASE2"/>
      <sheetName val="Input_for_codification,bandwid2"/>
      <sheetName val="Engg_summary2"/>
      <sheetName val="LM_ASBLT2"/>
      <sheetName val="LM_FIBRE2"/>
      <sheetName val="ISP_2"/>
      <sheetName val="Level_2_mhrs2"/>
      <sheetName val="Level_2_deliverables2"/>
      <sheetName val="INPUT_SHEET2"/>
      <sheetName val="P3_CITIES_MA,CA2"/>
      <sheetName val="P3CITIES_LM2"/>
      <sheetName val="AP_MA,CA2"/>
      <sheetName val="MUMBAI_LM2"/>
      <sheetName val="CHENNAI_MA,CA2"/>
      <sheetName val="CHENNAI_LM2"/>
      <sheetName val="KOL_MA,CA2"/>
      <sheetName val="KOL_LM2"/>
      <sheetName val="BLR_MA,CA2"/>
      <sheetName val="BLR_LM2"/>
      <sheetName val="HYD_MA,CA2"/>
      <sheetName val="HYD_LM2"/>
      <sheetName val="PUNE_MA,CA2"/>
      <sheetName val="PUNE_LM2"/>
      <sheetName val="AHD_MA,CA2"/>
      <sheetName val="AHD_LM2"/>
      <sheetName val="SURAT_MA,CA2"/>
      <sheetName val="SURAT_LM2"/>
      <sheetName val="VAD_MA,CA2"/>
      <sheetName val="VAD_LM2"/>
      <sheetName val="City_S-curves2"/>
      <sheetName val="Interconn_updation_sheet2"/>
      <sheetName val="Intercon_s-curves2"/>
      <sheetName val="General_inputs2"/>
      <sheetName val="TAX"/>
      <sheetName val="NAV"/>
      <sheetName val="CRUDNAME"/>
      <sheetName val="FINAL SHEET"/>
      <sheetName val="Parameters"/>
      <sheetName val="LOCAL RATES"/>
      <sheetName val="Project Budget Worksheet"/>
      <sheetName val="Builtup Area"/>
      <sheetName val="MHR"/>
      <sheetName val="3MLKQ"/>
      <sheetName val="Back up"/>
      <sheetName val="EXPLOT AGUA PVC"/>
      <sheetName val="pi_chart2"/>
      <sheetName val="IBR_(2)2"/>
      <sheetName val="NIBR_(2)2"/>
      <sheetName val="2_00-03_Final_Budget2"/>
      <sheetName val="digitisation_manpwr2"/>
      <sheetName val="field_manpwr2"/>
      <sheetName val="S_Curve2"/>
      <sheetName val="Critical_Action2"/>
      <sheetName val="10-city_points2"/>
      <sheetName val="NLD_-_Assum2"/>
      <sheetName val="Const_QMS_Dash_Board2"/>
      <sheetName val="COVER_SHEET1"/>
      <sheetName val="R0_DATA11"/>
      <sheetName val="LAND_SPEC1"/>
      <sheetName val="TRAFFIC_COUNTS1"/>
      <sheetName val="QUALITATIVE_DETAILS1"/>
      <sheetName val="SEZ_-S_CURVE1"/>
      <sheetName val="pi_chart1"/>
      <sheetName val="IBR_(2)1"/>
      <sheetName val="NIBR_(2)1"/>
      <sheetName val="2_00-03_Final_Budget1"/>
      <sheetName val="digitisation_manpwr1"/>
      <sheetName val="field_manpwr1"/>
      <sheetName val="S_Curve1"/>
      <sheetName val="Critical_Action1"/>
      <sheetName val="10-city_points1"/>
      <sheetName val="NLD_-_Assum1"/>
      <sheetName val="Const_QMS_Dash_Board1"/>
      <sheetName val="COVER_SHEET"/>
      <sheetName val="R0_DATA1"/>
      <sheetName val="LAND_SPEC"/>
      <sheetName val="TRAFFIC_COUNTS"/>
      <sheetName val="QUALITATIVE_DETAILS"/>
      <sheetName val="SEZ_-S_CURVE"/>
      <sheetName val="RFE SITES"/>
      <sheetName val="DIS"/>
      <sheetName val="2005-06"/>
      <sheetName val="3.Grouping - Profit &amp; Loss(mio)"/>
      <sheetName val="PyrllDeduc"/>
      <sheetName val="Pivot2"/>
      <sheetName val="MIFOR- MTM"/>
      <sheetName val="Master Price List"/>
      <sheetName val="ALL-IBANK-BRS"/>
      <sheetName val="IRU_Pivot"/>
      <sheetName val="LEA_Pivot"/>
      <sheetName val="Slopes"/>
      <sheetName val="P&amp;M"/>
      <sheetName val="Labour"/>
      <sheetName val="MAchinery(R1)"/>
      <sheetName val="Materials "/>
      <sheetName val="Sheet2 (2)"/>
      <sheetName val="Intaccrual"/>
      <sheetName val="Project_Data_File"/>
      <sheetName val="BHIT_hrs_dd"/>
      <sheetName val="Users Authorisations"/>
      <sheetName val="Control"/>
      <sheetName val="PPG_MOB2"/>
      <sheetName val="Discount &amp; Margin"/>
      <sheetName val="Invested capital_VDF"/>
      <sheetName val="WACC_VDF"/>
      <sheetName val="cover_4"/>
      <sheetName val="over_all_s_curve4"/>
      <sheetName val="ROW_STATUS4"/>
      <sheetName val="LINKWISE_STATUS_4"/>
      <sheetName val="crossing_detailed_4"/>
      <sheetName val="DETAIL_SHEET4"/>
      <sheetName val="Const_activity_list4"/>
      <sheetName val="fIELD_SURVEY3"/>
      <sheetName val="Attribute_3"/>
      <sheetName val="asbuilt_drgs3"/>
      <sheetName val="ASBUILT_GIS_LANDBASE3"/>
      <sheetName val="Input_for_codification,bandwid3"/>
      <sheetName val="Engg_summary3"/>
      <sheetName val="LM_ASBLT3"/>
      <sheetName val="LM_FIBRE3"/>
      <sheetName val="ISP_3"/>
      <sheetName val="Level_2_mhrs3"/>
      <sheetName val="Level_2_deliverables3"/>
      <sheetName val="INPUT_SHEET3"/>
      <sheetName val="P3_CITIES_MA,CA3"/>
      <sheetName val="P3CITIES_LM3"/>
      <sheetName val="AP_MA,CA3"/>
      <sheetName val="MUMBAI_LM3"/>
      <sheetName val="CHENNAI_MA,CA3"/>
      <sheetName val="CHENNAI_LM3"/>
      <sheetName val="KOL_MA,CA3"/>
      <sheetName val="KOL_LM3"/>
      <sheetName val="BLR_MA,CA3"/>
      <sheetName val="BLR_LM3"/>
      <sheetName val="HYD_MA,CA3"/>
      <sheetName val="HYD_LM3"/>
      <sheetName val="PUNE_MA,CA3"/>
      <sheetName val="PUNE_LM3"/>
      <sheetName val="AHD_MA,CA3"/>
      <sheetName val="AHD_LM3"/>
      <sheetName val="SURAT_MA,CA3"/>
      <sheetName val="SURAT_LM3"/>
      <sheetName val="VAD_MA,CA3"/>
      <sheetName val="VAD_LM3"/>
      <sheetName val="City_S-curves3"/>
      <sheetName val="Interconn_updation_sheet3"/>
      <sheetName val="Intercon_s-curves3"/>
      <sheetName val="General_inputs3"/>
      <sheetName val="Master_Price_List"/>
      <sheetName val="cover_5"/>
      <sheetName val="over_all_s_curve5"/>
      <sheetName val="ROW_STATUS5"/>
      <sheetName val="LINKWISE_STATUS_5"/>
      <sheetName val="crossing_detailed_5"/>
      <sheetName val="DETAIL_SHEET5"/>
      <sheetName val="Const_activity_list5"/>
      <sheetName val="fIELD_SURVEY4"/>
      <sheetName val="Attribute_4"/>
      <sheetName val="asbuilt_drgs4"/>
      <sheetName val="ASBUILT_GIS_LANDBASE4"/>
      <sheetName val="Input_for_codification,bandwid4"/>
      <sheetName val="Engg_summary4"/>
      <sheetName val="LM_ASBLT4"/>
      <sheetName val="LM_FIBRE4"/>
      <sheetName val="ISP_4"/>
      <sheetName val="Level_2_mhrs4"/>
      <sheetName val="Level_2_deliverables4"/>
      <sheetName val="INPUT_SHEET4"/>
      <sheetName val="P3_CITIES_MA,CA4"/>
      <sheetName val="P3CITIES_LM4"/>
      <sheetName val="AP_MA,CA4"/>
      <sheetName val="MUMBAI_LM4"/>
      <sheetName val="CHENNAI_MA,CA4"/>
      <sheetName val="CHENNAI_LM4"/>
      <sheetName val="KOL_MA,CA4"/>
      <sheetName val="KOL_LM4"/>
      <sheetName val="BLR_MA,CA4"/>
      <sheetName val="BLR_LM4"/>
      <sheetName val="HYD_MA,CA4"/>
      <sheetName val="HYD_LM4"/>
      <sheetName val="PUNE_MA,CA4"/>
      <sheetName val="PUNE_LM4"/>
      <sheetName val="AHD_MA,CA4"/>
      <sheetName val="AHD_LM4"/>
      <sheetName val="SURAT_MA,CA4"/>
      <sheetName val="SURAT_LM4"/>
      <sheetName val="VAD_MA,CA4"/>
      <sheetName val="VAD_LM4"/>
      <sheetName val="City_S-curves4"/>
      <sheetName val="Interconn_updation_sheet4"/>
      <sheetName val="Intercon_s-curves4"/>
      <sheetName val="General_inputs4"/>
      <sheetName val="Master_Price_List1"/>
      <sheetName val="cover_6"/>
      <sheetName val="over_all_s_curve6"/>
      <sheetName val="ROW_STATUS6"/>
      <sheetName val="LINKWISE_STATUS_6"/>
      <sheetName val="crossing_detailed_6"/>
      <sheetName val="DETAIL_SHEET6"/>
      <sheetName val="Const_activity_list6"/>
      <sheetName val="fIELD_SURVEY5"/>
      <sheetName val="Attribute_5"/>
      <sheetName val="asbuilt_drgs5"/>
      <sheetName val="ASBUILT_GIS_LANDBASE5"/>
      <sheetName val="Input_for_codification,bandwid5"/>
      <sheetName val="Engg_summary5"/>
      <sheetName val="LM_ASBLT5"/>
      <sheetName val="LM_FIBRE5"/>
      <sheetName val="ISP_5"/>
      <sheetName val="Level_2_mhrs5"/>
      <sheetName val="Level_2_deliverables5"/>
      <sheetName val="INPUT_SHEET5"/>
      <sheetName val="P3_CITIES_MA,CA5"/>
      <sheetName val="P3CITIES_LM5"/>
      <sheetName val="AP_MA,CA5"/>
      <sheetName val="MUMBAI_LM5"/>
      <sheetName val="CHENNAI_MA,CA5"/>
      <sheetName val="CHENNAI_LM5"/>
      <sheetName val="KOL_MA,CA5"/>
      <sheetName val="KOL_LM5"/>
      <sheetName val="BLR_MA,CA5"/>
      <sheetName val="BLR_LM5"/>
      <sheetName val="HYD_MA,CA5"/>
      <sheetName val="HYD_LM5"/>
      <sheetName val="PUNE_MA,CA5"/>
      <sheetName val="PUNE_LM5"/>
      <sheetName val="AHD_MA,CA5"/>
      <sheetName val="AHD_LM5"/>
      <sheetName val="SURAT_MA,CA5"/>
      <sheetName val="SURAT_LM5"/>
      <sheetName val="VAD_MA,CA5"/>
      <sheetName val="VAD_LM5"/>
      <sheetName val="City_S-curves5"/>
      <sheetName val="Interconn_updation_sheet5"/>
      <sheetName val="Intercon_s-curves5"/>
      <sheetName val="General_inputs5"/>
      <sheetName val="Master_Price_List2"/>
      <sheetName val="cover_7"/>
      <sheetName val="over_all_s_curve7"/>
      <sheetName val="ROW_STATUS7"/>
      <sheetName val="LINKWISE_STATUS_7"/>
      <sheetName val="crossing_detailed_7"/>
      <sheetName val="DETAIL_SHEET7"/>
      <sheetName val="Const_activity_list7"/>
      <sheetName val="fIELD_SURVEY6"/>
      <sheetName val="Attribute_6"/>
      <sheetName val="asbuilt_drgs6"/>
      <sheetName val="ASBUILT_GIS_LANDBASE6"/>
      <sheetName val="Input_for_codification,bandwid6"/>
      <sheetName val="Engg_summary6"/>
      <sheetName val="LM_ASBLT6"/>
      <sheetName val="LM_FIBRE6"/>
      <sheetName val="ISP_6"/>
      <sheetName val="Level_2_mhrs6"/>
      <sheetName val="Level_2_deliverables6"/>
      <sheetName val="INPUT_SHEET6"/>
      <sheetName val="P3_CITIES_MA,CA6"/>
      <sheetName val="P3CITIES_LM6"/>
      <sheetName val="AP_MA,CA6"/>
      <sheetName val="MUMBAI_LM6"/>
      <sheetName val="CHENNAI_MA,CA6"/>
      <sheetName val="CHENNAI_LM6"/>
      <sheetName val="KOL_MA,CA6"/>
      <sheetName val="KOL_LM6"/>
      <sheetName val="BLR_MA,CA6"/>
      <sheetName val="BLR_LM6"/>
      <sheetName val="HYD_MA,CA6"/>
      <sheetName val="HYD_LM6"/>
      <sheetName val="PUNE_MA,CA6"/>
      <sheetName val="PUNE_LM6"/>
      <sheetName val="AHD_MA,CA6"/>
      <sheetName val="AHD_LM6"/>
      <sheetName val="SURAT_MA,CA6"/>
      <sheetName val="SURAT_LM6"/>
      <sheetName val="VAD_MA,CA6"/>
      <sheetName val="VAD_LM6"/>
      <sheetName val="City_S-curves6"/>
      <sheetName val="Interconn_updation_sheet6"/>
      <sheetName val="Intercon_s-curves6"/>
      <sheetName val="General_inputs6"/>
      <sheetName val="pi_chart3"/>
      <sheetName val="IBR_(2)3"/>
      <sheetName val="NIBR_(2)3"/>
      <sheetName val="Master_Price_List3"/>
      <sheetName val="2_00-03_Final_Budget3"/>
      <sheetName val="digitisation_manpwr3"/>
      <sheetName val="field_manpwr3"/>
      <sheetName val="S_Curve3"/>
      <sheetName val="Critical_Action3"/>
      <sheetName val="10-city_points3"/>
      <sheetName val="NLD_-_Assum3"/>
      <sheetName val="Const_QMS_Dash_Board3"/>
      <sheetName val="cover_8"/>
      <sheetName val="over_all_s_curve8"/>
      <sheetName val="ROW_STATUS8"/>
      <sheetName val="LINKWISE_STATUS_8"/>
      <sheetName val="crossing_detailed_8"/>
      <sheetName val="DETAIL_SHEET8"/>
      <sheetName val="Const_activity_list8"/>
      <sheetName val="fIELD_SURVEY7"/>
      <sheetName val="Attribute_7"/>
      <sheetName val="asbuilt_drgs7"/>
      <sheetName val="ASBUILT_GIS_LANDBASE7"/>
      <sheetName val="Input_for_codification,bandwid7"/>
      <sheetName val="Engg_summary7"/>
      <sheetName val="LM_ASBLT7"/>
      <sheetName val="LM_FIBRE7"/>
      <sheetName val="ISP_7"/>
      <sheetName val="Level_2_mhrs7"/>
      <sheetName val="Level_2_deliverables7"/>
      <sheetName val="INPUT_SHEET7"/>
      <sheetName val="P3_CITIES_MA,CA7"/>
      <sheetName val="P3CITIES_LM7"/>
      <sheetName val="AP_MA,CA7"/>
      <sheetName val="MUMBAI_LM7"/>
      <sheetName val="CHENNAI_MA,CA7"/>
      <sheetName val="CHENNAI_LM7"/>
      <sheetName val="KOL_MA,CA7"/>
      <sheetName val="KOL_LM7"/>
      <sheetName val="BLR_MA,CA7"/>
      <sheetName val="BLR_LM7"/>
      <sheetName val="HYD_MA,CA7"/>
      <sheetName val="HYD_LM7"/>
      <sheetName val="PUNE_MA,CA7"/>
      <sheetName val="PUNE_LM7"/>
      <sheetName val="AHD_MA,CA7"/>
      <sheetName val="AHD_LM7"/>
      <sheetName val="SURAT_MA,CA7"/>
      <sheetName val="SURAT_LM7"/>
      <sheetName val="VAD_MA,CA7"/>
      <sheetName val="VAD_LM7"/>
      <sheetName val="City_S-curves7"/>
      <sheetName val="Interconn_updation_sheet7"/>
      <sheetName val="Intercon_s-curves7"/>
      <sheetName val="General_inputs7"/>
      <sheetName val="pi_chart4"/>
      <sheetName val="IBR_(2)4"/>
      <sheetName val="NIBR_(2)4"/>
      <sheetName val="Master_Price_List4"/>
      <sheetName val="2_00-03_Final_Budget4"/>
      <sheetName val="digitisation_manpwr4"/>
      <sheetName val="field_manpwr4"/>
      <sheetName val="S_Curve4"/>
      <sheetName val="Critical_Action4"/>
      <sheetName val="10-city_points4"/>
      <sheetName val="NLD_-_Assum4"/>
      <sheetName val="Const_QMS_Dash_Board4"/>
      <sheetName val="cover_9"/>
      <sheetName val="over_all_s_curve9"/>
      <sheetName val="ROW_STATUS9"/>
      <sheetName val="LINKWISE_STATUS_9"/>
      <sheetName val="crossing_detailed_9"/>
      <sheetName val="DETAIL_SHEET9"/>
      <sheetName val="Const_activity_list9"/>
      <sheetName val="fIELD_SURVEY8"/>
      <sheetName val="Attribute_8"/>
      <sheetName val="asbuilt_drgs8"/>
      <sheetName val="ASBUILT_GIS_LANDBASE8"/>
      <sheetName val="Input_for_codification,bandwid8"/>
      <sheetName val="Engg_summary8"/>
      <sheetName val="LM_ASBLT8"/>
      <sheetName val="LM_FIBRE8"/>
      <sheetName val="ISP_8"/>
      <sheetName val="Level_2_mhrs8"/>
      <sheetName val="Level_2_deliverables8"/>
      <sheetName val="INPUT_SHEET8"/>
      <sheetName val="P3_CITIES_MA,CA8"/>
      <sheetName val="P3CITIES_LM8"/>
      <sheetName val="AP_MA,CA8"/>
      <sheetName val="MUMBAI_LM8"/>
      <sheetName val="CHENNAI_MA,CA8"/>
      <sheetName val="CHENNAI_LM8"/>
      <sheetName val="KOL_MA,CA8"/>
      <sheetName val="KOL_LM8"/>
      <sheetName val="BLR_MA,CA8"/>
      <sheetName val="BLR_LM8"/>
      <sheetName val="HYD_MA,CA8"/>
      <sheetName val="HYD_LM8"/>
      <sheetName val="PUNE_MA,CA8"/>
      <sheetName val="PUNE_LM8"/>
      <sheetName val="AHD_MA,CA8"/>
      <sheetName val="AHD_LM8"/>
      <sheetName val="SURAT_MA,CA8"/>
      <sheetName val="SURAT_LM8"/>
      <sheetName val="VAD_MA,CA8"/>
      <sheetName val="VAD_LM8"/>
      <sheetName val="City_S-curves8"/>
      <sheetName val="Interconn_updation_sheet8"/>
      <sheetName val="Intercon_s-curves8"/>
      <sheetName val="General_inputs8"/>
      <sheetName val="pi_chart5"/>
      <sheetName val="IBR_(2)5"/>
      <sheetName val="NIBR_(2)5"/>
      <sheetName val="Master_Price_List5"/>
      <sheetName val="2_00-03_Final_Budget5"/>
      <sheetName val="digitisation_manpwr5"/>
      <sheetName val="field_manpwr5"/>
      <sheetName val="S_Curve5"/>
      <sheetName val="Critical_Action5"/>
      <sheetName val="10-city_points5"/>
      <sheetName val="NLD_-_Assum5"/>
      <sheetName val="Const_QMS_Dash_Board5"/>
      <sheetName val="cover_10"/>
      <sheetName val="over_all_s_curve10"/>
      <sheetName val="ROW_STATUS10"/>
      <sheetName val="LINKWISE_STATUS_10"/>
      <sheetName val="crossing_detailed_10"/>
      <sheetName val="DETAIL_SHEET10"/>
      <sheetName val="Const_activity_list10"/>
      <sheetName val="fIELD_SURVEY9"/>
      <sheetName val="Attribute_9"/>
      <sheetName val="asbuilt_drgs9"/>
      <sheetName val="ASBUILT_GIS_LANDBASE9"/>
      <sheetName val="Input_for_codification,bandwid9"/>
      <sheetName val="Engg_summary9"/>
      <sheetName val="LM_ASBLT9"/>
      <sheetName val="LM_FIBRE9"/>
      <sheetName val="ISP_9"/>
      <sheetName val="Level_2_mhrs9"/>
      <sheetName val="Level_2_deliverables9"/>
      <sheetName val="INPUT_SHEET9"/>
      <sheetName val="P3_CITIES_MA,CA9"/>
      <sheetName val="P3CITIES_LM9"/>
      <sheetName val="AP_MA,CA9"/>
      <sheetName val="MUMBAI_LM9"/>
      <sheetName val="CHENNAI_MA,CA9"/>
      <sheetName val="CHENNAI_LM9"/>
      <sheetName val="KOL_MA,CA9"/>
      <sheetName val="KOL_LM9"/>
      <sheetName val="BLR_MA,CA9"/>
      <sheetName val="BLR_LM9"/>
      <sheetName val="HYD_MA,CA9"/>
      <sheetName val="HYD_LM9"/>
      <sheetName val="PUNE_MA,CA9"/>
      <sheetName val="PUNE_LM9"/>
      <sheetName val="AHD_MA,CA9"/>
      <sheetName val="AHD_LM9"/>
      <sheetName val="SURAT_MA,CA9"/>
      <sheetName val="SURAT_LM9"/>
      <sheetName val="VAD_MA,CA9"/>
      <sheetName val="VAD_LM9"/>
      <sheetName val="City_S-curves9"/>
      <sheetName val="Interconn_updation_sheet9"/>
      <sheetName val="Intercon_s-curves9"/>
      <sheetName val="General_inputs9"/>
      <sheetName val="pi_chart6"/>
      <sheetName val="IBR_(2)6"/>
      <sheetName val="NIBR_(2)6"/>
      <sheetName val="Master_Price_List6"/>
      <sheetName val="2_00-03_Final_Budget6"/>
      <sheetName val="digitisation_manpwr6"/>
      <sheetName val="field_manpwr6"/>
      <sheetName val="S_Curve6"/>
      <sheetName val="Critical_Action6"/>
      <sheetName val="10-city_points6"/>
      <sheetName val="NLD_-_Assum6"/>
      <sheetName val="Const_QMS_Dash_Board6"/>
      <sheetName val="Invested_capital_VDF"/>
      <sheetName val="Users_Authorisations"/>
      <sheetName val="cover_11"/>
      <sheetName val="over_all_s_curve11"/>
      <sheetName val="ROW_STATUS11"/>
      <sheetName val="LINKWISE_STATUS_11"/>
      <sheetName val="crossing_detailed_11"/>
      <sheetName val="DETAIL_SHEET11"/>
      <sheetName val="Const_activity_list11"/>
      <sheetName val="fIELD_SURVEY10"/>
      <sheetName val="Attribute_10"/>
      <sheetName val="asbuilt_drgs10"/>
      <sheetName val="ASBUILT_GIS_LANDBASE10"/>
      <sheetName val="Input_for_codification,bandwi10"/>
      <sheetName val="Engg_summary10"/>
      <sheetName val="LM_ASBLT10"/>
      <sheetName val="LM_FIBRE10"/>
      <sheetName val="ISP_10"/>
      <sheetName val="Level_2_mhrs10"/>
      <sheetName val="Level_2_deliverables10"/>
      <sheetName val="INPUT_SHEET10"/>
      <sheetName val="P3_CITIES_MA,CA10"/>
      <sheetName val="P3CITIES_LM10"/>
      <sheetName val="AP_MA,CA10"/>
      <sheetName val="MUMBAI_LM10"/>
      <sheetName val="CHENNAI_MA,CA10"/>
      <sheetName val="CHENNAI_LM10"/>
      <sheetName val="KOL_MA,CA10"/>
      <sheetName val="KOL_LM10"/>
      <sheetName val="BLR_MA,CA10"/>
      <sheetName val="BLR_LM10"/>
      <sheetName val="HYD_MA,CA10"/>
      <sheetName val="HYD_LM10"/>
      <sheetName val="PUNE_MA,CA10"/>
      <sheetName val="PUNE_LM10"/>
      <sheetName val="AHD_MA,CA10"/>
      <sheetName val="AHD_LM10"/>
      <sheetName val="SURAT_MA,CA10"/>
      <sheetName val="SURAT_LM10"/>
      <sheetName val="VAD_MA,CA10"/>
      <sheetName val="VAD_LM10"/>
      <sheetName val="City_S-curves10"/>
      <sheetName val="Interconn_updation_sheet10"/>
      <sheetName val="Intercon_s-curves10"/>
      <sheetName val="General_inputs10"/>
      <sheetName val="pi_chart7"/>
      <sheetName val="IBR_(2)7"/>
      <sheetName val="NIBR_(2)7"/>
      <sheetName val="Master_Price_List7"/>
      <sheetName val="2_00-03_Final_Budget7"/>
      <sheetName val="digitisation_manpwr7"/>
      <sheetName val="field_manpwr7"/>
      <sheetName val="S_Curve7"/>
      <sheetName val="Critical_Action7"/>
      <sheetName val="10-city_points7"/>
      <sheetName val="NLD_-_Assum7"/>
      <sheetName val="Const_QMS_Dash_Board7"/>
      <sheetName val="Invested_capital_VDF1"/>
      <sheetName val="Users_Authorisations1"/>
      <sheetName val="DATA"/>
      <sheetName val="Detail"/>
      <sheetName val="data.exp"/>
      <sheetName val="data_exp"/>
      <sheetName val="data_exp1"/>
      <sheetName val="data_exp2"/>
      <sheetName val="data_exp3"/>
      <sheetName val="data_exp4"/>
      <sheetName val="data_exp5"/>
      <sheetName val="data_exp6"/>
      <sheetName val="data_exp7"/>
      <sheetName val="cover_12"/>
      <sheetName val="over_all_s_curve12"/>
      <sheetName val="ROW_STATUS12"/>
      <sheetName val="LINKWISE_STATUS_12"/>
      <sheetName val="crossing_detailed_12"/>
      <sheetName val="DETAIL_SHEET12"/>
      <sheetName val="Const_activity_list12"/>
      <sheetName val="pi_chart8"/>
      <sheetName val="IBR_(2)8"/>
      <sheetName val="NIBR_(2)8"/>
      <sheetName val="fIELD_SURVEY11"/>
      <sheetName val="Attribute_11"/>
      <sheetName val="asbuilt_drgs11"/>
      <sheetName val="ASBUILT_GIS_LANDBASE11"/>
      <sheetName val="Input_for_codification,bandwi11"/>
      <sheetName val="Engg_summary11"/>
      <sheetName val="LM_ASBLT11"/>
      <sheetName val="LM_FIBRE11"/>
      <sheetName val="ISP_11"/>
      <sheetName val="Level_2_mhrs11"/>
      <sheetName val="Level_2_deliverables11"/>
      <sheetName val="INPUT_SHEET11"/>
      <sheetName val="P3_CITIES_MA,CA11"/>
      <sheetName val="P3CITIES_LM11"/>
      <sheetName val="AP_MA,CA11"/>
      <sheetName val="MUMBAI_LM11"/>
      <sheetName val="CHENNAI_MA,CA11"/>
      <sheetName val="CHENNAI_LM11"/>
      <sheetName val="KOL_MA,CA11"/>
      <sheetName val="KOL_LM11"/>
      <sheetName val="BLR_MA,CA11"/>
      <sheetName val="BLR_LM11"/>
      <sheetName val="HYD_MA,CA11"/>
      <sheetName val="HYD_LM11"/>
      <sheetName val="PUNE_MA,CA11"/>
      <sheetName val="PUNE_LM11"/>
      <sheetName val="AHD_MA,CA11"/>
      <sheetName val="AHD_LM11"/>
      <sheetName val="SURAT_MA,CA11"/>
      <sheetName val="SURAT_LM11"/>
      <sheetName val="VAD_MA,CA11"/>
      <sheetName val="VAD_LM11"/>
      <sheetName val="City_S-curves11"/>
      <sheetName val="Interconn_updation_sheet11"/>
      <sheetName val="Intercon_s-curves11"/>
      <sheetName val="digitisation_manpwr8"/>
      <sheetName val="field_manpwr8"/>
      <sheetName val="S_Curve8"/>
      <sheetName val="Critical_Action8"/>
      <sheetName val="2_00-03_Final_Budget8"/>
      <sheetName val="10-city_points8"/>
      <sheetName val="NLD_-_Assum8"/>
      <sheetName val="Const_QMS_Dash_Board8"/>
      <sheetName val="General_inputs11"/>
      <sheetName val="COVER_SHEET2"/>
      <sheetName val="R0_DATA12"/>
      <sheetName val="LAND_SPEC2"/>
      <sheetName val="TRAFFIC_COUNTS2"/>
      <sheetName val="QUALITATIVE_DETAILS2"/>
      <sheetName val="SEZ_-S_CURVE2"/>
      <sheetName val="FINAL_SHEET"/>
      <sheetName val="Back_up"/>
      <sheetName val="LOCAL_RATES"/>
      <sheetName val="Project_Budget_Worksheet"/>
      <sheetName val="Builtup_Area"/>
      <sheetName val="EXPLOT_AGUA_PVC"/>
      <sheetName val="RFE_SITES"/>
      <sheetName val="3_Grouping_-_Profit_&amp;_Loss(mio)"/>
      <sheetName val="Users_Authorisations2"/>
      <sheetName val="Discount_&amp;_Margin"/>
      <sheetName val="Master_Price_List8"/>
      <sheetName val="Invested_capital_VDF2"/>
      <sheetName val="New May"/>
      <sheetName val="D-623D"/>
      <sheetName val="Man-Plan Forecast"/>
      <sheetName val="A"/>
      <sheetName val="worksheet"/>
      <sheetName val="Bspl Main"/>
      <sheetName val="OpTrack"/>
      <sheetName val="Coversheet"/>
      <sheetName val="VEN"/>
      <sheetName val="Aladdin Macro1"/>
      <sheetName val="Employee Master"/>
      <sheetName val="B"/>
      <sheetName val="Ãhty S-curves"/>
      <sheetName val="Kumbai"/>
      <sheetName val="RCTL-SCH"/>
      <sheetName val="COMPARISON"/>
      <sheetName val="Sales"/>
      <sheetName val="Clause 9"/>
      <sheetName val="Design"/>
      <sheetName val="dBase"/>
      <sheetName val="drop-dwn list"/>
      <sheetName val="CPC Cost - By Site"/>
      <sheetName val="ACTUAL DATA"/>
      <sheetName val="BUDGET DATA"/>
      <sheetName val="Depreciation"/>
      <sheetName val="InputPO_Del"/>
      <sheetName val="Factor -local"/>
      <sheetName val="Factor- c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sheetData sheetId="750"/>
      <sheetData sheetId="751"/>
      <sheetData sheetId="752"/>
      <sheetData sheetId="753"/>
      <sheetData sheetId="754"/>
      <sheetData sheetId="755"/>
      <sheetData sheetId="756" refreshError="1"/>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refreshError="1"/>
      <sheetData sheetId="830" refreshError="1"/>
      <sheetData sheetId="831" refreshError="1"/>
      <sheetData sheetId="832" refreshError="1"/>
      <sheetData sheetId="833" refreshError="1"/>
      <sheetData sheetId="834" refreshError="1"/>
      <sheetData sheetId="835" refreshError="1"/>
      <sheetData sheetId="836"/>
      <sheetData sheetId="837"/>
      <sheetData sheetId="838"/>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sheetData sheetId="848"/>
      <sheetData sheetId="849"/>
      <sheetData sheetId="850" refreshError="1"/>
      <sheetData sheetId="851" refreshError="1"/>
      <sheetData sheetId="852" refreshError="1"/>
      <sheetData sheetId="853" refreshError="1"/>
      <sheetData sheetId="854" refreshError="1"/>
      <sheetData sheetId="855" refreshError="1"/>
      <sheetData sheetId="856"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Links"/>
    </sheetNames>
    <sheetDataSet>
      <sheetData sheetId="0" refreshError="1"/>
      <sheetData sheetId="1" refreshError="1"/>
      <sheetData sheetId="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賃借2"/>
      <sheetName val="Sheet1"/>
    </sheetNames>
    <definedNames>
      <definedName name="Module1.On_Click"/>
    </definedNames>
    <sheetDataSet>
      <sheetData sheetId="0" refreshError="1"/>
      <sheetData sheetId="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2)"/>
      <sheetName val="SUMMARY SHEET"/>
      <sheetName val="Index"/>
      <sheetName val="BalanceSheet"/>
      <sheetName val="Cash Flow Local"/>
      <sheetName val="CONSO P&amp;L REGION WISE"/>
      <sheetName val="CONSO P&amp;L"/>
      <sheetName val="Debtors Summary-Dec M"/>
      <sheetName val="Debtors Summary - Mumbai"/>
      <sheetName val="Debtors Summary-Dec C"/>
      <sheetName val="Debtors Summary- Chennai"/>
      <sheetName val="Debtors Summary - DEC (Bang)"/>
      <sheetName val="Debtors Bang"/>
      <sheetName val="Debtors Summary-Conso-Dec"/>
      <sheetName val="Debtors Ageing Conso "/>
      <sheetName val="MUMBAI P&amp;L"/>
      <sheetName val="CONSO MUMBAI"/>
      <sheetName val="CONSO MUMBAI TRANSPORT"/>
      <sheetName val="MAHAPE"/>
      <sheetName val="MAHAPE - TRNSP"/>
      <sheetName val="KANDIVILI PLANT"/>
      <sheetName val="KANDIVILI TRANSPORT"/>
      <sheetName val="KURLA PLANT"/>
      <sheetName val="KURLA TRANSPORT"/>
      <sheetName val="THANE"/>
      <sheetName val="THANE TRANSPORT"/>
      <sheetName val="PUMP - MUM"/>
      <sheetName val="MU - Clab"/>
      <sheetName val="AMBERNATH QUARRY"/>
      <sheetName val="ADMIN 1 MUMBAI"/>
      <sheetName val="ADMIN 2 MUMBAI"/>
      <sheetName val="MUMBAI REGIONAL"/>
      <sheetName val="CHENNAI P&amp;L"/>
      <sheetName val="THIRU"/>
      <sheetName val="THIRU - TRNSP"/>
      <sheetName val="CHENNAI - PUMPING"/>
      <sheetName val="CH - CLAB"/>
      <sheetName val="KEERAPAKKAM QUARRY"/>
      <sheetName val="CH - ADMIN 1"/>
      <sheetName val="CH - ADMIN 2"/>
      <sheetName val="CH - REGIONAL"/>
      <sheetName val="BANGALORE P&amp;L"/>
      <sheetName val="BANGALORE PLANT CONSO"/>
      <sheetName val="BANGALORE TRANSPORT CONSO"/>
      <sheetName val="HARLUR PLANT"/>
      <sheetName val="HARLUR TRANSPORT"/>
      <sheetName val="YELAHANKA PLANT"/>
      <sheetName val="YELAHANKA TRANSPORT"/>
      <sheetName val="BANGALORE PUMPING"/>
      <sheetName val="BANGALORE LAB"/>
      <sheetName val="HARLUR QUARRY"/>
      <sheetName val="HARLUR PRODN"/>
      <sheetName val="HARLUR QUARRY TPT"/>
      <sheetName val="YEL CRUSHER"/>
      <sheetName val="CRUSHER PRODN"/>
      <sheetName val="BANGALORE ADMIN 1"/>
      <sheetName val="BANGALORE ADMIN 2"/>
      <sheetName val="BANGALORE REGIONAL"/>
      <sheetName val="CORP 1"/>
      <sheetName val="CORP 2"/>
      <sheetName val="CORPORATE"/>
      <sheetName val="TALOJA"/>
      <sheetName val="INS MUM"/>
      <sheetName val="SALARY"/>
      <sheetName val="MUMBAI FAR"/>
      <sheetName val="CHENNAI FAR"/>
      <sheetName val="BANG FAR"/>
      <sheetName val="WORKINGS"/>
    </sheetNames>
    <sheetDataSet>
      <sheetData sheetId="0" refreshError="1"/>
      <sheetData sheetId="1">
        <row r="3">
          <cell r="B3" t="str">
            <v xml:space="preserve">  30TH  </v>
          </cell>
        </row>
        <row r="4">
          <cell r="B4" t="str">
            <v>SEPTEMBER 2003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562"/>
      <sheetName val="562"/>
      <sheetName val="PR569"/>
      <sheetName val="569"/>
      <sheetName val="PR573"/>
      <sheetName val="573"/>
      <sheetName val="PR596"/>
      <sheetName val="596"/>
      <sheetName val="546"/>
      <sheetName val="SUMMARY"/>
      <sheetName val="SUMMARY (2)"/>
      <sheetName val="TYRE1"/>
      <sheetName val="S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6">
          <cell r="E36">
            <v>0</v>
          </cell>
          <cell r="F36">
            <v>21.16</v>
          </cell>
          <cell r="G36">
            <v>2.2739999999999996</v>
          </cell>
          <cell r="H36">
            <v>0</v>
          </cell>
        </row>
        <row r="64">
          <cell r="E64">
            <v>0</v>
          </cell>
          <cell r="F64">
            <v>1.2569999999999986</v>
          </cell>
          <cell r="G64">
            <v>0.57299999999999984</v>
          </cell>
          <cell r="H64">
            <v>0</v>
          </cell>
        </row>
      </sheetData>
      <sheetData sheetId="10" refreshError="1"/>
      <sheetData sheetId="11" refreshError="1"/>
      <sheetData sheetId="1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YS"/>
      <sheetName val="BS"/>
      <sheetName val="GW"/>
      <sheetName val="Head office"/>
      <sheetName val="consolidated"/>
      <sheetName val="Consolidated excl pz&amp;gw"/>
      <sheetName val="Financials"/>
      <sheetName val="trial_HO"/>
      <sheetName val="trial_Plant"/>
      <sheetName val="P&amp;LSC"/>
      <sheetName val="U-4_Investments &amp; FD"/>
      <sheetName val="Stock St."/>
      <sheetName val="TOTAL GP"/>
      <sheetName val="sales "/>
      <sheetName val="Do not delete"/>
      <sheetName val="Financial Codes"/>
      <sheetName val="MCCW"/>
      <sheetName val="PO"/>
      <sheetName val="1-2-1"/>
      <sheetName val="dump"/>
      <sheetName val="Head_office"/>
      <sheetName val="Consolidated_excl_pz&amp;gw"/>
      <sheetName val="U-4_Investments_&amp;_FD"/>
      <sheetName val="TB   Rs  $  APR"/>
      <sheetName val="TB  Rupees "/>
      <sheetName val="SUMMARY SHEET"/>
      <sheetName val="KPMG-Balance Sheet_EXAMPLE"/>
    </sheetNames>
    <sheetDataSet>
      <sheetData sheetId="0" refreshError="1">
        <row r="7">
          <cell r="D7">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List"/>
      <sheetName val="Master Price List"/>
      <sheetName val="Configurations2"/>
      <sheetName val="Config-unbundle"/>
    </sheetNames>
    <sheetDataSet>
      <sheetData sheetId="0"/>
      <sheetData sheetId="1" refreshError="1">
        <row r="8">
          <cell r="A8">
            <v>10001</v>
          </cell>
          <cell r="C8" t="str">
            <v>AF5</v>
          </cell>
          <cell r="D8" t="str">
            <v>Air Filter 5-Pack</v>
          </cell>
          <cell r="E8">
            <v>300</v>
          </cell>
          <cell r="F8" t="str">
            <v>C</v>
          </cell>
          <cell r="G8" t="str">
            <v>1 year</v>
          </cell>
          <cell r="H8" t="str">
            <v>Purchase at list price</v>
          </cell>
          <cell r="I8" t="str">
            <v>Purchase at list price</v>
          </cell>
          <cell r="J8" t="str">
            <v>Purchase at list price</v>
          </cell>
          <cell r="K8" t="str">
            <v>Purchase at list price</v>
          </cell>
          <cell r="L8" t="str">
            <v>Purchase at list price</v>
          </cell>
          <cell r="M8" t="str">
            <v>Purchase at list price</v>
          </cell>
        </row>
        <row r="9">
          <cell r="A9">
            <v>15001</v>
          </cell>
          <cell r="C9" t="str">
            <v>RED-DS3R16-PAK</v>
          </cell>
          <cell r="D9" t="str">
            <v>Red 1:6 DS3 TSU (incl: 7xTSU-155, 6xDS3-LIU1-1N, 1xDS3-LIU1-316MUX, and 1xDS3-MID-316) ** avail Rel 1.1**</v>
          </cell>
          <cell r="E9">
            <v>270000</v>
          </cell>
          <cell r="F9" t="str">
            <v>C</v>
          </cell>
          <cell r="G9" t="str">
            <v>1 year</v>
          </cell>
          <cell r="I9">
            <v>18900</v>
          </cell>
          <cell r="J9">
            <v>21600</v>
          </cell>
          <cell r="K9">
            <v>32400</v>
          </cell>
          <cell r="L9">
            <v>45900</v>
          </cell>
          <cell r="M9">
            <v>13500</v>
          </cell>
        </row>
        <row r="10">
          <cell r="A10">
            <v>15002</v>
          </cell>
          <cell r="C10" t="str">
            <v>SPR-CE-PAK</v>
          </cell>
          <cell r="D10" t="str">
            <v>Common Equipment Spares Kit (includes one of: CP, SIU, TIU, HDU), to be ordered at initial order only</v>
          </cell>
          <cell r="E10">
            <v>40000</v>
          </cell>
          <cell r="F10" t="str">
            <v>C</v>
          </cell>
          <cell r="G10" t="str">
            <v>1 year</v>
          </cell>
          <cell r="I10">
            <v>2800</v>
          </cell>
          <cell r="J10">
            <v>3200</v>
          </cell>
          <cell r="K10">
            <v>4800</v>
          </cell>
        </row>
        <row r="11">
          <cell r="A11">
            <v>20000</v>
          </cell>
          <cell r="C11" t="str">
            <v>SPR-RACK</v>
          </cell>
          <cell r="D11" t="str">
            <v>Rack-mountable Spares Cabinet for 1 Chassis worth of Spares</v>
          </cell>
          <cell r="E11">
            <v>6000</v>
          </cell>
          <cell r="F11" t="str">
            <v>C</v>
          </cell>
          <cell r="G11" t="str">
            <v>1 year</v>
          </cell>
          <cell r="H11" t="str">
            <v>Purchase at list price</v>
          </cell>
          <cell r="I11" t="str">
            <v>Purchase at list price</v>
          </cell>
          <cell r="J11" t="str">
            <v>Purchase at list price</v>
          </cell>
          <cell r="K11" t="str">
            <v>Purchase at list price</v>
          </cell>
          <cell r="L11" t="str">
            <v>Purchase at list price</v>
          </cell>
          <cell r="M11" t="str">
            <v>Purchase at list price</v>
          </cell>
        </row>
        <row r="12">
          <cell r="A12">
            <v>20001</v>
          </cell>
          <cell r="D12" t="str">
            <v>Rear safety shield covers entire back of ICS2000 chassis</v>
          </cell>
          <cell r="E12">
            <v>240</v>
          </cell>
          <cell r="F12" t="str">
            <v>A</v>
          </cell>
          <cell r="G12" t="str">
            <v>1 year</v>
          </cell>
          <cell r="H12" t="str">
            <v>Purchase at list price</v>
          </cell>
          <cell r="I12" t="str">
            <v>Purchase at list price</v>
          </cell>
          <cell r="J12" t="str">
            <v>Purchase at list price</v>
          </cell>
          <cell r="K12" t="str">
            <v>Purchase at list price</v>
          </cell>
          <cell r="L12" t="str">
            <v>Purchase at list price</v>
          </cell>
          <cell r="M12" t="str">
            <v>Purchase at list price</v>
          </cell>
        </row>
        <row r="13">
          <cell r="A13">
            <v>21000</v>
          </cell>
          <cell r="B13">
            <v>435186</v>
          </cell>
          <cell r="C13" t="str">
            <v>CHS</v>
          </cell>
          <cell r="D13" t="str">
            <v>Chassis (includes bare chassis, DC power distribution, mid-plane, fan tray assemblies, and CD-ROM documentation)</v>
          </cell>
          <cell r="E13">
            <v>40549.5</v>
          </cell>
          <cell r="F13" t="str">
            <v>C</v>
          </cell>
          <cell r="G13" t="str">
            <v>1 year</v>
          </cell>
          <cell r="I13">
            <v>2838.4650000000001</v>
          </cell>
          <cell r="J13">
            <v>3243.96</v>
          </cell>
          <cell r="K13">
            <v>4865.9399999999996</v>
          </cell>
          <cell r="L13">
            <v>6893.4150000000009</v>
          </cell>
          <cell r="M13">
            <v>2027.4749999999999</v>
          </cell>
        </row>
        <row r="14">
          <cell r="A14">
            <v>23000</v>
          </cell>
          <cell r="C14" t="str">
            <v>RED-CHS-PAK</v>
          </cell>
          <cell r="D14" t="str">
            <v>Redundant Chassis (includes CHS plus two of CP, SIU, HDU, TIU)</v>
          </cell>
          <cell r="E14">
            <v>120000</v>
          </cell>
          <cell r="F14" t="str">
            <v>C</v>
          </cell>
          <cell r="G14" t="str">
            <v>1 year</v>
          </cell>
          <cell r="I14">
            <v>8400</v>
          </cell>
          <cell r="J14">
            <v>9600</v>
          </cell>
          <cell r="K14">
            <v>14400</v>
          </cell>
          <cell r="L14">
            <v>20400</v>
          </cell>
          <cell r="M14">
            <v>6000</v>
          </cell>
        </row>
        <row r="15">
          <cell r="A15">
            <v>29001</v>
          </cell>
          <cell r="D15" t="str">
            <v>Front Filler Panel</v>
          </cell>
          <cell r="E15">
            <v>100</v>
          </cell>
          <cell r="F15" t="str">
            <v>A</v>
          </cell>
          <cell r="G15" t="str">
            <v>1 year</v>
          </cell>
          <cell r="H15" t="str">
            <v>Purchase at list price</v>
          </cell>
          <cell r="I15" t="str">
            <v>Purchase at list price</v>
          </cell>
          <cell r="J15" t="str">
            <v>Purchase at list price</v>
          </cell>
          <cell r="K15" t="str">
            <v>Purchase at list price</v>
          </cell>
          <cell r="L15" t="str">
            <v>Purchase at list price</v>
          </cell>
          <cell r="M15" t="str">
            <v>Purchase at list price</v>
          </cell>
        </row>
        <row r="16">
          <cell r="A16">
            <v>29002</v>
          </cell>
          <cell r="D16" t="str">
            <v>Rear Filler Panel</v>
          </cell>
          <cell r="E16">
            <v>100</v>
          </cell>
          <cell r="F16" t="str">
            <v>A</v>
          </cell>
          <cell r="G16" t="str">
            <v>1 year</v>
          </cell>
          <cell r="H16" t="str">
            <v>Purchase at list price</v>
          </cell>
          <cell r="I16" t="str">
            <v>Purchase at list price</v>
          </cell>
          <cell r="J16" t="str">
            <v>Purchase at list price</v>
          </cell>
          <cell r="K16" t="str">
            <v>Purchase at list price</v>
          </cell>
          <cell r="L16" t="str">
            <v>Purchase at list price</v>
          </cell>
          <cell r="M16" t="str">
            <v>Purchase at list price</v>
          </cell>
        </row>
        <row r="17">
          <cell r="A17">
            <v>29003</v>
          </cell>
          <cell r="D17" t="str">
            <v>TIU Blank Panel</v>
          </cell>
          <cell r="E17">
            <v>100</v>
          </cell>
          <cell r="F17" t="str">
            <v>A</v>
          </cell>
          <cell r="G17" t="str">
            <v>1 year</v>
          </cell>
          <cell r="H17" t="str">
            <v>Purchase at list price</v>
          </cell>
          <cell r="I17" t="str">
            <v>Purchase at list price</v>
          </cell>
          <cell r="J17" t="str">
            <v>Purchase at list price</v>
          </cell>
          <cell r="K17" t="str">
            <v>Purchase at list price</v>
          </cell>
          <cell r="L17" t="str">
            <v>Purchase at list price</v>
          </cell>
          <cell r="M17" t="str">
            <v>Purchase at list price</v>
          </cell>
        </row>
        <row r="18">
          <cell r="A18">
            <v>29004</v>
          </cell>
          <cell r="D18" t="str">
            <v>SIU Blank Panel</v>
          </cell>
          <cell r="E18">
            <v>100</v>
          </cell>
          <cell r="F18" t="str">
            <v>A</v>
          </cell>
          <cell r="G18" t="str">
            <v>1 year</v>
          </cell>
          <cell r="H18" t="str">
            <v>Purchase at list price</v>
          </cell>
          <cell r="I18" t="str">
            <v>Purchase at list price</v>
          </cell>
          <cell r="J18" t="str">
            <v>Purchase at list price</v>
          </cell>
          <cell r="K18" t="str">
            <v>Purchase at list price</v>
          </cell>
          <cell r="L18" t="str">
            <v>Purchase at list price</v>
          </cell>
          <cell r="M18" t="str">
            <v>Purchase at list price</v>
          </cell>
        </row>
        <row r="19">
          <cell r="A19">
            <v>29005</v>
          </cell>
          <cell r="D19" t="str">
            <v>HDU Blank Panel</v>
          </cell>
          <cell r="E19">
            <v>100</v>
          </cell>
          <cell r="F19" t="str">
            <v>A</v>
          </cell>
          <cell r="G19" t="str">
            <v>1 year</v>
          </cell>
          <cell r="H19" t="str">
            <v>Purchase at list price</v>
          </cell>
          <cell r="I19" t="str">
            <v>Purchase at list price</v>
          </cell>
          <cell r="J19" t="str">
            <v>Purchase at list price</v>
          </cell>
          <cell r="K19" t="str">
            <v>Purchase at list price</v>
          </cell>
          <cell r="L19" t="str">
            <v>Purchase at list price</v>
          </cell>
          <cell r="M19" t="str">
            <v>Purchase at list price</v>
          </cell>
        </row>
        <row r="20">
          <cell r="A20">
            <v>30100</v>
          </cell>
          <cell r="B20">
            <v>262015</v>
          </cell>
          <cell r="C20" t="str">
            <v>TSU-155</v>
          </cell>
          <cell r="D20" t="str">
            <v>TDM Service Unit - 155M for OC3 or DS3 LIU1s</v>
          </cell>
          <cell r="E20">
            <v>41250</v>
          </cell>
          <cell r="F20" t="str">
            <v>C</v>
          </cell>
          <cell r="G20" t="str">
            <v>1 year</v>
          </cell>
          <cell r="I20">
            <v>2887.5</v>
          </cell>
          <cell r="J20">
            <v>3300</v>
          </cell>
          <cell r="K20">
            <v>4950</v>
          </cell>
          <cell r="L20">
            <v>7012.5</v>
          </cell>
          <cell r="M20">
            <v>2062.5</v>
          </cell>
        </row>
        <row r="21">
          <cell r="A21">
            <v>30201</v>
          </cell>
          <cell r="B21">
            <v>262016</v>
          </cell>
          <cell r="C21" t="str">
            <v>CP</v>
          </cell>
          <cell r="D21" t="str">
            <v>Control Processor Module</v>
          </cell>
          <cell r="E21">
            <v>44250</v>
          </cell>
          <cell r="F21" t="str">
            <v>C</v>
          </cell>
          <cell r="G21" t="str">
            <v>1 year</v>
          </cell>
          <cell r="I21">
            <v>3097.5</v>
          </cell>
          <cell r="J21">
            <v>3540</v>
          </cell>
          <cell r="K21">
            <v>5310</v>
          </cell>
          <cell r="L21">
            <v>7522.5</v>
          </cell>
          <cell r="M21">
            <v>2212.5</v>
          </cell>
        </row>
        <row r="22">
          <cell r="A22">
            <v>30300</v>
          </cell>
          <cell r="B22">
            <v>262017</v>
          </cell>
          <cell r="C22" t="str">
            <v>ASU-155</v>
          </cell>
          <cell r="D22" t="str">
            <v>ATM Service Unit - 155M for OC3 or DS3 LIU1s</v>
          </cell>
          <cell r="E22">
            <v>35700</v>
          </cell>
          <cell r="F22" t="str">
            <v>C</v>
          </cell>
          <cell r="G22" t="str">
            <v>1 year</v>
          </cell>
          <cell r="I22">
            <v>2499</v>
          </cell>
          <cell r="J22">
            <v>2856</v>
          </cell>
          <cell r="K22">
            <v>4284</v>
          </cell>
          <cell r="L22">
            <v>6069</v>
          </cell>
          <cell r="M22">
            <v>1785</v>
          </cell>
        </row>
        <row r="23">
          <cell r="A23">
            <v>30400</v>
          </cell>
          <cell r="B23">
            <v>262018</v>
          </cell>
          <cell r="C23" t="str">
            <v>SIU</v>
          </cell>
          <cell r="D23" t="str">
            <v xml:space="preserve">System Interface Unit </v>
          </cell>
          <cell r="E23">
            <v>2250</v>
          </cell>
          <cell r="F23" t="str">
            <v>C</v>
          </cell>
          <cell r="G23" t="str">
            <v>1 year</v>
          </cell>
          <cell r="I23">
            <v>157.5</v>
          </cell>
          <cell r="J23">
            <v>180</v>
          </cell>
          <cell r="K23">
            <v>270</v>
          </cell>
          <cell r="L23">
            <v>382.5</v>
          </cell>
          <cell r="M23">
            <v>112.5</v>
          </cell>
        </row>
        <row r="24">
          <cell r="A24">
            <v>30500</v>
          </cell>
          <cell r="B24">
            <v>262019</v>
          </cell>
          <cell r="C24" t="str">
            <v>TIU</v>
          </cell>
          <cell r="D24" t="str">
            <v>Timing Interface Unit</v>
          </cell>
          <cell r="E24">
            <v>8250</v>
          </cell>
          <cell r="F24" t="str">
            <v>C</v>
          </cell>
          <cell r="G24" t="str">
            <v>1 year</v>
          </cell>
          <cell r="I24">
            <v>577.5</v>
          </cell>
          <cell r="J24">
            <v>660</v>
          </cell>
          <cell r="K24">
            <v>990</v>
          </cell>
          <cell r="L24">
            <v>1402.5</v>
          </cell>
          <cell r="M24">
            <v>412.5</v>
          </cell>
        </row>
        <row r="25">
          <cell r="A25">
            <v>31000</v>
          </cell>
          <cell r="B25">
            <v>435185</v>
          </cell>
          <cell r="C25" t="str">
            <v>Fan Tray</v>
          </cell>
          <cell r="D25" t="str">
            <v>Fan Tray Assemblies</v>
          </cell>
          <cell r="E25">
            <v>7150</v>
          </cell>
          <cell r="F25" t="str">
            <v>C</v>
          </cell>
          <cell r="G25" t="str">
            <v>1 year</v>
          </cell>
          <cell r="H25" t="str">
            <v>Purchase at list price</v>
          </cell>
          <cell r="I25" t="str">
            <v>Purchase at list price</v>
          </cell>
          <cell r="J25" t="str">
            <v>Purchase at list price</v>
          </cell>
          <cell r="K25" t="str">
            <v>Purchase at list price</v>
          </cell>
          <cell r="L25" t="str">
            <v>Purchase at list price</v>
          </cell>
          <cell r="M25" t="str">
            <v>Purchase at list price</v>
          </cell>
        </row>
        <row r="26">
          <cell r="A26">
            <v>31200</v>
          </cell>
          <cell r="C26" t="str">
            <v>TSP</v>
          </cell>
          <cell r="D26" t="str">
            <v>Time Slot Processor **available Rel 2.x, includes the following software:- G.711 Codec- Echo Cancellation (G.168)- Tone Generation / Detection</v>
          </cell>
          <cell r="E26">
            <v>50000</v>
          </cell>
          <cell r="F26" t="str">
            <v>C</v>
          </cell>
          <cell r="G26" t="str">
            <v>1 year</v>
          </cell>
          <cell r="H26">
            <v>1500</v>
          </cell>
          <cell r="I26">
            <v>3000</v>
          </cell>
          <cell r="J26">
            <v>4000</v>
          </cell>
          <cell r="K26">
            <v>6000</v>
          </cell>
          <cell r="L26">
            <v>8500</v>
          </cell>
          <cell r="M26">
            <v>2500</v>
          </cell>
        </row>
        <row r="27">
          <cell r="A27">
            <v>31400</v>
          </cell>
          <cell r="C27" t="str">
            <v>ASU-622</v>
          </cell>
          <cell r="D27" t="str">
            <v>ATM Service Unit - 622M for QuadOC3/OC12 LIU2s   **available Rel 1.1**</v>
          </cell>
          <cell r="E27">
            <v>49000</v>
          </cell>
          <cell r="F27" t="str">
            <v>C</v>
          </cell>
          <cell r="G27" t="str">
            <v>1 year</v>
          </cell>
          <cell r="I27">
            <v>3430</v>
          </cell>
          <cell r="J27">
            <v>3920</v>
          </cell>
          <cell r="K27">
            <v>5880</v>
          </cell>
          <cell r="L27">
            <v>8330</v>
          </cell>
          <cell r="M27">
            <v>2450</v>
          </cell>
        </row>
        <row r="28">
          <cell r="A28">
            <v>31700</v>
          </cell>
          <cell r="B28">
            <v>262021</v>
          </cell>
          <cell r="C28" t="str">
            <v>HDU</v>
          </cell>
          <cell r="D28" t="str">
            <v>Hard Drive Unit</v>
          </cell>
          <cell r="E28">
            <v>4100</v>
          </cell>
          <cell r="F28" t="str">
            <v>C</v>
          </cell>
          <cell r="G28" t="str">
            <v>1 year</v>
          </cell>
          <cell r="I28">
            <v>287</v>
          </cell>
          <cell r="J28">
            <v>328</v>
          </cell>
          <cell r="K28">
            <v>492</v>
          </cell>
          <cell r="L28">
            <v>697</v>
          </cell>
          <cell r="M28">
            <v>205</v>
          </cell>
        </row>
        <row r="29">
          <cell r="A29">
            <v>32802</v>
          </cell>
          <cell r="B29">
            <v>262030</v>
          </cell>
          <cell r="C29" t="str">
            <v>OC3-LIM1-SMIR</v>
          </cell>
          <cell r="D29" t="str">
            <v>OC3 Line Interface Module, Single Mode/Intermediate Range, use two per OC3 LIU1</v>
          </cell>
          <cell r="E29">
            <v>3750</v>
          </cell>
          <cell r="F29" t="str">
            <v>C</v>
          </cell>
          <cell r="G29" t="str">
            <v>1 year</v>
          </cell>
          <cell r="I29">
            <v>187.5</v>
          </cell>
          <cell r="J29">
            <v>225</v>
          </cell>
          <cell r="K29">
            <v>375</v>
          </cell>
          <cell r="L29">
            <v>562.5</v>
          </cell>
          <cell r="M29">
            <v>112.5</v>
          </cell>
        </row>
        <row r="30">
          <cell r="A30">
            <v>33100</v>
          </cell>
          <cell r="C30" t="str">
            <v>DS3-MID-316</v>
          </cell>
          <cell r="D30" t="str">
            <v>1:N Midplane (for use with 34400 and 33300 only)</v>
          </cell>
          <cell r="E30">
            <v>3800</v>
          </cell>
          <cell r="F30" t="str">
            <v>C</v>
          </cell>
          <cell r="G30" t="str">
            <v>1 year</v>
          </cell>
          <cell r="I30">
            <v>190</v>
          </cell>
          <cell r="J30">
            <v>228</v>
          </cell>
          <cell r="K30">
            <v>380</v>
          </cell>
          <cell r="L30">
            <v>570</v>
          </cell>
          <cell r="M30">
            <v>114</v>
          </cell>
        </row>
        <row r="31">
          <cell r="A31">
            <v>33300</v>
          </cell>
          <cell r="C31" t="str">
            <v>DS3-LIU1-316MUX</v>
          </cell>
          <cell r="D31" t="str">
            <v>1:6 Redundant DS3 Line Interface Unit Mux Card for 1:N DS3 LIU's (34400's) and Midplane (33100)</v>
          </cell>
          <cell r="E31">
            <v>3500</v>
          </cell>
          <cell r="F31" t="str">
            <v>C</v>
          </cell>
          <cell r="G31" t="str">
            <v>1 year</v>
          </cell>
          <cell r="I31">
            <v>175</v>
          </cell>
          <cell r="J31">
            <v>210</v>
          </cell>
          <cell r="K31">
            <v>350</v>
          </cell>
          <cell r="L31">
            <v>525</v>
          </cell>
          <cell r="M31">
            <v>105</v>
          </cell>
        </row>
        <row r="32">
          <cell r="A32">
            <v>33500</v>
          </cell>
          <cell r="C32" t="str">
            <v>OC3/12-LIU2-4</v>
          </cell>
          <cell r="D32" t="str">
            <v>Dual OC3/OC12 Line Interface Unit, APS, use with LIM2 **available Rel 1.1**</v>
          </cell>
          <cell r="E32">
            <v>4100</v>
          </cell>
          <cell r="F32" t="str">
            <v>C</v>
          </cell>
          <cell r="G32" t="str">
            <v>1 year</v>
          </cell>
          <cell r="I32">
            <v>205</v>
          </cell>
          <cell r="J32">
            <v>246</v>
          </cell>
          <cell r="K32">
            <v>410</v>
          </cell>
          <cell r="L32">
            <v>615</v>
          </cell>
          <cell r="M32">
            <v>123</v>
          </cell>
        </row>
        <row r="33">
          <cell r="A33">
            <v>33600</v>
          </cell>
          <cell r="C33" t="str">
            <v>OC3/12-LIU2-8R</v>
          </cell>
          <cell r="D33" t="str">
            <v>Quad OC3/OC12 Line Interface Unit, Redundant, APS, use with LIM2  ** available Rel 1.1**</v>
          </cell>
          <cell r="E33">
            <v>4850</v>
          </cell>
          <cell r="F33" t="str">
            <v>C</v>
          </cell>
          <cell r="G33" t="str">
            <v>1 year</v>
          </cell>
          <cell r="I33">
            <v>242.5</v>
          </cell>
          <cell r="J33">
            <v>291</v>
          </cell>
          <cell r="K33">
            <v>485</v>
          </cell>
          <cell r="L33">
            <v>727.5</v>
          </cell>
          <cell r="M33">
            <v>145.5</v>
          </cell>
        </row>
        <row r="34">
          <cell r="A34">
            <v>33700</v>
          </cell>
          <cell r="C34" t="str">
            <v>OC12-LIM2-SMIR</v>
          </cell>
          <cell r="D34" t="str">
            <v>OC12 Line Interface Module, Single Mode/Intermediate Range, use with LIU2  **available Rel 1.1**</v>
          </cell>
          <cell r="E34">
            <v>3750</v>
          </cell>
          <cell r="F34" t="str">
            <v>C</v>
          </cell>
          <cell r="G34" t="str">
            <v>1 year</v>
          </cell>
          <cell r="I34">
            <v>187.5</v>
          </cell>
          <cell r="J34">
            <v>225</v>
          </cell>
          <cell r="K34">
            <v>375</v>
          </cell>
          <cell r="L34">
            <v>562.5</v>
          </cell>
          <cell r="M34">
            <v>112.5</v>
          </cell>
        </row>
        <row r="35">
          <cell r="A35">
            <v>33900</v>
          </cell>
          <cell r="C35" t="str">
            <v>OC3-LIM2-SMIR</v>
          </cell>
          <cell r="D35" t="str">
            <v>OC3 Line Interface Module, Single Mode/Intermediate Range, use with LIU2 **available Rel 1.1**</v>
          </cell>
          <cell r="E35">
            <v>3750</v>
          </cell>
          <cell r="F35" t="str">
            <v>C</v>
          </cell>
          <cell r="G35" t="str">
            <v>1 year</v>
          </cell>
          <cell r="I35">
            <v>187.5</v>
          </cell>
          <cell r="J35">
            <v>225</v>
          </cell>
          <cell r="K35">
            <v>375</v>
          </cell>
          <cell r="L35">
            <v>562.5</v>
          </cell>
          <cell r="M35">
            <v>112.5</v>
          </cell>
        </row>
        <row r="36">
          <cell r="A36">
            <v>34000</v>
          </cell>
          <cell r="B36">
            <v>262023</v>
          </cell>
          <cell r="C36" t="str">
            <v>DS3-LIU1-3</v>
          </cell>
          <cell r="D36" t="str">
            <v>DS3 Line Interface Unit, 3 port BNC (formerly 30603)</v>
          </cell>
          <cell r="E36">
            <v>7299.5</v>
          </cell>
          <cell r="F36" t="str">
            <v>C</v>
          </cell>
          <cell r="G36" t="str">
            <v>1 year</v>
          </cell>
          <cell r="I36">
            <v>364.97500000000002</v>
          </cell>
          <cell r="J36">
            <v>437.97</v>
          </cell>
          <cell r="K36">
            <v>729.95</v>
          </cell>
          <cell r="L36">
            <v>1094.925</v>
          </cell>
          <cell r="M36">
            <v>218.98500000000001</v>
          </cell>
        </row>
        <row r="37">
          <cell r="A37">
            <v>34100</v>
          </cell>
          <cell r="B37">
            <v>262027</v>
          </cell>
          <cell r="C37" t="str">
            <v>DS3-LIU1-3R</v>
          </cell>
          <cell r="D37" t="str">
            <v>1:1 Redundant DS3 Line Interface Unit, 3 port BNC (formerly 32103)</v>
          </cell>
          <cell r="E37">
            <v>8799.5</v>
          </cell>
          <cell r="F37" t="str">
            <v>C</v>
          </cell>
          <cell r="G37" t="str">
            <v>1 year</v>
          </cell>
          <cell r="I37">
            <v>439.97500000000002</v>
          </cell>
          <cell r="J37">
            <v>527.97</v>
          </cell>
          <cell r="K37">
            <v>879.95</v>
          </cell>
          <cell r="L37">
            <v>1319.925</v>
          </cell>
          <cell r="M37">
            <v>263.98500000000001</v>
          </cell>
        </row>
        <row r="38">
          <cell r="A38">
            <v>34200</v>
          </cell>
          <cell r="B38">
            <v>262026</v>
          </cell>
          <cell r="C38" t="str">
            <v>OC3-LIU1-1</v>
          </cell>
          <cell r="D38" t="str">
            <v>OC3 Line Interface Unit, 1+1 APS (formerly 30702) ** APS available Rel 1.1**</v>
          </cell>
          <cell r="E38">
            <v>4100</v>
          </cell>
          <cell r="F38" t="str">
            <v>C</v>
          </cell>
          <cell r="G38" t="str">
            <v>1 year</v>
          </cell>
          <cell r="I38">
            <v>205</v>
          </cell>
          <cell r="J38">
            <v>246</v>
          </cell>
          <cell r="K38">
            <v>410</v>
          </cell>
          <cell r="L38">
            <v>615</v>
          </cell>
          <cell r="M38">
            <v>123</v>
          </cell>
        </row>
        <row r="39">
          <cell r="A39">
            <v>34300</v>
          </cell>
          <cell r="B39">
            <v>262028</v>
          </cell>
          <cell r="C39" t="str">
            <v>OC3-LIU1-1R</v>
          </cell>
          <cell r="D39" t="str">
            <v>1:1 Redundant OC3 Line Interface Unit, 1+1 APS (formerly 32202) ** APS available Rel 1.1**</v>
          </cell>
          <cell r="E39">
            <v>4850</v>
          </cell>
          <cell r="F39" t="str">
            <v>C</v>
          </cell>
          <cell r="G39" t="str">
            <v>1 year</v>
          </cell>
          <cell r="I39">
            <v>242.5</v>
          </cell>
          <cell r="J39">
            <v>291</v>
          </cell>
          <cell r="K39">
            <v>485</v>
          </cell>
          <cell r="L39">
            <v>727.5</v>
          </cell>
          <cell r="M39">
            <v>145.5</v>
          </cell>
        </row>
        <row r="40">
          <cell r="A40">
            <v>34400</v>
          </cell>
          <cell r="C40" t="str">
            <v>DS3-LIU1-31N</v>
          </cell>
          <cell r="D40" t="str">
            <v>1:N Redundant DS3 Line Interface Unit, 3 port BNC ** available Rel 1.1**</v>
          </cell>
          <cell r="E40">
            <v>7300</v>
          </cell>
          <cell r="F40" t="str">
            <v>C</v>
          </cell>
          <cell r="G40" t="str">
            <v>1 year</v>
          </cell>
          <cell r="I40">
            <v>365</v>
          </cell>
          <cell r="J40">
            <v>438</v>
          </cell>
          <cell r="K40">
            <v>730</v>
          </cell>
          <cell r="L40">
            <v>1095</v>
          </cell>
          <cell r="M40">
            <v>219</v>
          </cell>
        </row>
        <row r="41">
          <cell r="A41">
            <v>40001</v>
          </cell>
          <cell r="C41" t="str">
            <v>ICSG-DUP-T1</v>
          </cell>
          <cell r="D41" t="str">
            <v>DUPLEX Signaling Gateway Base Software (Multi-Switch, T1 Link Drivers) ~ redundant license, runs on two SUN Netra platforms</v>
          </cell>
          <cell r="E41">
            <v>100000</v>
          </cell>
          <cell r="F41" t="str">
            <v>A</v>
          </cell>
          <cell r="G41" t="str">
            <v>90 days</v>
          </cell>
          <cell r="H41" t="str">
            <v>?</v>
          </cell>
          <cell r="I41" t="str">
            <v>?</v>
          </cell>
          <cell r="J41" t="str">
            <v>?</v>
          </cell>
          <cell r="K41" t="str">
            <v>?</v>
          </cell>
          <cell r="L41" t="str">
            <v>?</v>
          </cell>
          <cell r="M41" t="str">
            <v>?</v>
          </cell>
        </row>
        <row r="42">
          <cell r="A42">
            <v>40002</v>
          </cell>
          <cell r="D42" t="str">
            <v>ICView BMP Current Release with Documentation</v>
          </cell>
          <cell r="E42">
            <v>15000</v>
          </cell>
          <cell r="F42" t="str">
            <v>A</v>
          </cell>
          <cell r="G42" t="str">
            <v>90 days</v>
          </cell>
          <cell r="H42">
            <v>450</v>
          </cell>
          <cell r="I42">
            <v>600</v>
          </cell>
          <cell r="J42">
            <v>600</v>
          </cell>
          <cell r="K42">
            <v>600</v>
          </cell>
          <cell r="L42">
            <v>600</v>
          </cell>
          <cell r="M42">
            <v>600</v>
          </cell>
        </row>
        <row r="43">
          <cell r="A43">
            <v>40004</v>
          </cell>
          <cell r="D43" t="str">
            <v>ICView EMS Base Software plus full documentation, Current Release per ICView Management System</v>
          </cell>
          <cell r="E43">
            <v>23000</v>
          </cell>
          <cell r="F43" t="str">
            <v>C</v>
          </cell>
          <cell r="G43" t="str">
            <v>90 days</v>
          </cell>
          <cell r="H43">
            <v>690</v>
          </cell>
          <cell r="I43">
            <v>920</v>
          </cell>
          <cell r="J43">
            <v>920</v>
          </cell>
          <cell r="K43">
            <v>920</v>
          </cell>
          <cell r="L43">
            <v>920</v>
          </cell>
          <cell r="M43">
            <v>920</v>
          </cell>
        </row>
        <row r="44">
          <cell r="A44">
            <v>40006</v>
          </cell>
          <cell r="C44" t="str">
            <v>TSP-G726</v>
          </cell>
          <cell r="D44" t="str">
            <v>G.726 Codec (per TSP)</v>
          </cell>
          <cell r="E44">
            <v>10000</v>
          </cell>
          <cell r="F44" t="str">
            <v>A</v>
          </cell>
          <cell r="G44" t="str">
            <v>1 year</v>
          </cell>
          <cell r="H44">
            <v>300</v>
          </cell>
          <cell r="I44">
            <v>600</v>
          </cell>
          <cell r="J44">
            <v>800</v>
          </cell>
          <cell r="K44">
            <v>1200</v>
          </cell>
          <cell r="L44">
            <v>1700</v>
          </cell>
          <cell r="M44">
            <v>500</v>
          </cell>
        </row>
        <row r="45">
          <cell r="A45">
            <v>40008</v>
          </cell>
          <cell r="C45" t="str">
            <v>ICSG-DUP-V35</v>
          </cell>
          <cell r="D45" t="str">
            <v>DUPLEX Signaling Gateway Base Software (Multi-Switch, V.35 Link Drivers) ~ redundant license, runs on two SUN Netra platforms</v>
          </cell>
          <cell r="E45">
            <v>100000</v>
          </cell>
          <cell r="F45" t="str">
            <v>A</v>
          </cell>
          <cell r="G45" t="str">
            <v>90 days</v>
          </cell>
          <cell r="H45" t="str">
            <v>?</v>
          </cell>
          <cell r="I45" t="str">
            <v>?</v>
          </cell>
          <cell r="J45" t="str">
            <v>?</v>
          </cell>
          <cell r="K45" t="str">
            <v>?</v>
          </cell>
          <cell r="L45" t="str">
            <v>?</v>
          </cell>
          <cell r="M45" t="str">
            <v>?</v>
          </cell>
        </row>
        <row r="46">
          <cell r="A46">
            <v>40009</v>
          </cell>
          <cell r="C46" t="str">
            <v>ICSG-DUP-S-T1</v>
          </cell>
          <cell r="D46" t="str">
            <v xml:space="preserve">DUPLEX Signaling Gateway Base Software (Single or Dual Switch, T1 Link Drivers) ~ redundant license, runs on two SUN Netra platforms. </v>
          </cell>
          <cell r="E46">
            <v>40000</v>
          </cell>
          <cell r="F46" t="str">
            <v>A</v>
          </cell>
          <cell r="G46" t="str">
            <v>90 days</v>
          </cell>
          <cell r="H46" t="str">
            <v>?</v>
          </cell>
          <cell r="I46" t="str">
            <v>?</v>
          </cell>
          <cell r="J46" t="str">
            <v>?</v>
          </cell>
          <cell r="K46" t="str">
            <v>?</v>
          </cell>
          <cell r="L46" t="str">
            <v>?</v>
          </cell>
          <cell r="M46" t="str">
            <v>?</v>
          </cell>
        </row>
        <row r="47">
          <cell r="A47">
            <v>40010</v>
          </cell>
          <cell r="C47" t="str">
            <v>ICSG-DUP-S-V35</v>
          </cell>
          <cell r="D47" t="str">
            <v>DUPLEX Signaling Gateway Base Software (Single or Dual Switch, V.35 Link Drivers) ~ redundant license, runs on two SUN Netra platforms</v>
          </cell>
          <cell r="E47">
            <v>40000</v>
          </cell>
          <cell r="F47" t="str">
            <v>A</v>
          </cell>
          <cell r="G47" t="str">
            <v>90 days</v>
          </cell>
          <cell r="H47" t="str">
            <v>?</v>
          </cell>
          <cell r="I47" t="str">
            <v>?</v>
          </cell>
          <cell r="J47" t="str">
            <v>?</v>
          </cell>
          <cell r="K47" t="str">
            <v>?</v>
          </cell>
          <cell r="L47" t="str">
            <v>?</v>
          </cell>
          <cell r="M47" t="str">
            <v>?</v>
          </cell>
        </row>
        <row r="48">
          <cell r="A48">
            <v>40011</v>
          </cell>
          <cell r="C48" t="str">
            <v>ICSG-DUP-S-UPG</v>
          </cell>
          <cell r="D48" t="str">
            <v>DUPLEX Signaling Gateway Multi-Switch Upgrade for 40009 or 40010</v>
          </cell>
          <cell r="E48">
            <v>60000</v>
          </cell>
          <cell r="F48" t="str">
            <v>A</v>
          </cell>
          <cell r="G48" t="str">
            <v>90 days</v>
          </cell>
          <cell r="H48" t="str">
            <v>?</v>
          </cell>
          <cell r="I48" t="str">
            <v>?</v>
          </cell>
          <cell r="J48" t="str">
            <v>?</v>
          </cell>
          <cell r="K48" t="str">
            <v>?</v>
          </cell>
          <cell r="L48" t="str">
            <v>?</v>
          </cell>
          <cell r="M48" t="str">
            <v>?</v>
          </cell>
        </row>
        <row r="49">
          <cell r="A49">
            <v>42000</v>
          </cell>
          <cell r="D49" t="str">
            <v>ICS2000 Base System Software, Current Release per chassis</v>
          </cell>
          <cell r="E49">
            <v>2500</v>
          </cell>
          <cell r="F49" t="str">
            <v>C</v>
          </cell>
          <cell r="G49" t="str">
            <v>90 days</v>
          </cell>
          <cell r="H49">
            <v>2500</v>
          </cell>
          <cell r="I49" t="str">
            <v xml:space="preserve">Included </v>
          </cell>
          <cell r="J49" t="str">
            <v xml:space="preserve">Included </v>
          </cell>
          <cell r="K49" t="str">
            <v xml:space="preserve">Included </v>
          </cell>
          <cell r="L49" t="str">
            <v xml:space="preserve">Included </v>
          </cell>
          <cell r="M49" t="str">
            <v xml:space="preserve">Included </v>
          </cell>
        </row>
        <row r="50">
          <cell r="A50">
            <v>44001</v>
          </cell>
          <cell r="D50" t="str">
            <v>ICS2000 Base System Software, Current Release - Enterprise License</v>
          </cell>
          <cell r="E50">
            <v>1000000</v>
          </cell>
          <cell r="F50" t="str">
            <v>A</v>
          </cell>
          <cell r="G50" t="str">
            <v>90 days</v>
          </cell>
          <cell r="H50">
            <v>30000</v>
          </cell>
          <cell r="I50" t="str">
            <v xml:space="preserve">Included </v>
          </cell>
          <cell r="J50" t="str">
            <v xml:space="preserve">Included </v>
          </cell>
          <cell r="K50" t="str">
            <v xml:space="preserve">Included </v>
          </cell>
          <cell r="L50" t="str">
            <v xml:space="preserve">Included </v>
          </cell>
          <cell r="M50" t="str">
            <v xml:space="preserve">Included </v>
          </cell>
        </row>
        <row r="51">
          <cell r="A51">
            <v>50003</v>
          </cell>
          <cell r="D51" t="str">
            <v>SUN Enterprise 450, floor-standing SMG platform option (order link cards separately)</v>
          </cell>
          <cell r="E51">
            <v>24150</v>
          </cell>
          <cell r="F51" t="str">
            <v>A</v>
          </cell>
          <cell r="G51" t="str">
            <v>1 year</v>
          </cell>
          <cell r="H51" t="str">
            <v>?</v>
          </cell>
          <cell r="I51" t="str">
            <v>?</v>
          </cell>
          <cell r="J51" t="str">
            <v>?</v>
          </cell>
          <cell r="K51" t="str">
            <v>?</v>
          </cell>
          <cell r="L51" t="str">
            <v>?</v>
          </cell>
          <cell r="M51" t="str">
            <v>?</v>
          </cell>
        </row>
        <row r="52">
          <cell r="A52">
            <v>50006</v>
          </cell>
          <cell r="D52" t="str">
            <v>Netra ICSG for T1 (includes Ethernet Card &amp;1 8-link, single-port T1 Card)</v>
          </cell>
          <cell r="E52">
            <v>33400</v>
          </cell>
          <cell r="F52" t="str">
            <v>A</v>
          </cell>
          <cell r="G52" t="str">
            <v>1 year</v>
          </cell>
          <cell r="H52" t="str">
            <v>?</v>
          </cell>
          <cell r="I52" t="str">
            <v>?</v>
          </cell>
          <cell r="J52" t="str">
            <v>?</v>
          </cell>
          <cell r="K52" t="str">
            <v>?</v>
          </cell>
          <cell r="L52" t="str">
            <v>?</v>
          </cell>
          <cell r="M52" t="str">
            <v>?</v>
          </cell>
        </row>
        <row r="53">
          <cell r="A53">
            <v>50007</v>
          </cell>
          <cell r="D53" t="str">
            <v>Netra ICSG for V.35 (includes Ethernet Card,1 2xV.35 Link Card)</v>
          </cell>
          <cell r="E53">
            <v>25450</v>
          </cell>
          <cell r="F53" t="str">
            <v>A</v>
          </cell>
          <cell r="G53" t="str">
            <v>1 year</v>
          </cell>
          <cell r="H53" t="str">
            <v>?</v>
          </cell>
          <cell r="I53" t="str">
            <v>?</v>
          </cell>
          <cell r="J53" t="str">
            <v>?</v>
          </cell>
          <cell r="K53" t="str">
            <v>?</v>
          </cell>
          <cell r="L53" t="str">
            <v>?</v>
          </cell>
          <cell r="M53" t="str">
            <v>?</v>
          </cell>
        </row>
        <row r="54">
          <cell r="A54">
            <v>51002</v>
          </cell>
          <cell r="D54" t="str">
            <v>8-link, single-port T1 PCI Card</v>
          </cell>
          <cell r="E54">
            <v>17250</v>
          </cell>
          <cell r="F54" t="str">
            <v>A</v>
          </cell>
          <cell r="G54" t="str">
            <v>1 year</v>
          </cell>
          <cell r="H54" t="str">
            <v>?</v>
          </cell>
          <cell r="I54" t="str">
            <v>?</v>
          </cell>
          <cell r="J54" t="str">
            <v>?</v>
          </cell>
          <cell r="K54" t="str">
            <v>?</v>
          </cell>
          <cell r="L54" t="str">
            <v>?</v>
          </cell>
          <cell r="M54" t="str">
            <v>?</v>
          </cell>
        </row>
        <row r="55">
          <cell r="A55">
            <v>51003</v>
          </cell>
          <cell r="D55" t="str">
            <v>10/100 BaseT PCI Card</v>
          </cell>
          <cell r="E55">
            <v>1150</v>
          </cell>
          <cell r="F55" t="str">
            <v>A</v>
          </cell>
          <cell r="G55" t="str">
            <v>1 year</v>
          </cell>
          <cell r="H55" t="str">
            <v>?</v>
          </cell>
          <cell r="I55" t="str">
            <v>?</v>
          </cell>
          <cell r="J55" t="str">
            <v>?</v>
          </cell>
          <cell r="K55" t="str">
            <v>?</v>
          </cell>
          <cell r="L55" t="str">
            <v>?</v>
          </cell>
          <cell r="M55" t="str">
            <v>?</v>
          </cell>
        </row>
        <row r="56">
          <cell r="A56">
            <v>51005</v>
          </cell>
          <cell r="D56" t="str">
            <v>2xV.35 Link PCI Card</v>
          </cell>
          <cell r="E56">
            <v>9300</v>
          </cell>
          <cell r="F56" t="str">
            <v>A</v>
          </cell>
          <cell r="G56" t="str">
            <v>1 year</v>
          </cell>
          <cell r="H56" t="str">
            <v>?</v>
          </cell>
          <cell r="I56" t="str">
            <v>?</v>
          </cell>
          <cell r="J56" t="str">
            <v>?</v>
          </cell>
          <cell r="K56" t="str">
            <v>?</v>
          </cell>
          <cell r="L56" t="str">
            <v>?</v>
          </cell>
          <cell r="M56" t="str">
            <v>?</v>
          </cell>
        </row>
        <row r="57">
          <cell r="A57">
            <v>60100</v>
          </cell>
          <cell r="D57" t="str">
            <v>Standard Installation Services</v>
          </cell>
          <cell r="E57" t="str">
            <v>6% Net + T&amp;E</v>
          </cell>
          <cell r="F57" t="str">
            <v>A</v>
          </cell>
          <cell r="H57" t="str">
            <v>A</v>
          </cell>
          <cell r="I57" t="str">
            <v>A</v>
          </cell>
          <cell r="J57" t="str">
            <v>6% Net + T&amp;E</v>
          </cell>
          <cell r="L57" t="str">
            <v>A</v>
          </cell>
          <cell r="M57" t="str">
            <v>6% Net + T&amp;E</v>
          </cell>
        </row>
        <row r="58">
          <cell r="A58">
            <v>60200</v>
          </cell>
          <cell r="D58" t="str">
            <v>Premium Installation Services (full EF&amp;I services, including electrical, cabling, and rackwork as needed)</v>
          </cell>
          <cell r="E58" t="str">
            <v>Custom Quote</v>
          </cell>
          <cell r="F58" t="str">
            <v>A</v>
          </cell>
          <cell r="H58" t="str">
            <v>A</v>
          </cell>
          <cell r="I58" t="str">
            <v>A</v>
          </cell>
          <cell r="J58" t="str">
            <v>Custom Quote</v>
          </cell>
          <cell r="L58" t="str">
            <v>A</v>
          </cell>
          <cell r="M58" t="str">
            <v>Custom Quote</v>
          </cell>
        </row>
        <row r="59">
          <cell r="A59">
            <v>61100</v>
          </cell>
          <cell r="D59" t="str">
            <v>Extended Warranty</v>
          </cell>
          <cell r="E59" t="str">
            <v>3% net</v>
          </cell>
          <cell r="F59" t="str">
            <v>A</v>
          </cell>
          <cell r="H59" t="str">
            <v>A</v>
          </cell>
          <cell r="I59" t="str">
            <v>A</v>
          </cell>
          <cell r="J59" t="str">
            <v>3% net</v>
          </cell>
          <cell r="L59" t="str">
            <v>A</v>
          </cell>
          <cell r="M59" t="str">
            <v>3% net</v>
          </cell>
        </row>
        <row r="60">
          <cell r="A60">
            <v>61101</v>
          </cell>
          <cell r="D60" t="str">
            <v>Basic Support</v>
          </cell>
          <cell r="E60" t="str">
            <v>5% net</v>
          </cell>
          <cell r="F60" t="str">
            <v>A</v>
          </cell>
          <cell r="H60" t="str">
            <v>A</v>
          </cell>
          <cell r="I60" t="str">
            <v>A</v>
          </cell>
          <cell r="J60" t="str">
            <v>5% net</v>
          </cell>
          <cell r="L60" t="str">
            <v>A</v>
          </cell>
          <cell r="M60" t="str">
            <v>5% net</v>
          </cell>
        </row>
        <row r="61">
          <cell r="A61">
            <v>61102</v>
          </cell>
          <cell r="D61" t="str">
            <v>Premium Support</v>
          </cell>
          <cell r="E61" t="str">
            <v>12% net</v>
          </cell>
          <cell r="F61" t="str">
            <v>A</v>
          </cell>
          <cell r="H61" t="str">
            <v>A</v>
          </cell>
          <cell r="I61" t="str">
            <v>A</v>
          </cell>
          <cell r="J61" t="str">
            <v>12% net</v>
          </cell>
          <cell r="L61" t="str">
            <v>A</v>
          </cell>
          <cell r="M61" t="str">
            <v>12% net</v>
          </cell>
        </row>
        <row r="62">
          <cell r="A62">
            <v>62100</v>
          </cell>
          <cell r="D62" t="str">
            <v>Software Support</v>
          </cell>
          <cell r="E62" t="str">
            <v>3% net</v>
          </cell>
          <cell r="F62" t="str">
            <v>A</v>
          </cell>
          <cell r="H62" t="str">
            <v>A</v>
          </cell>
          <cell r="I62" t="str">
            <v>A</v>
          </cell>
          <cell r="J62" t="str">
            <v>3% net</v>
          </cell>
          <cell r="L62" t="str">
            <v>A</v>
          </cell>
          <cell r="M62" t="str">
            <v>3% net</v>
          </cell>
        </row>
        <row r="63">
          <cell r="A63">
            <v>63100</v>
          </cell>
          <cell r="D63" t="str">
            <v>Installation, Operations &amp; Maintenance, Convergent facility</v>
          </cell>
          <cell r="E63" t="str">
            <v>$2750 per student</v>
          </cell>
          <cell r="F63" t="str">
            <v>A</v>
          </cell>
          <cell r="H63" t="str">
            <v>A</v>
          </cell>
          <cell r="I63" t="str">
            <v>A</v>
          </cell>
          <cell r="J63" t="str">
            <v>$2750 per student</v>
          </cell>
          <cell r="L63" t="str">
            <v>A</v>
          </cell>
          <cell r="M63" t="str">
            <v>$2750 per student</v>
          </cell>
        </row>
        <row r="64">
          <cell r="A64">
            <v>68100</v>
          </cell>
          <cell r="D64" t="str">
            <v>Weekday Standard Business Hours (4 hour minimum)</v>
          </cell>
          <cell r="E64" t="str">
            <v>$250/hr + T&amp;E</v>
          </cell>
          <cell r="F64" t="str">
            <v>A</v>
          </cell>
          <cell r="H64" t="str">
            <v>A</v>
          </cell>
          <cell r="I64" t="str">
            <v>A</v>
          </cell>
          <cell r="J64" t="str">
            <v>$250/hr + T&amp;E</v>
          </cell>
          <cell r="L64" t="str">
            <v>A</v>
          </cell>
          <cell r="M64" t="str">
            <v>$250/hr + T&amp;E</v>
          </cell>
        </row>
        <row r="65">
          <cell r="A65">
            <v>68200</v>
          </cell>
          <cell r="D65" t="str">
            <v>Weekday Non-Standard Business Hours (4 hour minimum)</v>
          </cell>
          <cell r="E65" t="str">
            <v>$375/hr + T&amp;E</v>
          </cell>
          <cell r="F65" t="str">
            <v>A</v>
          </cell>
          <cell r="H65" t="str">
            <v>A</v>
          </cell>
          <cell r="I65" t="str">
            <v>A</v>
          </cell>
          <cell r="J65" t="str">
            <v>$375/hr + T&amp;E</v>
          </cell>
          <cell r="L65" t="str">
            <v>A</v>
          </cell>
          <cell r="M65" t="str">
            <v>$375/hr + T&amp;E</v>
          </cell>
        </row>
        <row r="66">
          <cell r="A66">
            <v>68300</v>
          </cell>
          <cell r="D66" t="str">
            <v>Weekend Hours (4 hour minimum)</v>
          </cell>
          <cell r="E66" t="str">
            <v>$500/hr + T&amp;E</v>
          </cell>
          <cell r="F66" t="str">
            <v>A</v>
          </cell>
          <cell r="H66" t="str">
            <v>A</v>
          </cell>
          <cell r="I66" t="str">
            <v>A</v>
          </cell>
          <cell r="J66" t="str">
            <v>$500/hr + T&amp;E</v>
          </cell>
          <cell r="L66" t="str">
            <v>A</v>
          </cell>
          <cell r="M66" t="str">
            <v>$500/hr + T&amp;E</v>
          </cell>
        </row>
        <row r="67">
          <cell r="A67">
            <v>68400</v>
          </cell>
          <cell r="D67" t="str">
            <v>Holiday Coverage</v>
          </cell>
          <cell r="E67" t="str">
            <v>Custom Quote</v>
          </cell>
          <cell r="F67" t="str">
            <v>A</v>
          </cell>
          <cell r="H67" t="str">
            <v>A</v>
          </cell>
          <cell r="I67" t="str">
            <v>A</v>
          </cell>
          <cell r="J67" t="str">
            <v>Custom Quote</v>
          </cell>
          <cell r="L67" t="str">
            <v>A</v>
          </cell>
          <cell r="M67" t="str">
            <v>Custom Quote</v>
          </cell>
        </row>
        <row r="68">
          <cell r="A68">
            <v>68500</v>
          </cell>
          <cell r="D68" t="str">
            <v>Travel &amp; Expenses</v>
          </cell>
          <cell r="E68" t="str">
            <v>Actual Costs</v>
          </cell>
          <cell r="F68" t="str">
            <v>A</v>
          </cell>
          <cell r="H68" t="str">
            <v>A</v>
          </cell>
          <cell r="I68" t="str">
            <v>A</v>
          </cell>
          <cell r="J68" t="str">
            <v>Actual Costs</v>
          </cell>
          <cell r="L68" t="str">
            <v>A</v>
          </cell>
          <cell r="M68" t="str">
            <v>Actual Costs</v>
          </cell>
        </row>
        <row r="69">
          <cell r="A69">
            <v>70000</v>
          </cell>
          <cell r="D69" t="str">
            <v>Additional Convergent Networks Documentation Sets (ICS and ICView) on CD</v>
          </cell>
          <cell r="E69">
            <v>2000</v>
          </cell>
          <cell r="F69" t="str">
            <v>A</v>
          </cell>
          <cell r="G69" t="str">
            <v>N/A</v>
          </cell>
        </row>
        <row r="70">
          <cell r="A70">
            <v>70001</v>
          </cell>
          <cell r="D70" t="str">
            <v xml:space="preserve">Convergent Networks Documentation Sets (ICS and ICView) Hard Copy. </v>
          </cell>
          <cell r="E70">
            <v>5000</v>
          </cell>
          <cell r="F70" t="str">
            <v>A</v>
          </cell>
          <cell r="G70" t="str">
            <v>N/A</v>
          </cell>
        </row>
        <row r="71">
          <cell r="A71">
            <v>80000</v>
          </cell>
          <cell r="D71" t="str">
            <v>V.35 to DB15 (DSR) Pig-Tail Connetor</v>
          </cell>
          <cell r="E71">
            <v>100</v>
          </cell>
          <cell r="F71" t="str">
            <v>A</v>
          </cell>
          <cell r="G71" t="str">
            <v>1 year</v>
          </cell>
          <cell r="H71" t="str">
            <v>Purchase at list price</v>
          </cell>
          <cell r="I71" t="str">
            <v>Purchase at list price</v>
          </cell>
          <cell r="J71" t="str">
            <v>Purchase at list price</v>
          </cell>
          <cell r="K71" t="str">
            <v>Purchase at list price</v>
          </cell>
          <cell r="L71" t="str">
            <v>Purchase at list price</v>
          </cell>
          <cell r="M71" t="str">
            <v>Purchase at list price</v>
          </cell>
        </row>
        <row r="72">
          <cell r="A72">
            <v>80001</v>
          </cell>
          <cell r="D72" t="str">
            <v>V.35 to DB15 (Non-DSR) Pig-Tail Connector for Tekelec Eagle STP (for use with 50006 or 51005)</v>
          </cell>
          <cell r="E72">
            <v>100</v>
          </cell>
          <cell r="F72" t="str">
            <v>A</v>
          </cell>
          <cell r="G72" t="str">
            <v>1 year</v>
          </cell>
          <cell r="H72" t="str">
            <v>Purchase at list price</v>
          </cell>
          <cell r="I72" t="str">
            <v>Purchase at list price</v>
          </cell>
          <cell r="J72" t="str">
            <v>Purchase at list price</v>
          </cell>
          <cell r="K72" t="str">
            <v>Purchase at list price</v>
          </cell>
          <cell r="L72" t="str">
            <v>Purchase at list price</v>
          </cell>
          <cell r="M72" t="str">
            <v>Purchase at list price</v>
          </cell>
        </row>
        <row r="73">
          <cell r="A73" t="str">
            <v>RD-90003</v>
          </cell>
          <cell r="C73" t="str">
            <v>RED-CT-PAK</v>
          </cell>
          <cell r="D73" t="str">
            <v>Redundant Chassis Bundle with TSU (includes 23000(1), 30100(2), 34400(1), 33100(1), 33300(1))</v>
          </cell>
          <cell r="E73">
            <v>195000</v>
          </cell>
          <cell r="F73" t="str">
            <v>C</v>
          </cell>
          <cell r="G73" t="str">
            <v>1 year</v>
          </cell>
          <cell r="I73">
            <v>13650</v>
          </cell>
          <cell r="J73">
            <v>15600</v>
          </cell>
          <cell r="K73">
            <v>23400</v>
          </cell>
          <cell r="L73">
            <v>33150</v>
          </cell>
          <cell r="M73">
            <v>9750</v>
          </cell>
        </row>
      </sheetData>
      <sheetData sheetId="2"/>
      <sheetData sheetId="3"/>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out"/>
      <sheetName val="Summary"/>
      <sheetName val="combined_cash flows"/>
      <sheetName val="Inputs Only"/>
      <sheetName val="BS"/>
      <sheetName val="Debt Schedule"/>
      <sheetName val="Capex"/>
      <sheetName val="P&amp;L"/>
      <sheetName val="Debottlenecking"/>
      <sheetName val="Options"/>
      <sheetName val="QrtrEsc"/>
      <sheetName val="Report (USD Mn)"/>
      <sheetName val="IRR"/>
      <sheetName val="pipeline"/>
      <sheetName val="Imdt_Cal"/>
      <sheetName val="Report"/>
      <sheetName val="Rev"/>
      <sheetName val="WC"/>
      <sheetName val="Exp_Depots"/>
      <sheetName val="Price (History)"/>
      <sheetName val="CF"/>
      <sheetName val="ProdDistbn"/>
      <sheetName val="CMA"/>
      <sheetName val="AnnEsc"/>
      <sheetName val="Prod Sales"/>
      <sheetName val="Price"/>
      <sheetName val="IPP"/>
      <sheetName val="EPP"/>
      <sheetName val="ProdPrice"/>
      <sheetName val="Prodn"/>
      <sheetName val="SaleTax"/>
      <sheetName val="Opex"/>
      <sheetName val="TranspCost"/>
      <sheetName val="Excise"/>
      <sheetName val="Tax"/>
      <sheetName val="Depr"/>
      <sheetName val="MrgMon"/>
      <sheetName val="GRM"/>
      <sheetName val="Freight Tables"/>
      <sheetName val="Net Back"/>
      <sheetName val="Assumptions_BOPP"/>
      <sheetName val="Capex_BOPP"/>
      <sheetName val="MoF_BOPP"/>
      <sheetName val="Depr_BOPP"/>
      <sheetName val="Prod_BOPP"/>
      <sheetName val="P&amp;L_BOPP"/>
      <sheetName val="WC_BOPP"/>
      <sheetName val="BS_BOPP"/>
      <sheetName val="CFS_BOPP"/>
      <sheetName val="Tax_BOPP"/>
      <sheetName val="DSCR_BOPP"/>
      <sheetName val="IRR_BOPP"/>
      <sheetName val="Cost_BOPP"/>
      <sheetName val="Report_BOPP"/>
      <sheetName val="Prices_BOPP"/>
      <sheetName val="Sensitivities_BOPP"/>
      <sheetName val="Margins_BOPP"/>
      <sheetName val="Sheet1"/>
      <sheetName val="Freight Ad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5"/>
      <sheetName val="summary_13"/>
      <sheetName val="Portfolio Summary"/>
      <sheetName val="Portfolio CFs"/>
      <sheetName val="Consolidated East Roc Summary"/>
      <sheetName val="PrintManagerCode"/>
      <sheetName val="Module2"/>
      <sheetName val="Consolidated East Roc CFs"/>
      <sheetName val="East Roc 1,2,4 Summary"/>
      <sheetName val="East Roc 1,2,4 CFs"/>
      <sheetName val="East Roc 3 Summary"/>
      <sheetName val="East Roc 3 CFs"/>
      <sheetName val="Glenmont Summary"/>
      <sheetName val="Module3"/>
      <sheetName val="Glenmont CFs"/>
      <sheetName val="Consolidated Greenbrier Summary"/>
      <sheetName val="Consolidated Greenbrier CFs"/>
      <sheetName val="Greenbrier I Summary"/>
      <sheetName val="Greenbrier I CFs"/>
      <sheetName val="Greenbrier III Summary"/>
      <sheetName val="Greenbrier III CFs"/>
      <sheetName val="Greenbrier V Summary"/>
      <sheetName val="Greenbrier V CFs"/>
      <sheetName val="Consolidated Maplecrest Summary"/>
      <sheetName val="Consolidated Maplecrest CFs"/>
      <sheetName val="MC 1,2,5 Summary"/>
      <sheetName val="MC 1,2,5 CFs"/>
      <sheetName val="MC 3 Summary"/>
      <sheetName val="MC 3 CFs"/>
      <sheetName val="MC 4A Summary"/>
      <sheetName val="MC 4A CFs"/>
      <sheetName val="MC 4B Summary"/>
      <sheetName val="MC 4B CFs"/>
      <sheetName val="Consolidated Normandy Summary"/>
      <sheetName val="Consolidated Normandy CFs"/>
      <sheetName val="Normandy Woods 1 Summary"/>
      <sheetName val="Normandy Woods 1 CFs"/>
      <sheetName val="Normandy Woods 2 Summary"/>
      <sheetName val="Normandy Woods 2 CFs"/>
      <sheetName val="Normandy Woods 3 Summary"/>
      <sheetName val="Normandy Woods 3 CFs"/>
      <sheetName val="Sheet2"/>
    </sheetNames>
    <sheetDataSet>
      <sheetData sheetId="0">
        <row r="33">
          <cell r="I33">
            <v>0.9</v>
          </cell>
        </row>
      </sheetData>
      <sheetData sheetId="1"/>
      <sheetData sheetId="2" refreshError="1">
        <row r="33">
          <cell r="I33">
            <v>0.9</v>
          </cell>
          <cell r="K33">
            <v>9.9999999999999978E-2</v>
          </cell>
        </row>
      </sheetData>
      <sheetData sheetId="3"/>
      <sheetData sheetId="4"/>
      <sheetData sheetId="5" refreshError="1"/>
      <sheetData sheetId="6" refreshError="1"/>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69SS (final)"/>
      <sheetName val="269T(final)"/>
      <sheetName val="269T_final_"/>
      <sheetName val="Data for Multiple &amp; ratios"/>
    </sheetNames>
    <sheetDataSet>
      <sheetData sheetId="0"/>
      <sheetData sheetId="1"/>
      <sheetData sheetId="2"/>
      <sheetData sheetId="3"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5GHz"/>
      <sheetName val="Acc_10.5"/>
      <sheetName val="EMS_10.5"/>
      <sheetName val="26GHz"/>
      <sheetName val="Acc_26"/>
      <sheetName val="EMS_26"/>
      <sheetName val="Acc_10_5"/>
      <sheetName val="FACTORS"/>
      <sheetName val="10_5GHz"/>
      <sheetName val="Acc_10_51"/>
      <sheetName val="EMS_10_5"/>
      <sheetName val="10_5GHz1"/>
      <sheetName val="Acc_10_52"/>
      <sheetName val="EMS_10_51"/>
      <sheetName val="10_5GHz2"/>
      <sheetName val="Acc_10_53"/>
      <sheetName val="EMS_10_52"/>
      <sheetName val="TAX INCOM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Done"/>
      <sheetName val="Legends (2)"/>
      <sheetName val="Samples For FA Additions (2)"/>
      <sheetName val="Guidance"/>
      <sheetName val="FA Schedule Dec 07"/>
      <sheetName val="Additions Dec 07"/>
      <sheetName val="FA SHEDULE-Audited Mar 07"/>
      <sheetName val="Reco- FAMS &amp; Tally"/>
      <sheetName val="FA Additions Apr- Dec 07"/>
      <sheetName val="FA register Dec 07"/>
      <sheetName val="Reco-FAMS &amp; Tally"/>
      <sheetName val="Sheet1"/>
      <sheetName val="Total Additions Apr to Nov 07"/>
      <sheetName val="Samples For FA Additions"/>
      <sheetName val="Sampling-CMA-DP"/>
      <sheetName val="Sampling-CMA-OE"/>
      <sheetName val="FA Register-Additions"/>
      <sheetName val="Additions"/>
      <sheetName val="Disposals"/>
      <sheetName val="Fixed Asset Register Dec 07"/>
      <sheetName val="Schedule Dec 06"/>
      <sheetName val="Expectation"/>
      <sheetName val="Audited MArch 07"/>
      <sheetName val="FA register Nov 07"/>
      <sheetName val="Retirements"/>
      <sheetName val="XREF"/>
      <sheetName val="Tickmarks"/>
      <sheetName val="IAA"/>
      <sheetName val="Worksheet in (C) 56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compu"/>
      <sheetName val="P &amp; L"/>
      <sheetName val="Portfolio Summary"/>
      <sheetName val="Sheet3 _2_"/>
      <sheetName val="DEPRE"/>
      <sheetName val="Set"/>
      <sheetName val="Income Statements"/>
      <sheetName val="Main Sheet (MTD)"/>
      <sheetName val="Consl Daily Report"/>
      <sheetName val="Calculation (2)"/>
      <sheetName val="QoQ Forecast"/>
      <sheetName val="Acc_10_5"/>
      <sheetName val="Sheet1"/>
      <sheetName val="Input"/>
      <sheetName val="Master Price List"/>
      <sheetName val="Introduction"/>
      <sheetName val="IDC macro"/>
      <sheetName val="SALE"/>
      <sheetName val="reference"/>
      <sheetName val="sheet6"/>
      <sheetName val="Analysis"/>
      <sheetName val="Sheet2"/>
      <sheetName val="van khuon"/>
      <sheetName val="Names"/>
      <sheetName val="BBEuros"/>
      <sheetName val="InvoiceList"/>
      <sheetName val="Income &amp; Occupancy Customer"/>
      <sheetName val="Summary"/>
      <sheetName val="노무비"/>
      <sheetName val="Sheet3_(2)"/>
      <sheetName val="Sheet3__2_"/>
      <sheetName val="Rollup Summary"/>
      <sheetName val="Acc_10.5"/>
      <sheetName val="new_data"/>
      <sheetName val="earnmodl"/>
      <sheetName val="Dom Cell (IS)"/>
      <sheetName val="LISTS"/>
      <sheetName val="Inputs"/>
      <sheetName val="M-2 Adjusted"/>
      <sheetName val="Preside"/>
      <sheetName val="balance sheet"/>
      <sheetName val="fco"/>
      <sheetName val="Factor_Sheet"/>
      <sheetName val="download"/>
      <sheetName val="170810-lease tax"/>
      <sheetName val="유통망계획"/>
      <sheetName val="CV"/>
      <sheetName val="ES(Kor)"/>
      <sheetName val="TIll_Q_sal"/>
      <sheetName val="tiller"/>
      <sheetName val="JCF"/>
      <sheetName val="Multiple output"/>
      <sheetName val="q-details"/>
      <sheetName val="International"/>
      <sheetName val="Internet"/>
      <sheetName val="Main workings"/>
      <sheetName val="assumptions"/>
      <sheetName val="Company"/>
      <sheetName val="Global Assm."/>
      <sheetName val="Aladdin Macro1"/>
      <sheetName val="BalSht"/>
      <sheetName val="ABP inputs"/>
      <sheetName val="Synergy Sales Budget"/>
      <sheetName val="Project Budget Worksheet"/>
      <sheetName val="Builtup Area"/>
      <sheetName val="Headings"/>
      <sheetName val="RCC,Ret. Wall"/>
      <sheetName val="BOQ T4B"/>
      <sheetName val="F1a-Pile"/>
      <sheetName val="INDIGINEOUS ITEMS "/>
      <sheetName val="Formulas"/>
      <sheetName val="IMPORT T12"/>
      <sheetName val="SCH-E-1"/>
      <sheetName val="BIPR"/>
      <sheetName val="BPCA"/>
      <sheetName val="BBRS"/>
      <sheetName val="KPM DT"/>
      <sheetName val="EBITDA"/>
      <sheetName val="Income_Statements"/>
      <sheetName val="QoQ_Forecast"/>
      <sheetName val="Depreciation"/>
      <sheetName val="Material "/>
      <sheetName val="Labour &amp; Plant"/>
      <sheetName val="Lead"/>
      <sheetName val="Main-Material"/>
      <sheetName val="GBW"/>
      <sheetName val="Design"/>
      <sheetName val="BOQ"/>
      <sheetName val=" B3"/>
      <sheetName val=" B1"/>
      <sheetName val="beam-reinft-IIInd floor"/>
      <sheetName val="PLGroupings"/>
      <sheetName val="Results"/>
      <sheetName val="Current Bill MB ref"/>
      <sheetName val="Meas.-Hotel Part"/>
      <sheetName val="Approved MTD Proj #'s"/>
      <sheetName val="PLAN_FEB97"/>
      <sheetName val="Fin Sum"/>
      <sheetName val="ras"/>
      <sheetName val="CapitalOutlay"/>
      <sheetName val="Assum"/>
      <sheetName val="Aladdin_Macro1"/>
      <sheetName val="TB_FOR_MIS"/>
      <sheetName val="Area"/>
      <sheetName val="TB FOR MIS"/>
      <sheetName val="INPUT SHEET"/>
      <sheetName val="MN T.B."/>
      <sheetName val="CFForecast detail"/>
      <sheetName val="Site Dev BOQ"/>
      <sheetName val="Break up Sheet"/>
      <sheetName val="Load Details-220kV"/>
      <sheetName val="Block A - BOQ"/>
      <sheetName val="strand"/>
      <sheetName val="Vind-BtB"/>
      <sheetName val="ABP_inputs"/>
      <sheetName val="Synergy_Sales_Budget"/>
      <sheetName val="Project_Budget_Worksheet"/>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Occ"/>
      <sheetName val="Demand"/>
      <sheetName val="Ref"/>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Index"/>
      <sheetName val="Rates"/>
      <sheetName val="F"/>
      <sheetName val="EXHIBIT&quot; T&quot;"/>
      <sheetName val="Turnover"/>
      <sheetName val="02022005"/>
      <sheetName val="16022005"/>
      <sheetName val="05012005"/>
      <sheetName val="19012005"/>
      <sheetName val="02032005"/>
      <sheetName val="16032005"/>
      <sheetName val="30032005"/>
      <sheetName val="Balance Sheet "/>
      <sheetName val="Summary Excise"/>
      <sheetName val="BS"/>
      <sheetName val="Other BS Sch 5-9"/>
      <sheetName val="Excess Calc"/>
      <sheetName val="Grouping Master"/>
      <sheetName val="March Analysts"/>
      <sheetName val="CABLE DATA"/>
      <sheetName val="1st flr"/>
      <sheetName val="Civil Boq"/>
      <sheetName val="final abstract"/>
      <sheetName val="Rate analysis"/>
      <sheetName val="02"/>
      <sheetName val="03"/>
      <sheetName val="04"/>
      <sheetName val="01"/>
      <sheetName val=" Acc. Sched."/>
      <sheetName val="EDS  Bestshore Migration"/>
      <sheetName val="NewCo"/>
      <sheetName val="sept-plan"/>
      <sheetName val="van_khuon"/>
      <sheetName val="IDC_macro"/>
      <sheetName val="Portfolio_Summary"/>
      <sheetName val="Current_Bill_MB_ref"/>
      <sheetName val="Meas_-Hotel_Part"/>
      <sheetName val="Fin_Sum"/>
      <sheetName val="OpRes"/>
      <sheetName val="master"/>
      <sheetName val="Base"/>
      <sheetName val="Hot"/>
      <sheetName val="Mico"/>
      <sheetName val="03 (2)"/>
      <sheetName val="WIng F(Typical)"/>
      <sheetName val="Legal Risk Analysis"/>
      <sheetName val="CARO"/>
      <sheetName val="IMPORT_T12"/>
      <sheetName val="KPM_DT"/>
      <sheetName val="Task"/>
      <sheetName val="OpTrack"/>
      <sheetName val="CashFlow"/>
      <sheetName val="TB"/>
      <sheetName val="Training Deposits coding"/>
      <sheetName val="Sensitivity"/>
      <sheetName val="Checks"/>
      <sheetName val="DET0900"/>
      <sheetName val="Theatre mgmt cont"/>
      <sheetName val="AOR"/>
      <sheetName val="Pay_Sep06"/>
      <sheetName val="Macro1"/>
      <sheetName val="Licences"/>
      <sheetName val="LBO Financials"/>
      <sheetName val="97-98"/>
      <sheetName val="SODA02"/>
      <sheetName val="classes"/>
      <sheetName val="IT Block"/>
      <sheetName val="Location CODE"/>
      <sheetName val="Location TYPE"/>
      <sheetName val="sub class"/>
      <sheetName val=" sub Loc "/>
      <sheetName val="LBO"/>
      <sheetName val="Sheet3"/>
      <sheetName val="#REF"/>
      <sheetName val="Data"/>
      <sheetName val="MASTER_RATE ANALYSIS"/>
      <sheetName val="Valuation - block 2"/>
      <sheetName val="RNT"/>
      <sheetName val="Combi"/>
      <sheetName val="A-Mum"/>
      <sheetName val="Base Assumptions"/>
      <sheetName val="Summ"/>
      <sheetName val="Fossil_DCF"/>
      <sheetName val="SOPMA DD"/>
      <sheetName val="Code"/>
      <sheetName val="RES-PLANNING"/>
      <sheetName val="Cost_any"/>
      <sheetName val="10. &amp; 11. Rate Code &amp; BQ"/>
      <sheetName val="FlashMgtMo"/>
      <sheetName val="FlashMgtYTD"/>
      <sheetName val="FITZ MORT 94"/>
      <sheetName val="QoQ In Lakhs"/>
      <sheetName val="GENERAL2"/>
      <sheetName val="YTD"/>
      <sheetName val="vb 9&amp;10"/>
      <sheetName val="GenAssump"/>
      <sheetName val="Goldberg Portfolio Combined"/>
      <sheetName val="BKCSTOCKVAL"/>
      <sheetName val="MAHSTOCKVAL"/>
      <sheetName val="Commercial Research"/>
      <sheetName val="Intaccrual"/>
      <sheetName val="SBU"/>
      <sheetName val="Portfolio_Summary1"/>
      <sheetName val="Current_Bill_MB_ref1"/>
      <sheetName val="Meas_-Hotel_Part1"/>
      <sheetName val="IO LIST"/>
      <sheetName val="Fill this out first..."/>
      <sheetName val="NEW-IDs Fun &amp; Group"/>
      <sheetName val="MIS - kINR"/>
      <sheetName val="AOP13"/>
      <sheetName val="CAP"/>
      <sheetName val="ANN.K"/>
      <sheetName val="FA Schedule Dec 07"/>
      <sheetName val="Open Items-311208"/>
      <sheetName val="Params"/>
      <sheetName val="269T(final)"/>
      <sheetName val="Trial Balance"/>
      <sheetName val="Contribution"/>
      <sheetName val="Rx"/>
      <sheetName val="Variables_x"/>
      <sheetName val="Operating Statistics"/>
      <sheetName val=""/>
      <sheetName val="Menu"/>
      <sheetName val="9. Package split - Cost "/>
      <sheetName val="Service Invoice"/>
      <sheetName val="Cash Flow Working"/>
      <sheetName val="Retail Mall"/>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Leasing Commision"/>
      <sheetName val="XZLC003_PART1"/>
      <sheetName val="15-21"/>
      <sheetName val="P.R. TAXES"/>
      <sheetName val="BILLING SUM"/>
      <sheetName val="MIS AC wise"/>
      <sheetName val="Cover"/>
      <sheetName val="RA"/>
      <sheetName val="Control"/>
      <sheetName val="Related party - P&amp;L"/>
      <sheetName val="Night Shift"/>
      <sheetName val="horizontal"/>
      <sheetName val="wdr bldg"/>
      <sheetName val="Formated Trial Balance"/>
      <sheetName val="Notes-pivot1 "/>
      <sheetName val="Scope"/>
      <sheetName val="Estimate"/>
      <sheetName val="12-ACTPL"/>
      <sheetName val="Debtors analysis"/>
      <sheetName val="A1-Continuous"/>
      <sheetName val="pile Fabrication"/>
      <sheetName val="Improvements"/>
      <sheetName val="Kontensalden"/>
      <sheetName val="ASSETS P&amp;M"/>
      <sheetName val="Assets Land &amp; Mise FA"/>
      <sheetName val="Variables"/>
      <sheetName val="Publicbuilding"/>
      <sheetName val="Non-Factory"/>
      <sheetName val="extra work elec bill "/>
      <sheetName val="WC analytics (+data pages)"/>
      <sheetName val="FY2001-02"/>
      <sheetName val="XLR_NoRangeSheet"/>
      <sheetName val="Sheet3_(2)5"/>
      <sheetName val="Sheet3__2_5"/>
      <sheetName val="Calculation_(2)5"/>
      <sheetName val="Multiple_output5"/>
      <sheetName val="170810-lease_tax"/>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Main_Sheet_(MTD)"/>
      <sheetName val="Consl_Daily_Report"/>
      <sheetName val="balance_sheet"/>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4.4 External Plaster"/>
      <sheetName val="TMasterCurrency"/>
      <sheetName val="TMasterSeg"/>
      <sheetName val="apr-aug"/>
      <sheetName val="Rev Opt - Rollup"/>
      <sheetName val="CASHFLOWS"/>
      <sheetName val="drop-dwn list"/>
      <sheetName val="tngst1"/>
      <sheetName val="Boiler&amp;TG"/>
      <sheetName val="Timeline"/>
      <sheetName val="Notes"/>
      <sheetName val="Assump"/>
      <sheetName val="A.O.R."/>
      <sheetName val="SEW4"/>
      <sheetName val="MFG"/>
      <sheetName val="exp"/>
      <sheetName val="Sheet4"/>
      <sheetName val="ES"/>
      <sheetName val="HBI NCD"/>
      <sheetName val="CUSTOM Jun99"/>
      <sheetName val="Felix Street Summary"/>
      <sheetName val="Newspapers"/>
      <sheetName val="AccDil"/>
      <sheetName val="Overall Summary"/>
      <sheetName val="소상 &quot;1&quot;"/>
      <sheetName val="CrRajWMM"/>
      <sheetName val="Cost summary"/>
      <sheetName val="RCC Rates"/>
      <sheetName val="FORM7"/>
      <sheetName val="目录"/>
      <sheetName val="PRECAST lightconc-II"/>
      <sheetName val="Tender Summary"/>
      <sheetName val="Bill 1-BOQ-Civil Works"/>
      <sheetName val="UNP-NCW "/>
      <sheetName val="Debt"/>
      <sheetName val="SALES"/>
      <sheetName val="van_khuon1"/>
      <sheetName val="IDC_macro1"/>
      <sheetName val="P_&amp;_L"/>
      <sheetName val="Summary_Excise"/>
      <sheetName val="Other_BS_Sch_5-9"/>
      <sheetName val="Excess_Calc"/>
      <sheetName val="Grouping_Master"/>
      <sheetName val="March_Analysts"/>
      <sheetName val="Fin_Sum1"/>
      <sheetName val="Main_workings"/>
      <sheetName val="Balance_Sheet_"/>
      <sheetName val="IMPORT_T121"/>
      <sheetName val="KPM_DT1"/>
      <sheetName val="Dom_Cell_(IS)"/>
      <sheetName val="M-2_Adjusted"/>
      <sheetName val="Master_Price_List"/>
      <sheetName val="EXHIBIT&quot;_T&quot;"/>
      <sheetName val="TB_FOR_MIS1"/>
      <sheetName val="INPUT_SHEET"/>
      <sheetName val="_Acc__Sched_"/>
      <sheetName val="EDS__Bestshore_Migration"/>
      <sheetName val="IT_Block"/>
      <sheetName val="Location_CODE"/>
      <sheetName val="Location_TYPE"/>
      <sheetName val="sub_class"/>
      <sheetName val="_sub_Loc_"/>
      <sheetName val="Training_Deposits_coding"/>
      <sheetName val="Rev_Opt_-_Rollup"/>
      <sheetName val="MASTER_RATE_ANALYSIS"/>
      <sheetName val="Valuation_-_block_2"/>
      <sheetName val="SAP downloaded schedule"/>
      <sheetName val="?????"/>
      <sheetName val="Budget Summary"/>
      <sheetName val="Basework"/>
      <sheetName val="Monthly Inputs"/>
      <sheetName val="2000-1 Monthly Cashflows"/>
      <sheetName val="2002-2 Monthly Cashflows"/>
      <sheetName val="cl 14 Annex 7 "/>
      <sheetName val="Encl 7A"/>
      <sheetName val="RA-markate"/>
      <sheetName val="Basement Budget"/>
      <sheetName val="labour"/>
      <sheetName val="currency"/>
      <sheetName val="Assumption"/>
      <sheetName val="EVA1"/>
      <sheetName val="ITEM  STUDY (2)"/>
      <sheetName val="EXPENSES"/>
      <sheetName val="TDS Certificate-Format"/>
      <sheetName val="FA"/>
      <sheetName val="A-1"/>
      <sheetName val="MultipleSecurities"/>
      <sheetName val="Ins Erection"/>
      <sheetName val="Rollup"/>
      <sheetName val="0. Data Validation List"/>
      <sheetName val="Crest"/>
      <sheetName val="Pinnacle"/>
      <sheetName val="Zenith"/>
      <sheetName val="stacking sheet"/>
      <sheetName val="Portfolio_Summary2"/>
      <sheetName val="03_(2)"/>
      <sheetName val="Current_Bill_MB_ref2"/>
      <sheetName val="Meas_-Hotel_Part2"/>
      <sheetName val="WIng_F(Typical)"/>
      <sheetName val="Legal_Risk_Analysis"/>
      <sheetName val="SOPMA_DD"/>
      <sheetName val="Architectural_Summary"/>
      <sheetName val="IO_LIST"/>
      <sheetName val="Fill_this_out_first___"/>
      <sheetName val="extra_work_elec_bill_"/>
      <sheetName val="10__&amp;_11__Rate_Code_&amp;_BQ"/>
      <sheetName val="NEW-IDs_Fun_&amp;_Group"/>
      <sheetName val="Graph (LGEN)"/>
      <sheetName val="out_prog"/>
      <sheetName val="선적schedule (2)"/>
      <sheetName val="BQ"/>
      <sheetName val="USB 1"/>
      <sheetName val="BOQ Distribution"/>
      <sheetName val="wordsdata"/>
      <sheetName val="GM &amp; TA"/>
      <sheetName val="steam outlet"/>
      <sheetName val="crs"/>
      <sheetName val="PIMS"/>
      <sheetName val="SCH 10"/>
      <sheetName val="SAP EMP"/>
      <sheetName val="I"/>
      <sheetName val="DYN PP"/>
      <sheetName val="TXN97"/>
      <sheetName val="June Reserve - Far East"/>
      <sheetName val="PERHW"/>
      <sheetName val="Loss 3004"/>
      <sheetName val="Reconciliation of GL &amp; FAR"/>
      <sheetName val="Settings"/>
      <sheetName val="Recon"/>
      <sheetName val="Sheet3_(2)6"/>
      <sheetName val="Sheet3__2_6"/>
      <sheetName val="Income_Statements6"/>
      <sheetName val="Main_Sheet_(MTD)1"/>
      <sheetName val="Consl_Daily_Report1"/>
      <sheetName val="Calculation_(2)6"/>
      <sheetName val="QoQ_Forecast6"/>
      <sheetName val="Income_&amp;_Occupancy_Customer6"/>
      <sheetName val="Rollup_Summary1"/>
      <sheetName val="Acc_10_56"/>
      <sheetName val="balance_sheet1"/>
      <sheetName val="170810-lease_tax1"/>
      <sheetName val="Multiple_output6"/>
      <sheetName val="Aladdin_Macro16"/>
      <sheetName val="Global_Assm_6"/>
      <sheetName val="ABP_inputs6"/>
      <sheetName val="Synergy_Sales_Budget6"/>
      <sheetName val="Project_Budget_Worksheet6"/>
      <sheetName val="Builtup_Area6"/>
      <sheetName val="RCC,Ret__Wall6"/>
      <sheetName val="BOQ_T4B6"/>
      <sheetName val="INDIGINEOUS_ITEMS_6"/>
      <sheetName val="Material_6"/>
      <sheetName val="Labour_&amp;_Plant6"/>
      <sheetName val="_B36"/>
      <sheetName val="_B16"/>
      <sheetName val="beam-reinft-IIInd_floor6"/>
      <sheetName val="Approved_MTD_Proj_#'s6"/>
      <sheetName val="MN_T_B_6"/>
      <sheetName val="CFForecast_detail6"/>
      <sheetName val="Site_Dev_BOQ6"/>
      <sheetName val="Break_up_Sheet6"/>
      <sheetName val="Load_Details-220kV6"/>
      <sheetName val="Block_A_-_BOQ6"/>
      <sheetName val="LBO_Financials"/>
      <sheetName val="CABLE_DATA1"/>
      <sheetName val="1st_flr1"/>
      <sheetName val="Civil_Boq1"/>
      <sheetName val="final_abstract1"/>
      <sheetName val="Rate_analysis1"/>
      <sheetName val="MIS_-_kINR1"/>
      <sheetName val="QoQ_In_Lakhs"/>
      <sheetName val="Theatre_mgmt_cont"/>
      <sheetName val="Open_Items-311208"/>
      <sheetName val="Transaction"/>
      <sheetName val="FA(Apr 07)"/>
      <sheetName val="Reco O.S"/>
      <sheetName val="Accounts"/>
      <sheetName val="BOM"/>
      <sheetName val="HRD1"/>
      <sheetName val="Taluka wise dealer (2)"/>
      <sheetName val="Standalone"/>
      <sheetName val="RATE LIST (2)"/>
      <sheetName val="Control Sheet"/>
      <sheetName val="schedules"/>
      <sheetName val="Summary_Local"/>
      <sheetName val="HELP"/>
      <sheetName val="BS-2005"/>
      <sheetName val="MAIN_MENU"/>
      <sheetName val="exec summ"/>
      <sheetName val="TH"/>
      <sheetName val="details"/>
      <sheetName val="Phasing"/>
      <sheetName val="Hardware"/>
      <sheetName val="Power &amp; Fuel (S)"/>
      <sheetName val="concrete"/>
      <sheetName val="CSCCincSKR"/>
      <sheetName val="IO"/>
      <sheetName val="Timesheet"/>
      <sheetName val="Loads"/>
      <sheetName val="p&amp;m"/>
      <sheetName val="S &amp; A"/>
      <sheetName val="Schedule v1"/>
      <sheetName val="final 061106"/>
      <sheetName val="SAB P&amp;L"/>
      <sheetName val="cash flow"/>
      <sheetName val="HIDDEN"/>
      <sheetName val="DEP99"/>
      <sheetName val="IGAAP"/>
      <sheetName val="INI"/>
      <sheetName val="Output"/>
      <sheetName val="meeting rectification control"/>
      <sheetName val="Loan Data"/>
      <sheetName val="Challan"/>
      <sheetName val="NGS Data Sheet"/>
      <sheetName val="SGS Data Sheet"/>
      <sheetName val="Standalone seg"/>
      <sheetName val="Gen_Ass"/>
      <sheetName val="Op_Ass"/>
      <sheetName val="Staff Costs"/>
      <sheetName val="General_Assumptions"/>
      <sheetName val="Determination of Threshold"/>
      <sheetName val="800CC_FR_HOSE"/>
      <sheetName val="Esteem Rear"/>
      <sheetName val="Rs in lacs"/>
      <sheetName val="C120102"/>
      <sheetName val="PROV_CONSOLIDATED"/>
      <sheetName val="Multipliers &amp; KRA"/>
      <sheetName val="Trial_Balance"/>
      <sheetName val="MIS_AC_wise"/>
      <sheetName val="Base_Assumptions"/>
      <sheetName val="FITZ_MORT_94"/>
      <sheetName val="vb_9&amp;10"/>
      <sheetName val="Goldberg_Portfolio_Combined"/>
      <sheetName val="Commercial_Research"/>
      <sheetName val="Material_List_"/>
      <sheetName val="9__Package_split_-_Cost_"/>
      <sheetName val="Operating_Statistics"/>
      <sheetName val="FA_Schedule_Dec_07"/>
      <sheetName val="P_R__TAXES"/>
      <sheetName val="BILLING_SUM"/>
      <sheetName val="Master_list"/>
      <sheetName val="Labour_List"/>
      <sheetName val="Material_List"/>
      <sheetName val="Labor_abs-NMR"/>
      <sheetName val="Beam_at_Ground_flr_lvl(Steel)"/>
      <sheetName val="1st_-vpd"/>
      <sheetName val="schedule_nos"/>
      <sheetName val="Leasing_Commision"/>
      <sheetName val="Service_Invoice"/>
      <sheetName val="Cash_Flow_Working"/>
      <sheetName val="Retail_Mall"/>
      <sheetName val="Related_party_-_P&amp;L"/>
      <sheetName val="Debtors_analysis"/>
      <sheetName val="pile_Fabrication"/>
      <sheetName val="ANN_K"/>
      <sheetName val="Notes-pivot1_"/>
      <sheetName val="ASSETS_P&amp;M"/>
      <sheetName val="Assets_Land_&amp;_Mise_FA"/>
      <sheetName val="drop-dwn_list"/>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Quotation"/>
      <sheetName val="RCC_Ret_ Wall"/>
      <sheetName val="Sources"/>
      <sheetName val="Audit"/>
      <sheetName val="register"/>
      <sheetName val="Earnings"/>
      <sheetName val=" "/>
      <sheetName val="EAST"/>
      <sheetName val="YOEMAGUM"/>
      <sheetName val="Lease Expiry"/>
      <sheetName val="Customize Your Invoice"/>
      <sheetName val="Dep"/>
      <sheetName val="cash_flow"/>
      <sheetName val="sales_value"/>
      <sheetName val="colaw_dep"/>
      <sheetName val="freight"/>
      <sheetName val="gm"/>
      <sheetName val="interest"/>
      <sheetName val="jb_cost"/>
      <sheetName val="c_flow_%"/>
      <sheetName val="consum_cost"/>
      <sheetName val="form26"/>
      <sheetName val="F29B"/>
      <sheetName val="Base data Security Procedures"/>
      <sheetName val="Parameter"/>
      <sheetName val="Inv_Data"/>
      <sheetName val="Tyre1"/>
      <sheetName val="Auto"/>
      <sheetName val="Sale Charts"/>
      <sheetName val="EXIS-COMBINED"/>
      <sheetName val="HOUSE RENT DEPO."/>
      <sheetName val="Approval"/>
      <sheetName val="FCIIHyperion"/>
      <sheetName val="Lease-rents"/>
      <sheetName val="Key Assumption"/>
      <sheetName val="Master Information"/>
      <sheetName val="Expansion"/>
      <sheetName val="Collection"/>
      <sheetName val="Cases"/>
      <sheetName val="CPR"/>
      <sheetName val="MARCH"/>
      <sheetName val="SEP "/>
      <sheetName val="Misc. Master"/>
      <sheetName val="Capital Structure"/>
      <sheetName val="GROUPING"/>
      <sheetName val="TBAL9697 -group wise  sdpl"/>
      <sheetName val="dlvoid"/>
      <sheetName val="Coalmine"/>
      <sheetName val="Account title"/>
      <sheetName val="Titel"/>
      <sheetName val="Fin"/>
      <sheetName val="Intro"/>
      <sheetName val="Micro"/>
      <sheetName val="Macro"/>
      <sheetName val="Scaff-Rose"/>
      <sheetName val="Tickmarks"/>
      <sheetName val="Check Register"/>
      <sheetName val="EBITDA Bridge"/>
      <sheetName val="Detailed"/>
      <sheetName val="2003 Budget-PL-case1"/>
      <sheetName val="STATSUM"/>
      <sheetName val="TB9899"/>
      <sheetName val="Fin. Assumpt. - Sensitivities"/>
      <sheetName val="现金流量分析表"/>
      <sheetName val="边际贡献分析表"/>
      <sheetName val="Temp"/>
      <sheetName val="4 Annex 1 Basic rate"/>
      <sheetName val="oresreqsum"/>
      <sheetName val="Elec Summ"/>
      <sheetName val="ELEC BOQ"/>
      <sheetName val="TRACK BUSWAY"/>
      <sheetName val="BBT"/>
      <sheetName val="LIGHTING"/>
      <sheetName val="LMS"/>
      <sheetName val="Other notes"/>
      <sheetName val="OHT_Abs"/>
      <sheetName val="1"/>
      <sheetName val="Linked Lead"/>
      <sheetName val="hist&amp;proj"/>
      <sheetName val="L"/>
      <sheetName val="STAFFSCHED "/>
      <sheetName val="Basic Rate"/>
      <sheetName val=" COP"/>
      <sheetName val="Main"/>
      <sheetName val="Redelvery provision changed"/>
      <sheetName val="Sch5TO10"/>
      <sheetName val="macroDat"/>
      <sheetName val="Power_&amp;_Fuel_(S)"/>
      <sheetName val="Budget_Summary"/>
      <sheetName val="MIS"/>
      <sheetName val="ADV-TK-HORT"/>
      <sheetName val="Classification"/>
      <sheetName val="XREF"/>
      <sheetName val="Income"/>
      <sheetName val="EPS"/>
      <sheetName val="currency (2)"/>
      <sheetName val="Companies"/>
      <sheetName val="People"/>
      <sheetName val="NW RTU"/>
      <sheetName val="Clause 9"/>
      <sheetName val="SP Break Up"/>
      <sheetName val="Cash Flow "/>
      <sheetName val="INQVAR PY"/>
      <sheetName val="NEES"/>
      <sheetName val="COST-MTRS"/>
      <sheetName val="FLASH"/>
      <sheetName val="Annexure"/>
      <sheetName val="Schedules 3-8"/>
      <sheetName val="RELACION REFERENCIAS"/>
      <sheetName val="XWR"/>
      <sheetName val="van_khuon2"/>
      <sheetName val="IDC_macro2"/>
      <sheetName val="IMPORT_T122"/>
      <sheetName val="KPM_DT2"/>
      <sheetName val="Portfolio_Summary3"/>
      <sheetName val="Current_Bill_MB_ref3"/>
      <sheetName val="Meas_-Hotel_Part3"/>
      <sheetName val="Fin_Sum2"/>
      <sheetName val="Summary_Excise1"/>
      <sheetName val="Other_BS_Sch_5-91"/>
      <sheetName val="Excess_Calc1"/>
      <sheetName val="Grouping_Master1"/>
      <sheetName val="TB_FOR_MIS2"/>
      <sheetName val="INPUT_SHEET1"/>
      <sheetName val="P_&amp;_L1"/>
      <sheetName val="March_Analysts1"/>
      <sheetName val="Dom_Cell_(IS)1"/>
      <sheetName val="EXHIBIT&quot;_T&quot;1"/>
      <sheetName val="_Acc__Sched_1"/>
      <sheetName val="Training_Deposits_coding1"/>
      <sheetName val="M-2_Adjusted1"/>
      <sheetName val="03_(2)1"/>
      <sheetName val="WIng_F(Typical)1"/>
      <sheetName val="Master_Price_List1"/>
      <sheetName val="Main_workings1"/>
      <sheetName val="Balance_Sheet_1"/>
      <sheetName val="EDS__Bestshore_Migration1"/>
      <sheetName val="IT_Block1"/>
      <sheetName val="Location_CODE1"/>
      <sheetName val="Location_TYPE1"/>
      <sheetName val="sub_class1"/>
      <sheetName val="_sub_Loc_1"/>
      <sheetName val="Open_Items-3112081"/>
      <sheetName val="Legal_Risk_Analysis1"/>
      <sheetName val="LBO_Financials1"/>
      <sheetName val="MASTER_RATE_ANALYSIS1"/>
      <sheetName val="Valuation_-_block_21"/>
      <sheetName val="ANN_K1"/>
      <sheetName val="FA_Schedule_Dec_071"/>
      <sheetName val="NEW-IDs_Fun_&amp;_Group1"/>
      <sheetName val="Rev_Opt_-_Rollup1"/>
      <sheetName val="SOPMA_DD1"/>
      <sheetName val="Debtors_analysis1"/>
      <sheetName val="Architectural_Summary1"/>
      <sheetName val="pile_Fabrication1"/>
      <sheetName val="IO_LIST1"/>
      <sheetName val="Master_list1"/>
      <sheetName val="Labour_List1"/>
      <sheetName val="Material_List1"/>
      <sheetName val="Labor_abs-NMR1"/>
      <sheetName val="Beam_at_Ground_flr_lvl(Steel)1"/>
      <sheetName val="1st_-vpd1"/>
      <sheetName val="Material_List_1"/>
      <sheetName val="schedule_nos1"/>
      <sheetName val="Theatre_mgmt_cont1"/>
      <sheetName val="Base_Assumptions1"/>
      <sheetName val="10__&amp;_11__Rate_Code_&amp;_BQ1"/>
      <sheetName val="FITZ_MORT_941"/>
      <sheetName val="QoQ_In_Lakhs1"/>
      <sheetName val="vb_9&amp;101"/>
      <sheetName val="Goldberg_Portfolio_Combined1"/>
      <sheetName val="Commercial_Research1"/>
      <sheetName val="Fill_this_out_first___1"/>
      <sheetName val="COSTMAR"/>
      <sheetName val="Jun 2000"/>
      <sheetName val="Sheet2 (2)"/>
      <sheetName val="3-dep"/>
      <sheetName val="1996-97"/>
      <sheetName val="Bal_Gr"/>
      <sheetName val="BM"/>
      <sheetName val="entitlements"/>
      <sheetName val="Conversion Table"/>
      <sheetName val="PetroChina"/>
      <sheetName val="차수"/>
      <sheetName val="P&amp;L"/>
      <sheetName val="DIVBUD99"/>
      <sheetName val="nela"/>
      <sheetName val="Annexure-I"/>
      <sheetName val="Sheet3_(2)7"/>
      <sheetName val="Sheet3__2_7"/>
      <sheetName val="Income_&amp;_Occupancy_Customer7"/>
      <sheetName val="Income_Statements7"/>
      <sheetName val="QoQ_Forecast7"/>
      <sheetName val="Aladdin_Macro17"/>
      <sheetName val="Acc_10_57"/>
      <sheetName val="Global_Assm_7"/>
      <sheetName val="Builtup_Area7"/>
      <sheetName val="Project_Budget_Worksheet7"/>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Main_Sheet_(MTD)2"/>
      <sheetName val="Consl_Daily_Report2"/>
      <sheetName val="Rollup_Summary2"/>
      <sheetName val="MN_T_B_7"/>
      <sheetName val="CFForecast_detail7"/>
      <sheetName val="Site_Dev_BOQ7"/>
      <sheetName val="Break_up_Sheet7"/>
      <sheetName val="Load_Details-220kV7"/>
      <sheetName val="Block_A_-_BOQ7"/>
      <sheetName val="170810-lease_tax2"/>
      <sheetName val="ASSETS_P&amp;M1"/>
      <sheetName val="Assets_Land_&amp;_Mise_FA1"/>
      <sheetName val="CABLE_DATA2"/>
      <sheetName val="1st_flr2"/>
      <sheetName val="Civil_Boq2"/>
      <sheetName val="balance_sheet2"/>
      <sheetName val="final_abstract2"/>
      <sheetName val="Rate_analysis2"/>
      <sheetName val="Trial_Balance1"/>
      <sheetName val="MIS_AC_wise1"/>
      <sheetName val="MIS_-_kINR2"/>
      <sheetName val="9__Package_split_-_Cost_1"/>
      <sheetName val="Operating_Statistics1"/>
      <sheetName val="P_R__TAXES1"/>
      <sheetName val="BILLING_SUM1"/>
      <sheetName val="Leasing_Commision1"/>
      <sheetName val="Service_Invoice1"/>
      <sheetName val="Cash_Flow_Working1"/>
      <sheetName val="Retail_Mall1"/>
      <sheetName val="Related_party_-_P&amp;L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ow r="65">
          <cell r="A65" t="str">
            <v>(II)</v>
          </cell>
        </row>
      </sheetData>
      <sheetData sheetId="118" refreshError="1"/>
      <sheetData sheetId="119" refreshError="1"/>
      <sheetData sheetId="120" refreshError="1"/>
      <sheetData sheetId="121" refreshError="1"/>
      <sheetData sheetId="122" refreshError="1"/>
      <sheetData sheetId="123" refreshError="1"/>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ow r="65">
          <cell r="A65" t="str">
            <v>(II)</v>
          </cell>
        </row>
      </sheetData>
      <sheetData sheetId="161">
        <row r="65">
          <cell r="A65" t="str">
            <v>(II)</v>
          </cell>
        </row>
      </sheetData>
      <sheetData sheetId="162">
        <row r="65">
          <cell r="A65" t="str">
            <v>(II)</v>
          </cell>
        </row>
      </sheetData>
      <sheetData sheetId="163">
        <row r="65">
          <cell r="A65" t="str">
            <v>(II)</v>
          </cell>
        </row>
      </sheetData>
      <sheetData sheetId="164">
        <row r="65">
          <cell r="A65" t="str">
            <v>(II)</v>
          </cell>
        </row>
      </sheetData>
      <sheetData sheetId="165">
        <row r="65">
          <cell r="A65" t="str">
            <v>(II)</v>
          </cell>
        </row>
      </sheetData>
      <sheetData sheetId="166">
        <row r="65">
          <cell r="A65" t="str">
            <v>(II)</v>
          </cell>
        </row>
      </sheetData>
      <sheetData sheetId="167">
        <row r="65">
          <cell r="A65" t="str">
            <v>(II)</v>
          </cell>
        </row>
      </sheetData>
      <sheetData sheetId="168">
        <row r="65">
          <cell r="A65" t="str">
            <v>(II)</v>
          </cell>
        </row>
      </sheetData>
      <sheetData sheetId="169">
        <row r="65">
          <cell r="A65" t="str">
            <v>(II)</v>
          </cell>
        </row>
      </sheetData>
      <sheetData sheetId="170">
        <row r="65">
          <cell r="A65" t="str">
            <v>(II)</v>
          </cell>
        </row>
      </sheetData>
      <sheetData sheetId="171">
        <row r="65">
          <cell r="A65" t="str">
            <v>(II)</v>
          </cell>
        </row>
      </sheetData>
      <sheetData sheetId="172">
        <row r="65">
          <cell r="A65" t="str">
            <v>(II)</v>
          </cell>
        </row>
      </sheetData>
      <sheetData sheetId="173">
        <row r="65">
          <cell r="A65" t="str">
            <v>(II)</v>
          </cell>
        </row>
      </sheetData>
      <sheetData sheetId="174">
        <row r="65">
          <cell r="A65" t="str">
            <v>(II)</v>
          </cell>
        </row>
      </sheetData>
      <sheetData sheetId="175">
        <row r="65">
          <cell r="A65" t="str">
            <v>(II)</v>
          </cell>
        </row>
      </sheetData>
      <sheetData sheetId="176">
        <row r="65">
          <cell r="A65" t="str">
            <v>(II)</v>
          </cell>
        </row>
      </sheetData>
      <sheetData sheetId="177">
        <row r="65">
          <cell r="A65" t="str">
            <v>(II)</v>
          </cell>
        </row>
      </sheetData>
      <sheetData sheetId="178">
        <row r="65">
          <cell r="A65" t="str">
            <v>(II)</v>
          </cell>
        </row>
      </sheetData>
      <sheetData sheetId="179">
        <row r="65">
          <cell r="A65" t="str">
            <v>(II)</v>
          </cell>
        </row>
      </sheetData>
      <sheetData sheetId="180">
        <row r="65">
          <cell r="A65" t="str">
            <v>(II)</v>
          </cell>
        </row>
      </sheetData>
      <sheetData sheetId="181">
        <row r="65">
          <cell r="A65" t="str">
            <v>(II)</v>
          </cell>
        </row>
      </sheetData>
      <sheetData sheetId="182">
        <row r="65">
          <cell r="A65" t="str">
            <v>(II)</v>
          </cell>
        </row>
      </sheetData>
      <sheetData sheetId="183">
        <row r="65">
          <cell r="A65" t="str">
            <v>(II)</v>
          </cell>
        </row>
      </sheetData>
      <sheetData sheetId="184">
        <row r="65">
          <cell r="A65" t="str">
            <v>(II)</v>
          </cell>
        </row>
      </sheetData>
      <sheetData sheetId="185">
        <row r="65">
          <cell r="A65" t="str">
            <v>(II)</v>
          </cell>
        </row>
      </sheetData>
      <sheetData sheetId="186">
        <row r="65">
          <cell r="A65" t="str">
            <v>(II)</v>
          </cell>
        </row>
      </sheetData>
      <sheetData sheetId="187">
        <row r="65">
          <cell r="A65" t="str">
            <v>(II)</v>
          </cell>
        </row>
      </sheetData>
      <sheetData sheetId="188">
        <row r="65">
          <cell r="A65" t="str">
            <v>(II)</v>
          </cell>
        </row>
      </sheetData>
      <sheetData sheetId="189">
        <row r="65">
          <cell r="A65" t="str">
            <v>(II)</v>
          </cell>
        </row>
      </sheetData>
      <sheetData sheetId="190">
        <row r="65">
          <cell r="A65" t="str">
            <v>(II)</v>
          </cell>
        </row>
      </sheetData>
      <sheetData sheetId="191">
        <row r="65">
          <cell r="A65" t="str">
            <v>(II)</v>
          </cell>
        </row>
      </sheetData>
      <sheetData sheetId="192">
        <row r="65">
          <cell r="A65" t="str">
            <v>(II)</v>
          </cell>
        </row>
      </sheetData>
      <sheetData sheetId="193">
        <row r="65">
          <cell r="A65" t="str">
            <v>(II)</v>
          </cell>
        </row>
      </sheetData>
      <sheetData sheetId="194">
        <row r="65">
          <cell r="A65" t="str">
            <v>(II)</v>
          </cell>
        </row>
      </sheetData>
      <sheetData sheetId="195">
        <row r="65">
          <cell r="A65" t="str">
            <v>(II)</v>
          </cell>
        </row>
      </sheetData>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ow r="65">
          <cell r="A65" t="str">
            <v>(II)</v>
          </cell>
        </row>
      </sheetData>
      <sheetData sheetId="360">
        <row r="65">
          <cell r="A65" t="str">
            <v>(II)</v>
          </cell>
        </row>
      </sheetData>
      <sheetData sheetId="361">
        <row r="65">
          <cell r="A65" t="str">
            <v>(II)</v>
          </cell>
        </row>
      </sheetData>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ow r="65">
          <cell r="A65" t="str">
            <v>(II)</v>
          </cell>
        </row>
      </sheetData>
      <sheetData sheetId="433">
        <row r="65">
          <cell r="A65" t="str">
            <v>(II)</v>
          </cell>
        </row>
      </sheetData>
      <sheetData sheetId="434">
        <row r="65">
          <cell r="A65" t="str">
            <v>(II)</v>
          </cell>
        </row>
      </sheetData>
      <sheetData sheetId="435">
        <row r="65">
          <cell r="A65" t="str">
            <v>(II)</v>
          </cell>
        </row>
      </sheetData>
      <sheetData sheetId="436">
        <row r="65">
          <cell r="A65" t="str">
            <v>(II)</v>
          </cell>
        </row>
      </sheetData>
      <sheetData sheetId="437">
        <row r="65">
          <cell r="A65" t="str">
            <v>(II)</v>
          </cell>
        </row>
      </sheetData>
      <sheetData sheetId="438">
        <row r="65">
          <cell r="A65" t="str">
            <v>(II)</v>
          </cell>
        </row>
      </sheetData>
      <sheetData sheetId="439">
        <row r="65">
          <cell r="A65" t="str">
            <v>(II)</v>
          </cell>
        </row>
      </sheetData>
      <sheetData sheetId="440">
        <row r="65">
          <cell r="A65" t="str">
            <v>(II)</v>
          </cell>
        </row>
      </sheetData>
      <sheetData sheetId="441">
        <row r="65">
          <cell r="A65" t="str">
            <v>(II)</v>
          </cell>
        </row>
      </sheetData>
      <sheetData sheetId="442">
        <row r="65">
          <cell r="A65" t="str">
            <v>(II)</v>
          </cell>
        </row>
      </sheetData>
      <sheetData sheetId="443">
        <row r="65">
          <cell r="A65" t="str">
            <v>(II)</v>
          </cell>
        </row>
      </sheetData>
      <sheetData sheetId="444">
        <row r="65">
          <cell r="A65" t="str">
            <v>(II)</v>
          </cell>
        </row>
      </sheetData>
      <sheetData sheetId="445">
        <row r="65">
          <cell r="A65" t="str">
            <v>(II)</v>
          </cell>
        </row>
      </sheetData>
      <sheetData sheetId="446">
        <row r="65">
          <cell r="A65" t="str">
            <v>(II)</v>
          </cell>
        </row>
      </sheetData>
      <sheetData sheetId="447">
        <row r="65">
          <cell r="A65" t="str">
            <v>(II)</v>
          </cell>
        </row>
      </sheetData>
      <sheetData sheetId="448">
        <row r="65">
          <cell r="A65" t="str">
            <v>(II)</v>
          </cell>
        </row>
      </sheetData>
      <sheetData sheetId="449">
        <row r="65">
          <cell r="A65" t="str">
            <v>(II)</v>
          </cell>
        </row>
      </sheetData>
      <sheetData sheetId="450">
        <row r="65">
          <cell r="A65" t="str">
            <v>(II)</v>
          </cell>
        </row>
      </sheetData>
      <sheetData sheetId="451" refreshError="1"/>
      <sheetData sheetId="452" refreshError="1"/>
      <sheetData sheetId="453" refreshError="1"/>
      <sheetData sheetId="454" refreshError="1"/>
      <sheetData sheetId="455">
        <row r="65">
          <cell r="A65" t="str">
            <v>(II)</v>
          </cell>
        </row>
      </sheetData>
      <sheetData sheetId="456">
        <row r="65">
          <cell r="A65" t="str">
            <v>(II)</v>
          </cell>
        </row>
      </sheetData>
      <sheetData sheetId="457">
        <row r="65">
          <cell r="A65" t="str">
            <v>(II)</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refreshError="1"/>
      <sheetData sheetId="504" refreshError="1"/>
      <sheetData sheetId="505" refreshError="1"/>
      <sheetData sheetId="506" refreshError="1"/>
      <sheetData sheetId="507" refreshError="1"/>
      <sheetData sheetId="508">
        <row r="65">
          <cell r="A65" t="str">
            <v>(II)</v>
          </cell>
        </row>
      </sheetData>
      <sheetData sheetId="509"/>
      <sheetData sheetId="510">
        <row r="65">
          <cell r="A65" t="str">
            <v>(II)</v>
          </cell>
        </row>
      </sheetData>
      <sheetData sheetId="511">
        <row r="65">
          <cell r="A65" t="str">
            <v>(II)</v>
          </cell>
        </row>
      </sheetData>
      <sheetData sheetId="512">
        <row r="65">
          <cell r="A65" t="str">
            <v>(II)</v>
          </cell>
        </row>
      </sheetData>
      <sheetData sheetId="513">
        <row r="65">
          <cell r="A65" t="str">
            <v>(II)</v>
          </cell>
        </row>
      </sheetData>
      <sheetData sheetId="514">
        <row r="65">
          <cell r="A65" t="str">
            <v>(II)</v>
          </cell>
        </row>
      </sheetData>
      <sheetData sheetId="515">
        <row r="65">
          <cell r="A65" t="str">
            <v>(II)</v>
          </cell>
        </row>
      </sheetData>
      <sheetData sheetId="516">
        <row r="65">
          <cell r="A65" t="str">
            <v>(II)</v>
          </cell>
        </row>
      </sheetData>
      <sheetData sheetId="517">
        <row r="65">
          <cell r="A65" t="str">
            <v>(II)</v>
          </cell>
        </row>
      </sheetData>
      <sheetData sheetId="518">
        <row r="65">
          <cell r="A65" t="str">
            <v>(II)</v>
          </cell>
        </row>
      </sheetData>
      <sheetData sheetId="519">
        <row r="65">
          <cell r="A65" t="str">
            <v>(II)</v>
          </cell>
        </row>
      </sheetData>
      <sheetData sheetId="520">
        <row r="65">
          <cell r="A65" t="str">
            <v>(II)</v>
          </cell>
        </row>
      </sheetData>
      <sheetData sheetId="521">
        <row r="65">
          <cell r="A65" t="str">
            <v>(II)</v>
          </cell>
        </row>
      </sheetData>
      <sheetData sheetId="522">
        <row r="65">
          <cell r="A65" t="str">
            <v>(II)</v>
          </cell>
        </row>
      </sheetData>
      <sheetData sheetId="523">
        <row r="65">
          <cell r="A65" t="str">
            <v>(II)</v>
          </cell>
        </row>
      </sheetData>
      <sheetData sheetId="524">
        <row r="65">
          <cell r="A65" t="str">
            <v>(II)</v>
          </cell>
        </row>
      </sheetData>
      <sheetData sheetId="525">
        <row r="65">
          <cell r="A65" t="str">
            <v>(II)</v>
          </cell>
        </row>
      </sheetData>
      <sheetData sheetId="526">
        <row r="65">
          <cell r="A65" t="str">
            <v>(II)</v>
          </cell>
        </row>
      </sheetData>
      <sheetData sheetId="527">
        <row r="65">
          <cell r="A65" t="str">
            <v>(II)</v>
          </cell>
        </row>
      </sheetData>
      <sheetData sheetId="528">
        <row r="65">
          <cell r="A65" t="str">
            <v>(II)</v>
          </cell>
        </row>
      </sheetData>
      <sheetData sheetId="529">
        <row r="65">
          <cell r="A65" t="str">
            <v>(II)</v>
          </cell>
        </row>
      </sheetData>
      <sheetData sheetId="530">
        <row r="65">
          <cell r="A65" t="str">
            <v>(II)</v>
          </cell>
        </row>
      </sheetData>
      <sheetData sheetId="531">
        <row r="65">
          <cell r="A65" t="str">
            <v>(II)</v>
          </cell>
        </row>
      </sheetData>
      <sheetData sheetId="532">
        <row r="65">
          <cell r="A65" t="str">
            <v>(II)</v>
          </cell>
        </row>
      </sheetData>
      <sheetData sheetId="533">
        <row r="65">
          <cell r="A65" t="str">
            <v>(II)</v>
          </cell>
        </row>
      </sheetData>
      <sheetData sheetId="534">
        <row r="65">
          <cell r="A65" t="str">
            <v>(II)</v>
          </cell>
        </row>
      </sheetData>
      <sheetData sheetId="535">
        <row r="65">
          <cell r="A65" t="str">
            <v>(II)</v>
          </cell>
        </row>
      </sheetData>
      <sheetData sheetId="536">
        <row r="65">
          <cell r="A65" t="str">
            <v>(II)</v>
          </cell>
        </row>
      </sheetData>
      <sheetData sheetId="537">
        <row r="65">
          <cell r="A65" t="str">
            <v>(II)</v>
          </cell>
        </row>
      </sheetData>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ow r="65">
          <cell r="A65" t="str">
            <v>(II)</v>
          </cell>
        </row>
      </sheetData>
      <sheetData sheetId="562">
        <row r="65">
          <cell r="A65" t="str">
            <v>(II)</v>
          </cell>
        </row>
      </sheetData>
      <sheetData sheetId="563">
        <row r="65">
          <cell r="A65" t="str">
            <v>(II)</v>
          </cell>
        </row>
      </sheetData>
      <sheetData sheetId="564">
        <row r="65">
          <cell r="A65" t="str">
            <v>(II)</v>
          </cell>
        </row>
      </sheetData>
      <sheetData sheetId="565"/>
      <sheetData sheetId="566" refreshError="1"/>
      <sheetData sheetId="567">
        <row r="65">
          <cell r="A65" t="str">
            <v>(II)</v>
          </cell>
        </row>
      </sheetData>
      <sheetData sheetId="568">
        <row r="65">
          <cell r="A65" t="str">
            <v>(II)</v>
          </cell>
        </row>
      </sheetData>
      <sheetData sheetId="569">
        <row r="65">
          <cell r="A65" t="str">
            <v>(II)</v>
          </cell>
        </row>
      </sheetData>
      <sheetData sheetId="570">
        <row r="65">
          <cell r="A65" t="str">
            <v>(II)</v>
          </cell>
        </row>
      </sheetData>
      <sheetData sheetId="571">
        <row r="65">
          <cell r="A65" t="str">
            <v>(II)</v>
          </cell>
        </row>
      </sheetData>
      <sheetData sheetId="572">
        <row r="65">
          <cell r="A65" t="str">
            <v>(II)</v>
          </cell>
        </row>
      </sheetData>
      <sheetData sheetId="573">
        <row r="65">
          <cell r="A65" t="str">
            <v>(II)</v>
          </cell>
        </row>
      </sheetData>
      <sheetData sheetId="574">
        <row r="65">
          <cell r="A65" t="str">
            <v>(II)</v>
          </cell>
        </row>
      </sheetData>
      <sheetData sheetId="575">
        <row r="65">
          <cell r="A65" t="str">
            <v>(II)</v>
          </cell>
        </row>
      </sheetData>
      <sheetData sheetId="576">
        <row r="65">
          <cell r="A65" t="str">
            <v>(II)</v>
          </cell>
        </row>
      </sheetData>
      <sheetData sheetId="577">
        <row r="65">
          <cell r="A65" t="str">
            <v>(II)</v>
          </cell>
        </row>
      </sheetData>
      <sheetData sheetId="578">
        <row r="65">
          <cell r="A65" t="str">
            <v>(II)</v>
          </cell>
        </row>
      </sheetData>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ow r="65">
          <cell r="A65" t="str">
            <v>(II)</v>
          </cell>
        </row>
      </sheetData>
      <sheetData sheetId="602">
        <row r="65">
          <cell r="A65" t="str">
            <v>(II)</v>
          </cell>
        </row>
      </sheetData>
      <sheetData sheetId="603">
        <row r="65">
          <cell r="A65" t="str">
            <v>(II)</v>
          </cell>
        </row>
      </sheetData>
      <sheetData sheetId="604">
        <row r="65">
          <cell r="A65" t="str">
            <v>(II)</v>
          </cell>
        </row>
      </sheetData>
      <sheetData sheetId="605">
        <row r="65">
          <cell r="A65" t="str">
            <v>(II)</v>
          </cell>
        </row>
      </sheetData>
      <sheetData sheetId="606">
        <row r="65">
          <cell r="A65" t="str">
            <v>(II)</v>
          </cell>
        </row>
      </sheetData>
      <sheetData sheetId="607">
        <row r="65">
          <cell r="A65" t="str">
            <v>(II)</v>
          </cell>
        </row>
      </sheetData>
      <sheetData sheetId="608">
        <row r="65">
          <cell r="A65" t="str">
            <v>(II)</v>
          </cell>
        </row>
      </sheetData>
      <sheetData sheetId="609">
        <row r="65">
          <cell r="A65" t="str">
            <v>(II)</v>
          </cell>
        </row>
      </sheetData>
      <sheetData sheetId="610">
        <row r="65">
          <cell r="A65" t="str">
            <v>(II)</v>
          </cell>
        </row>
      </sheetData>
      <sheetData sheetId="611">
        <row r="65">
          <cell r="A65" t="str">
            <v>(II)</v>
          </cell>
        </row>
      </sheetData>
      <sheetData sheetId="612">
        <row r="65">
          <cell r="A65" t="str">
            <v>(II)</v>
          </cell>
        </row>
      </sheetData>
      <sheetData sheetId="613">
        <row r="65">
          <cell r="A65" t="str">
            <v>(II)</v>
          </cell>
        </row>
      </sheetData>
      <sheetData sheetId="614">
        <row r="65">
          <cell r="A65" t="str">
            <v>(II)</v>
          </cell>
        </row>
      </sheetData>
      <sheetData sheetId="615">
        <row r="65">
          <cell r="A65" t="str">
            <v>(II)</v>
          </cell>
        </row>
      </sheetData>
      <sheetData sheetId="616">
        <row r="65">
          <cell r="A65" t="str">
            <v>(II)</v>
          </cell>
        </row>
      </sheetData>
      <sheetData sheetId="617">
        <row r="65">
          <cell r="A65" t="str">
            <v>(II)</v>
          </cell>
        </row>
      </sheetData>
      <sheetData sheetId="618">
        <row r="65">
          <cell r="A65" t="str">
            <v>(II)</v>
          </cell>
        </row>
      </sheetData>
      <sheetData sheetId="619">
        <row r="65">
          <cell r="A65" t="str">
            <v>(II)</v>
          </cell>
        </row>
      </sheetData>
      <sheetData sheetId="620">
        <row r="65">
          <cell r="A65" t="str">
            <v>(II)</v>
          </cell>
        </row>
      </sheetData>
      <sheetData sheetId="621">
        <row r="65">
          <cell r="A65" t="str">
            <v>(II)</v>
          </cell>
        </row>
      </sheetData>
      <sheetData sheetId="622">
        <row r="65">
          <cell r="A65" t="str">
            <v>(II)</v>
          </cell>
        </row>
      </sheetData>
      <sheetData sheetId="623">
        <row r="65">
          <cell r="A65" t="str">
            <v>(II)</v>
          </cell>
        </row>
      </sheetData>
      <sheetData sheetId="624">
        <row r="65">
          <cell r="A65" t="str">
            <v>(II)</v>
          </cell>
        </row>
      </sheetData>
      <sheetData sheetId="625">
        <row r="65">
          <cell r="A65" t="str">
            <v>(II)</v>
          </cell>
        </row>
      </sheetData>
      <sheetData sheetId="626">
        <row r="65">
          <cell r="A65" t="str">
            <v>(II)</v>
          </cell>
        </row>
      </sheetData>
      <sheetData sheetId="627">
        <row r="65">
          <cell r="A65" t="str">
            <v>(II)</v>
          </cell>
        </row>
      </sheetData>
      <sheetData sheetId="628">
        <row r="65">
          <cell r="A65" t="str">
            <v>(II)</v>
          </cell>
        </row>
      </sheetData>
      <sheetData sheetId="629"/>
      <sheetData sheetId="630"/>
      <sheetData sheetId="631"/>
      <sheetData sheetId="632"/>
      <sheetData sheetId="633"/>
      <sheetData sheetId="634"/>
      <sheetData sheetId="635"/>
      <sheetData sheetId="636"/>
      <sheetData sheetId="637">
        <row r="65">
          <cell r="A65" t="str">
            <v>(II)</v>
          </cell>
        </row>
      </sheetData>
      <sheetData sheetId="638"/>
      <sheetData sheetId="639"/>
      <sheetData sheetId="640"/>
      <sheetData sheetId="641"/>
      <sheetData sheetId="642"/>
      <sheetData sheetId="643"/>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ow r="65">
          <cell r="A65" t="str">
            <v>(II)</v>
          </cell>
        </row>
      </sheetData>
      <sheetData sheetId="700"/>
      <sheetData sheetId="701"/>
      <sheetData sheetId="702">
        <row r="65">
          <cell r="A65" t="str">
            <v>(II)</v>
          </cell>
        </row>
      </sheetData>
      <sheetData sheetId="703"/>
      <sheetData sheetId="704"/>
      <sheetData sheetId="705"/>
      <sheetData sheetId="706">
        <row r="65">
          <cell r="A65" t="str">
            <v>(II)</v>
          </cell>
        </row>
      </sheetData>
      <sheetData sheetId="707"/>
      <sheetData sheetId="708"/>
      <sheetData sheetId="709"/>
      <sheetData sheetId="710"/>
      <sheetData sheetId="711"/>
      <sheetData sheetId="712">
        <row r="65">
          <cell r="A65" t="str">
            <v>(II)</v>
          </cell>
        </row>
      </sheetData>
      <sheetData sheetId="713">
        <row r="65">
          <cell r="A65" t="str">
            <v>(II)</v>
          </cell>
        </row>
      </sheetData>
      <sheetData sheetId="714">
        <row r="65">
          <cell r="A65" t="str">
            <v>(II)</v>
          </cell>
        </row>
      </sheetData>
      <sheetData sheetId="715">
        <row r="65">
          <cell r="A65" t="str">
            <v>(II)</v>
          </cell>
        </row>
      </sheetData>
      <sheetData sheetId="716">
        <row r="65">
          <cell r="A65" t="str">
            <v>(II)</v>
          </cell>
        </row>
      </sheetData>
      <sheetData sheetId="717">
        <row r="65">
          <cell r="A65" t="str">
            <v>(II)</v>
          </cell>
        </row>
      </sheetData>
      <sheetData sheetId="718">
        <row r="65">
          <cell r="A65" t="str">
            <v>(II)</v>
          </cell>
        </row>
      </sheetData>
      <sheetData sheetId="719"/>
      <sheetData sheetId="720"/>
      <sheetData sheetId="721"/>
      <sheetData sheetId="722"/>
      <sheetData sheetId="723"/>
      <sheetData sheetId="724">
        <row r="65">
          <cell r="A65" t="str">
            <v>(II)</v>
          </cell>
        </row>
      </sheetData>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row r="65">
          <cell r="A65" t="str">
            <v>(II)</v>
          </cell>
        </row>
      </sheetData>
      <sheetData sheetId="741">
        <row r="65">
          <cell r="A65" t="str">
            <v>(II)</v>
          </cell>
        </row>
      </sheetData>
      <sheetData sheetId="742"/>
      <sheetData sheetId="743"/>
      <sheetData sheetId="744"/>
      <sheetData sheetId="745"/>
      <sheetData sheetId="746"/>
      <sheetData sheetId="747"/>
      <sheetData sheetId="748"/>
      <sheetData sheetId="749"/>
      <sheetData sheetId="750"/>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sheetData sheetId="821"/>
      <sheetData sheetId="822"/>
      <sheetData sheetId="823"/>
      <sheetData sheetId="824"/>
      <sheetData sheetId="825"/>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ow r="65">
          <cell r="A65" t="str">
            <v>(II)</v>
          </cell>
        </row>
      </sheetData>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sheetData sheetId="936"/>
      <sheetData sheetId="937"/>
      <sheetData sheetId="938" refreshError="1"/>
      <sheetData sheetId="939" refreshError="1"/>
      <sheetData sheetId="940">
        <row r="65">
          <cell r="A65" t="str">
            <v>(II)</v>
          </cell>
        </row>
      </sheetData>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ss on Sale of asset "/>
      <sheetName val="Plant New  (3)"/>
      <sheetName val="Plant New  (2)"/>
      <sheetName val="Profit &amp; Loss on Sale (2)"/>
      <sheetName val="Sale of asset  (2)"/>
      <sheetName val="E-SCH (RISHRA) 08-09 2Months"/>
      <sheetName val="E-SCH (RISHRA) 08-09 10months"/>
      <sheetName val="Profit &amp; Loss on Sale"/>
      <sheetName val="38900510"/>
      <sheetName val="38900500"/>
      <sheetName val="E-SCH (RISHRA) 08-09Final"/>
      <sheetName val="Sheet1 (2)"/>
      <sheetName val="Trial"/>
      <sheetName val="Sheet3"/>
      <sheetName val="CWIP  (2)"/>
      <sheetName val="CWIP "/>
      <sheetName val="Duty "/>
      <sheetName val="factory re"/>
      <sheetName val="Orderwise capitalisation "/>
      <sheetName val="Machine 64 ADD"/>
      <sheetName val="Machine 64 (2)"/>
      <sheetName val="Machine 64  Fin"/>
      <sheetName val="Factory Buildings  "/>
      <sheetName val="64"/>
      <sheetName val="Order "/>
      <sheetName val="Sheet1"/>
      <sheetName val="Discard of 64"/>
      <sheetName val="E-SCH (RISHRA) 08-09"/>
      <sheetName val="Discarded  "/>
      <sheetName val="March08-09"/>
      <sheetName val="Assets 08-09 upto March09 "/>
      <sheetName val="sale "/>
      <sheetName val="Sale of asset "/>
      <sheetName val="Discard of asset "/>
      <sheetName val="Office "/>
      <sheetName val="Plant Old "/>
      <sheetName val="Sheet2"/>
      <sheetName val="Repair  "/>
      <sheetName val="Computers "/>
      <sheetName val="Combined E-SCH (RISHRA)"/>
      <sheetName val="Plant New "/>
      <sheetName val="Furniture "/>
      <sheetName val="Motor Car "/>
      <sheetName val="Motor Truck "/>
      <sheetName val="Railway Sidings "/>
      <sheetName val="Freehold Land "/>
      <sheetName val="CWP Feb 2009"/>
      <sheetName val="Capex machine  "/>
      <sheetName val="Plant Final "/>
      <sheetName val="Land"/>
      <sheetName val="Plant"/>
      <sheetName val="E-SCH (RISHRA)"/>
      <sheetName val="Intangible "/>
      <sheetName val="Sensitivity"/>
      <sheetName val="Input-output"/>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S_Configurator"/>
      <sheetName val="Data"/>
      <sheetName val="@NAT-Fin (Financial summary)"/>
      <sheetName val="@NAT-Fin_(Financial_summary)"/>
      <sheetName val="@NAT-Fin_(Financial_summary)1"/>
      <sheetName val="@NAT-Fin_(Financial_summary)2"/>
      <sheetName val="ecc_res"/>
      <sheetName val="Acc_10.5"/>
      <sheetName val="MRP_Act"/>
      <sheetName val="MRP_Plan"/>
      <sheetName val="COMPLEXALL"/>
      <sheetName val="FACTORS"/>
      <sheetName val="Assumptions"/>
      <sheetName val="Assmpns"/>
      <sheetName val="CURVES BY VENDOR"/>
      <sheetName val="Data - Base Salary Sch"/>
      <sheetName val="Acc_10_5"/>
      <sheetName val="CURVES_BY_VENDOR"/>
      <sheetName val="Factors-overall"/>
      <sheetName val="Acc_10_51"/>
      <sheetName val="Acc_10_52"/>
      <sheetName val="Acc_10_53"/>
      <sheetName val="@NAT-Fin_(Financial_summary)3"/>
      <sheetName val="oresreqsum"/>
      <sheetName val="dghn"/>
      <sheetName val="Input"/>
      <sheetName val="PIMS"/>
      <sheetName val="Freight"/>
      <sheetName val="SCHDF1"/>
      <sheetName val="Main Bs Cr"/>
      <sheetName val="SOLUT011"/>
      <sheetName val="sch_7-19"/>
      <sheetName val="Shell Future_18Feb"/>
      <sheetName val="Feed1"/>
      <sheetName val="Sell1"/>
      <sheetName val="Acc_10_55"/>
      <sheetName val="@NAT-Fin_(Financial_summary)5"/>
      <sheetName val="CURVES_BY_VENDOR2"/>
      <sheetName val="Data_-_Base_Salary_Sch1"/>
      <sheetName val="Acc_10_54"/>
      <sheetName val="@NAT-Fin_(Financial_summary)4"/>
      <sheetName val="CURVES_BY_VENDOR1"/>
      <sheetName val="Data_-_Base_Salary_Sch"/>
      <sheetName val="17200"/>
      <sheetName val="Global"/>
      <sheetName val="Sheet2"/>
      <sheetName val="1001871"/>
      <sheetName val="Factor -local"/>
      <sheetName val="Factor- cables"/>
      <sheetName val="Debtors Sum"/>
      <sheetName val="DATE"/>
      <sheetName val="SEZ HNUU Platformer (Revamp)"/>
      <sheetName val="ODEP"/>
      <sheetName val="Introduction"/>
      <sheetName val="Mar'06"/>
      <sheetName val="Mar' 06 &amp; Sep'06"/>
      <sheetName val="Factor_-local"/>
      <sheetName val="Factor-_cables"/>
      <sheetName val="Debtors_Sum"/>
      <sheetName val="Factor_-local1"/>
      <sheetName val="Factor-_cables1"/>
      <sheetName val="Debtors_Sum1"/>
      <sheetName val="Factor_-local2"/>
      <sheetName val="Factor-_cables2"/>
      <sheetName val="Debtors_Sum2"/>
      <sheetName val="@NAT-Fin_(Financial_summary)6"/>
      <sheetName val="Factor_-local3"/>
      <sheetName val="Factor-_cables3"/>
      <sheetName val="Debtors_Sum3"/>
      <sheetName val="@NAT-Fin_(Financial_summary)7"/>
      <sheetName val="Factor_-local4"/>
      <sheetName val="Factor-_cables4"/>
      <sheetName val="Debtors_Sum4"/>
      <sheetName val="@NAT-Fin_(Financial_summary)8"/>
      <sheetName val="Factor_-local5"/>
      <sheetName val="Factor-_cables5"/>
      <sheetName val="Debtors_Sum5"/>
      <sheetName val="@NAT-Fin_(Financial_summary)9"/>
      <sheetName val="Factor_-local6"/>
      <sheetName val="Factor-_cables6"/>
      <sheetName val="Acc_10_56"/>
      <sheetName val="Debtors_Sum6"/>
      <sheetName val="Mar'_06_&amp;_Sep'06"/>
      <sheetName val="@NAT-Fin_(Financial_summary)10"/>
      <sheetName val="Factor_-local7"/>
      <sheetName val="Factor-_cables7"/>
      <sheetName val="Acc_10_57"/>
      <sheetName val="Debtors_Sum7"/>
      <sheetName val="Mar'_06_&amp;_Sep'061"/>
      <sheetName val="@NAT-Fin_(Financial_summary)11"/>
      <sheetName val="Factor_-local8"/>
      <sheetName val="Factor-_cables8"/>
      <sheetName val="Acc_10_58"/>
      <sheetName val="Debtors_Sum8"/>
      <sheetName val="Mar'_06_&amp;_Sep'062"/>
      <sheetName val="@NAT-Fin_(Financial_summary)12"/>
      <sheetName val="Factor_-local9"/>
      <sheetName val="Factor-_cables9"/>
      <sheetName val="Acc_10_59"/>
      <sheetName val="Debtors_Sum9"/>
      <sheetName val="Mar'_06_&amp;_Sep'063"/>
      <sheetName val="Master Price List"/>
      <sheetName val="Misc"/>
      <sheetName val="TEJAS1"/>
      <sheetName val="Income OCT"/>
      <sheetName val="CURVES_BY_VENDOR3"/>
      <sheetName val="Data_-_Base_Salary_Sch2"/>
      <sheetName val="Main_Bs_Cr"/>
      <sheetName val="Shell_Future_18Feb"/>
      <sheetName val="SEZ_HNUU_Platformer_(Revamp)"/>
      <sheetName val="GL"/>
      <sheetName val="Holiday List"/>
      <sheetName val="Perf Distribution"/>
      <sheetName val="Other assumptions"/>
      <sheetName val="Sheet3 (2)"/>
      <sheetName val="Sheet1"/>
      <sheetName val="Portfolio Summary"/>
    </sheetNames>
    <sheetDataSet>
      <sheetData sheetId="0" refreshError="1">
        <row r="4">
          <cell r="B4" t="b">
            <v>1</v>
          </cell>
        </row>
      </sheetData>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ureA"/>
      <sheetName val="AnnexureB"/>
      <sheetName val="AnnexureC"/>
      <sheetName val="Annexure C"/>
      <sheetName val="Supporting to AnnexureC "/>
      <sheetName val="Supporting to AnnexureD(Ach.)"/>
      <sheetName val="AnnexureD"/>
      <sheetName val="AnnexureE"/>
      <sheetName val="AnnexureG"/>
      <sheetName val="AnnexureH"/>
      <sheetName val="AnnexureI"/>
      <sheetName val="AnnexureF"/>
      <sheetName val="Annexure G"/>
      <sheetName val="Annexure H"/>
      <sheetName val="Annexure I "/>
      <sheetName val="AnnexureJ"/>
      <sheetName val="Annexure K"/>
      <sheetName val="Annxure L"/>
      <sheetName val="Annexure M"/>
      <sheetName val="AnnexureO"/>
      <sheetName val="AnnexureQ"/>
      <sheetName val="consumables"/>
      <sheetName val="Mod.cl Stk Revised Confi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LSGAA"/>
      <sheetName val="FA Schedule Dec 07"/>
    </sheetNames>
    <definedNames>
      <definedName name="On_Click"/>
    </definedNames>
    <sheetDataSet>
      <sheetData sheetId="0" refreshError="1"/>
      <sheetData sheetId="1"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Page"/>
      <sheetName val="EconSummary"/>
      <sheetName val="P&amp;L"/>
      <sheetName val="B-S"/>
      <sheetName val="ShipsPrint"/>
      <sheetName val="Shareholders"/>
      <sheetName val="ShareData"/>
      <sheetName val="VLGC"/>
      <sheetName val="LGC"/>
      <sheetName val="MGC"/>
      <sheetName val="Handy-Igloo"/>
      <sheetName val="LNGas"/>
      <sheetName val="Motor Tankers"/>
      <sheetName val="Turbine Tankers"/>
      <sheetName val="Bulker"/>
      <sheetName val="FPSO-CF"/>
      <sheetName val="CP-Operat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olcharac"/>
      <sheetName val="EMI"/>
      <sheetName val="deleted"/>
    </sheetNames>
    <sheetDataSet>
      <sheetData sheetId="0"/>
      <sheetData sheetId="1"/>
      <sheetData sheetId="2"/>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NOTES"/>
    </sheetNames>
    <sheetDataSet>
      <sheetData sheetId="0" refreshError="1"/>
      <sheetData sheetId="1"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N"/>
      <sheetName val="WELCOME"/>
      <sheetName val="PARAMS"/>
      <sheetName val="SALE_MODE"/>
      <sheetName val="EXECUTING_AGENCY"/>
      <sheetName val="STATE"/>
      <sheetName val="SECTOR"/>
      <sheetName val="CATEGORIES"/>
      <sheetName val="PLANT_TYPE"/>
      <sheetName val="PLANT_SUB_TYPE"/>
      <sheetName val="STATUS"/>
      <sheetName val="PLAN"/>
      <sheetName val="Pivot Table"/>
      <sheetName val="PLANT"/>
      <sheetName val="Futr_Capacity Summ_Domest_Coal"/>
      <sheetName val="ALLOCATION"/>
      <sheetName val="Future_Capacity Addition"/>
      <sheetName val="SALE_AGREEMENT_TYPE"/>
      <sheetName val="REGIONAL_CAPACITY"/>
      <sheetName val="VARIABLE_COST"/>
      <sheetName val="PLF_PERCENT"/>
      <sheetName val="PLF_4_FUTURE"/>
      <sheetName val="PROBABILITY_SLIPPAGES"/>
      <sheetName val="MONTHS_DAYS"/>
      <sheetName val="TRANSMISSION_LOSSES"/>
      <sheetName val="AUXILLIARY_CONSUMPTION"/>
      <sheetName val="HOURLY_HYDRO_PATTERN"/>
      <sheetName val="AVG_PLF"/>
      <sheetName val="VC_PROJECTION"/>
    </sheetNames>
    <sheetDataSet>
      <sheetData sheetId="0" refreshError="1"/>
      <sheetData sheetId="1" refreshError="1"/>
      <sheetData sheetId="2" refreshError="1"/>
      <sheetData sheetId="3">
        <row r="2">
          <cell r="A2" t="str">
            <v>Regional</v>
          </cell>
        </row>
      </sheetData>
      <sheetData sheetId="4" refreshError="1"/>
      <sheetData sheetId="5">
        <row r="2">
          <cell r="A2" t="str">
            <v>Andaman &amp; Nicobar</v>
          </cell>
        </row>
      </sheetData>
      <sheetData sheetId="6">
        <row r="2">
          <cell r="A2" t="str">
            <v>Private</v>
          </cell>
        </row>
      </sheetData>
      <sheetData sheetId="7" refreshError="1"/>
      <sheetData sheetId="8">
        <row r="2">
          <cell r="A2" t="str">
            <v>Hydro</v>
          </cell>
        </row>
      </sheetData>
      <sheetData sheetId="9" refreshError="1"/>
      <sheetData sheetId="10">
        <row r="2">
          <cell r="A2" t="str">
            <v>UC/Synchronised</v>
          </cell>
        </row>
      </sheetData>
      <sheetData sheetId="11">
        <row r="2">
          <cell r="A2" t="str">
            <v>XI</v>
          </cell>
        </row>
        <row r="3">
          <cell r="A3" t="str">
            <v>XII</v>
          </cell>
        </row>
        <row r="4">
          <cell r="A4" t="str">
            <v>XIII</v>
          </cell>
        </row>
      </sheetData>
      <sheetData sheetId="12" refreshError="1"/>
      <sheetData sheetId="13">
        <row r="2">
          <cell r="F2" t="str">
            <v>A.P.SAHIB  ST.I</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N"/>
      <sheetName val="WELCOME"/>
      <sheetName val="PARAMS"/>
      <sheetName val="SALE_MODE"/>
      <sheetName val="EXECUTING_AGENCY"/>
      <sheetName val="STATE"/>
      <sheetName val="SECTOR"/>
      <sheetName val="CATEGORIES"/>
      <sheetName val="PLANT_TYPE"/>
      <sheetName val="PLANT_SUB_TYPE"/>
      <sheetName val="STATUS"/>
      <sheetName val="PLAN"/>
      <sheetName val="Pivot Table"/>
      <sheetName val="Futr_Capacity Summ_Domest_Coal"/>
      <sheetName val="Future_Capacity Addition"/>
      <sheetName val="PLF_2010-11"/>
      <sheetName val="PLF-2011-12"/>
      <sheetName val="PLF-2012-13"/>
      <sheetName val="PLANT_PLF_ALL"/>
      <sheetName val="SALE_AGREEMENT_TYPE"/>
      <sheetName val="PLF_4_FUTURE"/>
      <sheetName val="MONTHS_DAYS"/>
      <sheetName val="TRANSMISSION_LOSSES"/>
      <sheetName val="AUXILLIARY_CONSUMPTION"/>
      <sheetName val="VC_PROJECTION"/>
      <sheetName val="Sheet3"/>
      <sheetName val="Installed Capacity Addition"/>
      <sheetName val="Sheet5"/>
      <sheetName val="PLANT"/>
      <sheetName val="Sheet8"/>
      <sheetName val="Sheet9"/>
      <sheetName val="Sheet6"/>
      <sheetName val="ALLOCATION"/>
      <sheetName val="PIVOT CAP"/>
      <sheetName val="PLF"/>
      <sheetName val="Sheet1"/>
      <sheetName val="AP,MH,MP,BH,HR,TN,GJ,RJ"/>
      <sheetName val="Sheet7"/>
      <sheetName val="Central &amp; State"/>
      <sheetName val="Private"/>
      <sheetName val="Sheet2"/>
      <sheetName val="new pivot of allocation"/>
      <sheetName val="Sheet4"/>
      <sheetName val="Sheet10"/>
    </sheetNames>
    <sheetDataSet>
      <sheetData sheetId="0"/>
      <sheetData sheetId="1"/>
      <sheetData sheetId="2"/>
      <sheetData sheetId="3">
        <row r="2">
          <cell r="A2" t="str">
            <v>Regional</v>
          </cell>
        </row>
        <row r="3">
          <cell r="A3" t="str">
            <v>Home</v>
          </cell>
        </row>
        <row r="4">
          <cell r="A4" t="str">
            <v>Merchant</v>
          </cell>
        </row>
        <row r="5">
          <cell r="A5" t="str">
            <v>Other</v>
          </cell>
        </row>
      </sheetData>
      <sheetData sheetId="4"/>
      <sheetData sheetId="5">
        <row r="2">
          <cell r="A2" t="str">
            <v>Andaman &amp; Nicobar</v>
          </cell>
        </row>
        <row r="3">
          <cell r="A3" t="str">
            <v>Andhra Pradesh</v>
          </cell>
        </row>
        <row r="4">
          <cell r="A4" t="str">
            <v>Arunachal Pradesh</v>
          </cell>
        </row>
        <row r="5">
          <cell r="A5" t="str">
            <v>Assam</v>
          </cell>
        </row>
        <row r="6">
          <cell r="A6" t="str">
            <v>Bihar</v>
          </cell>
        </row>
        <row r="7">
          <cell r="A7" t="str">
            <v>Chandigarh</v>
          </cell>
        </row>
        <row r="8">
          <cell r="A8" t="str">
            <v>Chhattisgarh</v>
          </cell>
        </row>
        <row r="9">
          <cell r="A9" t="str">
            <v>D &amp; N Haveli</v>
          </cell>
        </row>
        <row r="10">
          <cell r="A10" t="str">
            <v>Daman &amp; Diu</v>
          </cell>
        </row>
        <row r="11">
          <cell r="A11" t="str">
            <v>Delhi</v>
          </cell>
        </row>
        <row r="12">
          <cell r="A12" t="str">
            <v>DVC</v>
          </cell>
        </row>
        <row r="13">
          <cell r="A13" t="str">
            <v>Goa</v>
          </cell>
        </row>
        <row r="14">
          <cell r="A14" t="str">
            <v>Gujarat</v>
          </cell>
        </row>
        <row r="15">
          <cell r="A15" t="str">
            <v>Haryana</v>
          </cell>
        </row>
        <row r="16">
          <cell r="A16" t="str">
            <v>Himachal Pradesh</v>
          </cell>
        </row>
        <row r="17">
          <cell r="A17" t="str">
            <v>Jammu &amp; Kashmir</v>
          </cell>
        </row>
        <row r="18">
          <cell r="A18" t="str">
            <v>Jharkhand</v>
          </cell>
        </row>
        <row r="19">
          <cell r="A19" t="str">
            <v>Karnataka</v>
          </cell>
        </row>
        <row r="20">
          <cell r="A20" t="str">
            <v>Kerala</v>
          </cell>
        </row>
        <row r="21">
          <cell r="A21" t="str">
            <v>Lakshwadeep</v>
          </cell>
        </row>
        <row r="22">
          <cell r="A22" t="str">
            <v>Madhya Pradesh</v>
          </cell>
        </row>
        <row r="23">
          <cell r="A23" t="str">
            <v>Maharashtra</v>
          </cell>
        </row>
        <row r="24">
          <cell r="A24" t="str">
            <v>Manipur</v>
          </cell>
        </row>
        <row r="25">
          <cell r="A25" t="str">
            <v>Meghalya</v>
          </cell>
        </row>
        <row r="26">
          <cell r="A26" t="str">
            <v>Mizoram</v>
          </cell>
        </row>
        <row r="27">
          <cell r="A27" t="str">
            <v>Nagaland</v>
          </cell>
        </row>
        <row r="28">
          <cell r="A28" t="str">
            <v>None</v>
          </cell>
        </row>
        <row r="29">
          <cell r="A29" t="str">
            <v>Orissa</v>
          </cell>
        </row>
        <row r="30">
          <cell r="A30" t="str">
            <v>Others</v>
          </cell>
        </row>
        <row r="31">
          <cell r="A31" t="str">
            <v>Pondicherry</v>
          </cell>
        </row>
        <row r="32">
          <cell r="A32" t="str">
            <v>Punjab</v>
          </cell>
        </row>
        <row r="33">
          <cell r="A33" t="str">
            <v>Rajasthan</v>
          </cell>
        </row>
        <row r="34">
          <cell r="A34" t="str">
            <v>Sikkim</v>
          </cell>
        </row>
        <row r="35">
          <cell r="A35" t="str">
            <v>Tamil Nadu</v>
          </cell>
        </row>
        <row r="36">
          <cell r="A36" t="str">
            <v>Tripura</v>
          </cell>
        </row>
        <row r="37">
          <cell r="A37" t="str">
            <v>Uttar Pradesh</v>
          </cell>
        </row>
        <row r="38">
          <cell r="A38" t="str">
            <v>Uttarakhand</v>
          </cell>
        </row>
        <row r="39">
          <cell r="A39" t="str">
            <v>West Bengal</v>
          </cell>
        </row>
        <row r="40">
          <cell r="A40" t="str">
            <v>Bhutan</v>
          </cell>
        </row>
      </sheetData>
      <sheetData sheetId="6">
        <row r="2">
          <cell r="A2" t="str">
            <v>Private</v>
          </cell>
        </row>
        <row r="3">
          <cell r="A3" t="str">
            <v>Central</v>
          </cell>
        </row>
        <row r="4">
          <cell r="A4" t="str">
            <v>State</v>
          </cell>
        </row>
        <row r="5">
          <cell r="A5" t="str">
            <v>Joint Venture</v>
          </cell>
        </row>
      </sheetData>
      <sheetData sheetId="7"/>
      <sheetData sheetId="8">
        <row r="2">
          <cell r="A2" t="str">
            <v>Hydro</v>
          </cell>
        </row>
        <row r="3">
          <cell r="A3" t="str">
            <v>Gas</v>
          </cell>
        </row>
        <row r="4">
          <cell r="A4" t="str">
            <v>Domestic Coal</v>
          </cell>
        </row>
        <row r="5">
          <cell r="A5" t="str">
            <v>Imported Coal</v>
          </cell>
        </row>
        <row r="6">
          <cell r="A6" t="str">
            <v>Nuclear</v>
          </cell>
        </row>
        <row r="7">
          <cell r="A7" t="str">
            <v>Diesel</v>
          </cell>
        </row>
        <row r="8">
          <cell r="A8" t="str">
            <v>Renewables</v>
          </cell>
        </row>
      </sheetData>
      <sheetData sheetId="9"/>
      <sheetData sheetId="10">
        <row r="2">
          <cell r="A2" t="str">
            <v>UC/Synchronised</v>
          </cell>
        </row>
        <row r="3">
          <cell r="A3" t="str">
            <v>DPR under preparation</v>
          </cell>
        </row>
        <row r="4">
          <cell r="A4" t="str">
            <v>Planning</v>
          </cell>
        </row>
        <row r="5">
          <cell r="A5" t="str">
            <v>Fuel Linkage Applied for</v>
          </cell>
        </row>
        <row r="6">
          <cell r="A6" t="str">
            <v>Fuel Linkage/ Eqpt Order</v>
          </cell>
        </row>
        <row r="7">
          <cell r="A7" t="str">
            <v>Clearances Awaited</v>
          </cell>
        </row>
        <row r="8">
          <cell r="A8" t="str">
            <v>Clearances Obtained</v>
          </cell>
        </row>
        <row r="9">
          <cell r="A9" t="str">
            <v>DPR prepared</v>
          </cell>
        </row>
        <row r="10">
          <cell r="A10" t="str">
            <v>Bid Invited</v>
          </cell>
        </row>
        <row r="11">
          <cell r="A11" t="str">
            <v>Bids Awarded</v>
          </cell>
        </row>
        <row r="12">
          <cell r="A12" t="str">
            <v>Financial Closure Awaited</v>
          </cell>
        </row>
        <row r="13">
          <cell r="A13" t="str">
            <v>FC</v>
          </cell>
        </row>
        <row r="14">
          <cell r="A14" t="str">
            <v>Commissioned</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D2">
            <v>0</v>
          </cell>
        </row>
        <row r="3">
          <cell r="D3">
            <v>0</v>
          </cell>
        </row>
        <row r="4">
          <cell r="D4">
            <v>0</v>
          </cell>
        </row>
        <row r="5">
          <cell r="D5">
            <v>0</v>
          </cell>
        </row>
        <row r="6">
          <cell r="D6">
            <v>0</v>
          </cell>
        </row>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row r="58">
          <cell r="D58">
            <v>0</v>
          </cell>
        </row>
        <row r="59">
          <cell r="D59">
            <v>0</v>
          </cell>
        </row>
        <row r="60">
          <cell r="D60">
            <v>0</v>
          </cell>
        </row>
        <row r="61">
          <cell r="D61">
            <v>0</v>
          </cell>
        </row>
        <row r="62">
          <cell r="D62">
            <v>0</v>
          </cell>
        </row>
        <row r="63">
          <cell r="D63">
            <v>0</v>
          </cell>
        </row>
        <row r="64">
          <cell r="D64">
            <v>0</v>
          </cell>
        </row>
        <row r="65">
          <cell r="D65">
            <v>0</v>
          </cell>
        </row>
        <row r="66">
          <cell r="D66">
            <v>0</v>
          </cell>
        </row>
        <row r="67">
          <cell r="D67">
            <v>0</v>
          </cell>
        </row>
        <row r="68">
          <cell r="D68">
            <v>0</v>
          </cell>
        </row>
        <row r="69">
          <cell r="D69">
            <v>0</v>
          </cell>
        </row>
        <row r="70">
          <cell r="D70">
            <v>0</v>
          </cell>
        </row>
        <row r="71">
          <cell r="D71">
            <v>0</v>
          </cell>
        </row>
        <row r="72">
          <cell r="D72">
            <v>0</v>
          </cell>
        </row>
        <row r="73">
          <cell r="D73">
            <v>0</v>
          </cell>
        </row>
        <row r="74">
          <cell r="D74">
            <v>0</v>
          </cell>
        </row>
        <row r="75">
          <cell r="D75">
            <v>0</v>
          </cell>
        </row>
        <row r="76">
          <cell r="D76">
            <v>0</v>
          </cell>
        </row>
        <row r="77">
          <cell r="D77">
            <v>0</v>
          </cell>
        </row>
        <row r="78">
          <cell r="D78">
            <v>0</v>
          </cell>
        </row>
        <row r="79">
          <cell r="D79">
            <v>0</v>
          </cell>
        </row>
        <row r="80">
          <cell r="D80">
            <v>0</v>
          </cell>
        </row>
        <row r="81">
          <cell r="D81">
            <v>0</v>
          </cell>
        </row>
        <row r="82">
          <cell r="D82">
            <v>0</v>
          </cell>
        </row>
        <row r="83">
          <cell r="D83">
            <v>0</v>
          </cell>
        </row>
        <row r="84">
          <cell r="D84">
            <v>0</v>
          </cell>
        </row>
        <row r="85">
          <cell r="D85">
            <v>0</v>
          </cell>
        </row>
        <row r="86">
          <cell r="D86">
            <v>0</v>
          </cell>
        </row>
        <row r="87">
          <cell r="D87">
            <v>0</v>
          </cell>
        </row>
        <row r="88">
          <cell r="D88">
            <v>0</v>
          </cell>
        </row>
        <row r="89">
          <cell r="D89">
            <v>0</v>
          </cell>
        </row>
        <row r="90">
          <cell r="D90">
            <v>0</v>
          </cell>
        </row>
        <row r="91">
          <cell r="D91">
            <v>0</v>
          </cell>
        </row>
        <row r="92">
          <cell r="D92">
            <v>0</v>
          </cell>
        </row>
        <row r="93">
          <cell r="D93">
            <v>0</v>
          </cell>
        </row>
        <row r="94">
          <cell r="D94">
            <v>0</v>
          </cell>
        </row>
        <row r="95">
          <cell r="D95">
            <v>0</v>
          </cell>
        </row>
        <row r="96">
          <cell r="D96">
            <v>0</v>
          </cell>
        </row>
        <row r="97">
          <cell r="D97">
            <v>0</v>
          </cell>
        </row>
        <row r="98">
          <cell r="D98">
            <v>0</v>
          </cell>
        </row>
        <row r="99">
          <cell r="D99">
            <v>0</v>
          </cell>
        </row>
        <row r="100">
          <cell r="D100">
            <v>0</v>
          </cell>
        </row>
        <row r="101">
          <cell r="D101">
            <v>0</v>
          </cell>
        </row>
        <row r="102">
          <cell r="D102">
            <v>0</v>
          </cell>
        </row>
        <row r="103">
          <cell r="D103">
            <v>0</v>
          </cell>
        </row>
        <row r="104">
          <cell r="D104">
            <v>0</v>
          </cell>
        </row>
        <row r="105">
          <cell r="D105">
            <v>0</v>
          </cell>
        </row>
        <row r="106">
          <cell r="D106">
            <v>0</v>
          </cell>
        </row>
        <row r="107">
          <cell r="D107">
            <v>0</v>
          </cell>
        </row>
        <row r="108">
          <cell r="D108">
            <v>0</v>
          </cell>
        </row>
        <row r="109">
          <cell r="D109">
            <v>0</v>
          </cell>
        </row>
        <row r="110">
          <cell r="D110">
            <v>0</v>
          </cell>
        </row>
        <row r="111">
          <cell r="D111">
            <v>0</v>
          </cell>
        </row>
        <row r="112">
          <cell r="D112">
            <v>0</v>
          </cell>
        </row>
        <row r="113">
          <cell r="D113">
            <v>0</v>
          </cell>
        </row>
        <row r="114">
          <cell r="D114">
            <v>0</v>
          </cell>
        </row>
        <row r="115">
          <cell r="D115">
            <v>0</v>
          </cell>
        </row>
        <row r="116">
          <cell r="D116">
            <v>0</v>
          </cell>
        </row>
        <row r="117">
          <cell r="D117">
            <v>0</v>
          </cell>
        </row>
        <row r="118">
          <cell r="D118">
            <v>0</v>
          </cell>
        </row>
        <row r="119">
          <cell r="D119">
            <v>0</v>
          </cell>
        </row>
        <row r="120">
          <cell r="D120">
            <v>0</v>
          </cell>
        </row>
        <row r="121">
          <cell r="D121">
            <v>0</v>
          </cell>
        </row>
        <row r="122">
          <cell r="D122">
            <v>0</v>
          </cell>
        </row>
        <row r="123">
          <cell r="D123">
            <v>0</v>
          </cell>
        </row>
        <row r="124">
          <cell r="D124">
            <v>0</v>
          </cell>
        </row>
        <row r="125">
          <cell r="D125">
            <v>0</v>
          </cell>
        </row>
        <row r="126">
          <cell r="D126">
            <v>0</v>
          </cell>
        </row>
        <row r="127">
          <cell r="D127">
            <v>0</v>
          </cell>
        </row>
        <row r="128">
          <cell r="D128">
            <v>0</v>
          </cell>
        </row>
        <row r="129">
          <cell r="D129">
            <v>0</v>
          </cell>
        </row>
        <row r="130">
          <cell r="D130">
            <v>0</v>
          </cell>
        </row>
        <row r="131">
          <cell r="D131">
            <v>0</v>
          </cell>
        </row>
        <row r="132">
          <cell r="D132">
            <v>0</v>
          </cell>
        </row>
        <row r="133">
          <cell r="D133">
            <v>0</v>
          </cell>
        </row>
        <row r="134">
          <cell r="D134">
            <v>0</v>
          </cell>
        </row>
        <row r="135">
          <cell r="D135">
            <v>0</v>
          </cell>
        </row>
        <row r="136">
          <cell r="D136">
            <v>0</v>
          </cell>
        </row>
        <row r="137">
          <cell r="D137">
            <v>0</v>
          </cell>
        </row>
        <row r="138">
          <cell r="D138">
            <v>0</v>
          </cell>
        </row>
        <row r="139">
          <cell r="D139">
            <v>0</v>
          </cell>
        </row>
        <row r="140">
          <cell r="D140">
            <v>0</v>
          </cell>
        </row>
        <row r="141">
          <cell r="D141">
            <v>0</v>
          </cell>
        </row>
        <row r="142">
          <cell r="D142">
            <v>0</v>
          </cell>
        </row>
        <row r="143">
          <cell r="D143">
            <v>0</v>
          </cell>
        </row>
        <row r="144">
          <cell r="D144">
            <v>0</v>
          </cell>
        </row>
        <row r="145">
          <cell r="D145">
            <v>0</v>
          </cell>
        </row>
        <row r="146">
          <cell r="D146">
            <v>0</v>
          </cell>
        </row>
        <row r="147">
          <cell r="D147">
            <v>0</v>
          </cell>
        </row>
        <row r="148">
          <cell r="D148">
            <v>0</v>
          </cell>
        </row>
        <row r="149">
          <cell r="D149">
            <v>0</v>
          </cell>
        </row>
        <row r="150">
          <cell r="D150">
            <v>0</v>
          </cell>
        </row>
        <row r="151">
          <cell r="D151">
            <v>0</v>
          </cell>
        </row>
        <row r="152">
          <cell r="D152">
            <v>0</v>
          </cell>
        </row>
        <row r="153">
          <cell r="D153">
            <v>0</v>
          </cell>
        </row>
        <row r="154">
          <cell r="D154">
            <v>0</v>
          </cell>
        </row>
        <row r="155">
          <cell r="D155">
            <v>0</v>
          </cell>
        </row>
        <row r="156">
          <cell r="D156">
            <v>0</v>
          </cell>
        </row>
        <row r="157">
          <cell r="D157">
            <v>0</v>
          </cell>
        </row>
        <row r="158">
          <cell r="D158">
            <v>0</v>
          </cell>
        </row>
        <row r="159">
          <cell r="D159">
            <v>0</v>
          </cell>
        </row>
        <row r="160">
          <cell r="D160">
            <v>0</v>
          </cell>
        </row>
        <row r="161">
          <cell r="D161">
            <v>0</v>
          </cell>
        </row>
        <row r="162">
          <cell r="D162">
            <v>0</v>
          </cell>
        </row>
        <row r="163">
          <cell r="D163">
            <v>0</v>
          </cell>
        </row>
        <row r="164">
          <cell r="D164">
            <v>0</v>
          </cell>
        </row>
        <row r="165">
          <cell r="D165">
            <v>0</v>
          </cell>
        </row>
        <row r="166">
          <cell r="D166">
            <v>0</v>
          </cell>
        </row>
        <row r="167">
          <cell r="D167">
            <v>0</v>
          </cell>
        </row>
        <row r="168">
          <cell r="D168">
            <v>0</v>
          </cell>
        </row>
        <row r="169">
          <cell r="D169">
            <v>0</v>
          </cell>
        </row>
        <row r="170">
          <cell r="D170">
            <v>0</v>
          </cell>
        </row>
        <row r="171">
          <cell r="D171">
            <v>0</v>
          </cell>
        </row>
        <row r="172">
          <cell r="D172">
            <v>0</v>
          </cell>
        </row>
        <row r="173">
          <cell r="D173">
            <v>0</v>
          </cell>
        </row>
        <row r="174">
          <cell r="D174">
            <v>0</v>
          </cell>
        </row>
        <row r="175">
          <cell r="D175">
            <v>0</v>
          </cell>
        </row>
        <row r="176">
          <cell r="D176">
            <v>0</v>
          </cell>
        </row>
        <row r="177">
          <cell r="D177">
            <v>0</v>
          </cell>
        </row>
        <row r="178">
          <cell r="D178">
            <v>0</v>
          </cell>
        </row>
        <row r="179">
          <cell r="D179">
            <v>0</v>
          </cell>
        </row>
        <row r="180">
          <cell r="D180">
            <v>0</v>
          </cell>
        </row>
        <row r="181">
          <cell r="D181">
            <v>0</v>
          </cell>
        </row>
        <row r="182">
          <cell r="D182">
            <v>0</v>
          </cell>
        </row>
        <row r="183">
          <cell r="D183">
            <v>0</v>
          </cell>
        </row>
        <row r="184">
          <cell r="D184">
            <v>0</v>
          </cell>
        </row>
        <row r="185">
          <cell r="D185">
            <v>0</v>
          </cell>
        </row>
        <row r="186">
          <cell r="D186">
            <v>0</v>
          </cell>
        </row>
        <row r="187">
          <cell r="D187">
            <v>0</v>
          </cell>
        </row>
        <row r="188">
          <cell r="D188">
            <v>0</v>
          </cell>
        </row>
        <row r="189">
          <cell r="D189">
            <v>0</v>
          </cell>
        </row>
        <row r="190">
          <cell r="D190">
            <v>0</v>
          </cell>
        </row>
        <row r="191">
          <cell r="D191">
            <v>0</v>
          </cell>
        </row>
        <row r="192">
          <cell r="D192">
            <v>0</v>
          </cell>
        </row>
        <row r="193">
          <cell r="D193">
            <v>0</v>
          </cell>
        </row>
        <row r="194">
          <cell r="D194">
            <v>0</v>
          </cell>
        </row>
        <row r="195">
          <cell r="D195">
            <v>0</v>
          </cell>
        </row>
        <row r="196">
          <cell r="D196">
            <v>0</v>
          </cell>
        </row>
        <row r="197">
          <cell r="D197">
            <v>0</v>
          </cell>
        </row>
        <row r="198">
          <cell r="D198">
            <v>0</v>
          </cell>
        </row>
        <row r="199">
          <cell r="D199">
            <v>0</v>
          </cell>
        </row>
        <row r="200">
          <cell r="D200">
            <v>0</v>
          </cell>
        </row>
        <row r="201">
          <cell r="D201">
            <v>0</v>
          </cell>
        </row>
        <row r="202">
          <cell r="D202">
            <v>0</v>
          </cell>
        </row>
        <row r="203">
          <cell r="D203">
            <v>0</v>
          </cell>
        </row>
        <row r="204">
          <cell r="D204">
            <v>0</v>
          </cell>
        </row>
        <row r="205">
          <cell r="D205">
            <v>0</v>
          </cell>
        </row>
        <row r="206">
          <cell r="D206">
            <v>0</v>
          </cell>
        </row>
        <row r="207">
          <cell r="D207">
            <v>0</v>
          </cell>
        </row>
        <row r="208">
          <cell r="D208">
            <v>0</v>
          </cell>
        </row>
        <row r="209">
          <cell r="D209">
            <v>0</v>
          </cell>
        </row>
        <row r="210">
          <cell r="D210">
            <v>0</v>
          </cell>
        </row>
        <row r="211">
          <cell r="D211">
            <v>0</v>
          </cell>
        </row>
        <row r="212">
          <cell r="D212">
            <v>0</v>
          </cell>
        </row>
        <row r="213">
          <cell r="D213">
            <v>0</v>
          </cell>
        </row>
        <row r="214">
          <cell r="D214">
            <v>0</v>
          </cell>
        </row>
        <row r="215">
          <cell r="D215">
            <v>0</v>
          </cell>
        </row>
        <row r="216">
          <cell r="D216">
            <v>0</v>
          </cell>
        </row>
        <row r="217">
          <cell r="D217">
            <v>0</v>
          </cell>
        </row>
        <row r="218">
          <cell r="D218">
            <v>0</v>
          </cell>
        </row>
        <row r="219">
          <cell r="D219">
            <v>0</v>
          </cell>
        </row>
        <row r="220">
          <cell r="D220">
            <v>0</v>
          </cell>
        </row>
        <row r="221">
          <cell r="D221">
            <v>0</v>
          </cell>
        </row>
        <row r="222">
          <cell r="D222">
            <v>0</v>
          </cell>
        </row>
        <row r="223">
          <cell r="D223">
            <v>0</v>
          </cell>
        </row>
        <row r="224">
          <cell r="D224">
            <v>0</v>
          </cell>
        </row>
        <row r="225">
          <cell r="D225">
            <v>0</v>
          </cell>
        </row>
        <row r="226">
          <cell r="D226">
            <v>0</v>
          </cell>
        </row>
        <row r="227">
          <cell r="D227">
            <v>0</v>
          </cell>
        </row>
        <row r="228">
          <cell r="D228">
            <v>0</v>
          </cell>
        </row>
        <row r="229">
          <cell r="D229">
            <v>0</v>
          </cell>
        </row>
        <row r="230">
          <cell r="D230">
            <v>0</v>
          </cell>
        </row>
        <row r="231">
          <cell r="D231">
            <v>0</v>
          </cell>
        </row>
        <row r="232">
          <cell r="D232">
            <v>0</v>
          </cell>
        </row>
        <row r="233">
          <cell r="D233">
            <v>0</v>
          </cell>
        </row>
        <row r="234">
          <cell r="D234">
            <v>0</v>
          </cell>
        </row>
        <row r="235">
          <cell r="D235">
            <v>0</v>
          </cell>
        </row>
        <row r="236">
          <cell r="D236">
            <v>0</v>
          </cell>
        </row>
        <row r="237">
          <cell r="D237">
            <v>0</v>
          </cell>
        </row>
        <row r="238">
          <cell r="D238">
            <v>0</v>
          </cell>
        </row>
        <row r="239">
          <cell r="D239">
            <v>0</v>
          </cell>
        </row>
        <row r="240">
          <cell r="D240">
            <v>0</v>
          </cell>
        </row>
        <row r="241">
          <cell r="D241">
            <v>0</v>
          </cell>
        </row>
        <row r="242">
          <cell r="D242">
            <v>0</v>
          </cell>
        </row>
        <row r="243">
          <cell r="D243">
            <v>0</v>
          </cell>
        </row>
        <row r="244">
          <cell r="D244">
            <v>0</v>
          </cell>
        </row>
        <row r="245">
          <cell r="D245">
            <v>0</v>
          </cell>
        </row>
        <row r="246">
          <cell r="D246">
            <v>0</v>
          </cell>
        </row>
        <row r="247">
          <cell r="D247">
            <v>0</v>
          </cell>
        </row>
        <row r="248">
          <cell r="D248">
            <v>0</v>
          </cell>
        </row>
        <row r="249">
          <cell r="D249">
            <v>0</v>
          </cell>
        </row>
        <row r="250">
          <cell r="D250">
            <v>0</v>
          </cell>
        </row>
        <row r="251">
          <cell r="D251">
            <v>0</v>
          </cell>
        </row>
        <row r="252">
          <cell r="D252">
            <v>0</v>
          </cell>
        </row>
        <row r="253">
          <cell r="D253">
            <v>0</v>
          </cell>
        </row>
        <row r="254">
          <cell r="D254">
            <v>0</v>
          </cell>
        </row>
        <row r="255">
          <cell r="D255">
            <v>0</v>
          </cell>
        </row>
        <row r="256">
          <cell r="D256">
            <v>0</v>
          </cell>
        </row>
        <row r="257">
          <cell r="D257">
            <v>0</v>
          </cell>
        </row>
        <row r="258">
          <cell r="D258">
            <v>0</v>
          </cell>
        </row>
        <row r="259">
          <cell r="D259">
            <v>0</v>
          </cell>
        </row>
        <row r="260">
          <cell r="D260">
            <v>0</v>
          </cell>
        </row>
        <row r="261">
          <cell r="D261">
            <v>0</v>
          </cell>
        </row>
        <row r="262">
          <cell r="D262">
            <v>0</v>
          </cell>
        </row>
        <row r="263">
          <cell r="D263">
            <v>0</v>
          </cell>
        </row>
        <row r="264">
          <cell r="D264">
            <v>0</v>
          </cell>
        </row>
        <row r="265">
          <cell r="D265">
            <v>0</v>
          </cell>
        </row>
        <row r="266">
          <cell r="D266">
            <v>0</v>
          </cell>
        </row>
        <row r="267">
          <cell r="D267">
            <v>0</v>
          </cell>
        </row>
        <row r="268">
          <cell r="D268">
            <v>0</v>
          </cell>
        </row>
        <row r="269">
          <cell r="D269">
            <v>0</v>
          </cell>
        </row>
        <row r="270">
          <cell r="D270">
            <v>0</v>
          </cell>
        </row>
        <row r="271">
          <cell r="D271">
            <v>0</v>
          </cell>
        </row>
        <row r="272">
          <cell r="D272">
            <v>0</v>
          </cell>
        </row>
        <row r="273">
          <cell r="D273">
            <v>0</v>
          </cell>
        </row>
        <row r="274">
          <cell r="D274">
            <v>0</v>
          </cell>
        </row>
        <row r="275">
          <cell r="D275">
            <v>0</v>
          </cell>
        </row>
        <row r="276">
          <cell r="D276">
            <v>0</v>
          </cell>
        </row>
        <row r="277">
          <cell r="D277">
            <v>0</v>
          </cell>
        </row>
        <row r="278">
          <cell r="D278">
            <v>0</v>
          </cell>
        </row>
        <row r="279">
          <cell r="D279">
            <v>0</v>
          </cell>
        </row>
        <row r="280">
          <cell r="D280">
            <v>0</v>
          </cell>
        </row>
        <row r="281">
          <cell r="D281">
            <v>0</v>
          </cell>
        </row>
        <row r="282">
          <cell r="D282">
            <v>0</v>
          </cell>
        </row>
        <row r="283">
          <cell r="D283">
            <v>0</v>
          </cell>
        </row>
        <row r="284">
          <cell r="D284">
            <v>0</v>
          </cell>
        </row>
        <row r="285">
          <cell r="D285">
            <v>0</v>
          </cell>
        </row>
        <row r="286">
          <cell r="D286">
            <v>0</v>
          </cell>
        </row>
        <row r="287">
          <cell r="D287">
            <v>0</v>
          </cell>
        </row>
        <row r="288">
          <cell r="D288">
            <v>0</v>
          </cell>
        </row>
        <row r="289">
          <cell r="D289">
            <v>0</v>
          </cell>
        </row>
        <row r="290">
          <cell r="D290">
            <v>0</v>
          </cell>
        </row>
        <row r="291">
          <cell r="D291">
            <v>0</v>
          </cell>
        </row>
        <row r="292">
          <cell r="D292">
            <v>0</v>
          </cell>
        </row>
        <row r="293">
          <cell r="D293">
            <v>0</v>
          </cell>
        </row>
        <row r="294">
          <cell r="D294">
            <v>0</v>
          </cell>
        </row>
        <row r="295">
          <cell r="D295">
            <v>0</v>
          </cell>
        </row>
        <row r="296">
          <cell r="D296">
            <v>0</v>
          </cell>
        </row>
        <row r="297">
          <cell r="D297">
            <v>0</v>
          </cell>
        </row>
        <row r="298">
          <cell r="D298">
            <v>0</v>
          </cell>
        </row>
        <row r="299">
          <cell r="D299">
            <v>0</v>
          </cell>
        </row>
        <row r="300">
          <cell r="D300">
            <v>0</v>
          </cell>
        </row>
        <row r="301">
          <cell r="D301">
            <v>0</v>
          </cell>
        </row>
        <row r="302">
          <cell r="D302">
            <v>0</v>
          </cell>
        </row>
        <row r="303">
          <cell r="D303">
            <v>0</v>
          </cell>
        </row>
        <row r="304">
          <cell r="D304">
            <v>0</v>
          </cell>
        </row>
        <row r="305">
          <cell r="D305">
            <v>0</v>
          </cell>
        </row>
        <row r="306">
          <cell r="D306">
            <v>0</v>
          </cell>
        </row>
        <row r="307">
          <cell r="D307">
            <v>0</v>
          </cell>
        </row>
        <row r="308">
          <cell r="D308">
            <v>0</v>
          </cell>
        </row>
        <row r="309">
          <cell r="D309">
            <v>0</v>
          </cell>
        </row>
        <row r="310">
          <cell r="D310">
            <v>0</v>
          </cell>
        </row>
        <row r="311">
          <cell r="D311">
            <v>0</v>
          </cell>
        </row>
        <row r="312">
          <cell r="D312">
            <v>0</v>
          </cell>
        </row>
        <row r="313">
          <cell r="D313">
            <v>0</v>
          </cell>
        </row>
        <row r="314">
          <cell r="D314">
            <v>0</v>
          </cell>
        </row>
        <row r="315">
          <cell r="D315">
            <v>0</v>
          </cell>
        </row>
        <row r="316">
          <cell r="D316">
            <v>0</v>
          </cell>
        </row>
        <row r="317">
          <cell r="D317">
            <v>0</v>
          </cell>
        </row>
        <row r="318">
          <cell r="D318">
            <v>0</v>
          </cell>
        </row>
        <row r="319">
          <cell r="D319">
            <v>0</v>
          </cell>
        </row>
        <row r="320">
          <cell r="D320">
            <v>0</v>
          </cell>
        </row>
        <row r="321">
          <cell r="D321">
            <v>0</v>
          </cell>
        </row>
        <row r="322">
          <cell r="D322">
            <v>0</v>
          </cell>
        </row>
        <row r="323">
          <cell r="D323">
            <v>0</v>
          </cell>
        </row>
        <row r="324">
          <cell r="D324">
            <v>0</v>
          </cell>
        </row>
        <row r="325">
          <cell r="D325">
            <v>0</v>
          </cell>
        </row>
        <row r="326">
          <cell r="D326">
            <v>0</v>
          </cell>
        </row>
        <row r="327">
          <cell r="D327">
            <v>0</v>
          </cell>
        </row>
        <row r="328">
          <cell r="D328">
            <v>0</v>
          </cell>
        </row>
        <row r="329">
          <cell r="D329">
            <v>0</v>
          </cell>
        </row>
        <row r="330">
          <cell r="D330">
            <v>0</v>
          </cell>
        </row>
        <row r="331">
          <cell r="D331">
            <v>0</v>
          </cell>
        </row>
        <row r="332">
          <cell r="D332">
            <v>0</v>
          </cell>
        </row>
        <row r="333">
          <cell r="D333">
            <v>0</v>
          </cell>
        </row>
        <row r="334">
          <cell r="D334">
            <v>0</v>
          </cell>
        </row>
        <row r="335">
          <cell r="D335">
            <v>0</v>
          </cell>
        </row>
        <row r="336">
          <cell r="D336">
            <v>0</v>
          </cell>
        </row>
        <row r="337">
          <cell r="D337">
            <v>0</v>
          </cell>
        </row>
        <row r="338">
          <cell r="D338">
            <v>0</v>
          </cell>
        </row>
        <row r="339">
          <cell r="D339">
            <v>0</v>
          </cell>
        </row>
        <row r="340">
          <cell r="D340">
            <v>0</v>
          </cell>
        </row>
        <row r="341">
          <cell r="D341">
            <v>0</v>
          </cell>
        </row>
        <row r="342">
          <cell r="D342">
            <v>0</v>
          </cell>
        </row>
        <row r="343">
          <cell r="D343">
            <v>0</v>
          </cell>
        </row>
        <row r="344">
          <cell r="D344">
            <v>0</v>
          </cell>
        </row>
        <row r="345">
          <cell r="D345">
            <v>0</v>
          </cell>
        </row>
        <row r="346">
          <cell r="D346">
            <v>0</v>
          </cell>
        </row>
        <row r="347">
          <cell r="D347">
            <v>0</v>
          </cell>
        </row>
        <row r="348">
          <cell r="D348">
            <v>0</v>
          </cell>
        </row>
        <row r="349">
          <cell r="D349">
            <v>0</v>
          </cell>
        </row>
        <row r="350">
          <cell r="D350">
            <v>0</v>
          </cell>
        </row>
        <row r="351">
          <cell r="D351">
            <v>0</v>
          </cell>
        </row>
        <row r="352">
          <cell r="D352">
            <v>0</v>
          </cell>
        </row>
        <row r="353">
          <cell r="D353">
            <v>0</v>
          </cell>
        </row>
        <row r="354">
          <cell r="D354">
            <v>0</v>
          </cell>
        </row>
        <row r="355">
          <cell r="D355">
            <v>0</v>
          </cell>
        </row>
        <row r="356">
          <cell r="D356">
            <v>0</v>
          </cell>
        </row>
        <row r="357">
          <cell r="D357">
            <v>0</v>
          </cell>
        </row>
        <row r="358">
          <cell r="D358">
            <v>0</v>
          </cell>
        </row>
        <row r="359">
          <cell r="D359">
            <v>0</v>
          </cell>
        </row>
        <row r="360">
          <cell r="D360">
            <v>0</v>
          </cell>
        </row>
        <row r="361">
          <cell r="D361">
            <v>0</v>
          </cell>
        </row>
        <row r="362">
          <cell r="D362">
            <v>0</v>
          </cell>
        </row>
        <row r="363">
          <cell r="D363">
            <v>0</v>
          </cell>
        </row>
        <row r="364">
          <cell r="D364">
            <v>0</v>
          </cell>
        </row>
        <row r="365">
          <cell r="D365">
            <v>0</v>
          </cell>
        </row>
        <row r="366">
          <cell r="D366">
            <v>0</v>
          </cell>
        </row>
        <row r="367">
          <cell r="D367">
            <v>0</v>
          </cell>
        </row>
        <row r="368">
          <cell r="D368">
            <v>0</v>
          </cell>
        </row>
        <row r="369">
          <cell r="D369">
            <v>0</v>
          </cell>
        </row>
        <row r="370">
          <cell r="D370">
            <v>0</v>
          </cell>
        </row>
        <row r="371">
          <cell r="D371">
            <v>0</v>
          </cell>
        </row>
        <row r="372">
          <cell r="D372">
            <v>0</v>
          </cell>
        </row>
        <row r="373">
          <cell r="D373">
            <v>0</v>
          </cell>
        </row>
        <row r="374">
          <cell r="D374">
            <v>0</v>
          </cell>
        </row>
        <row r="375">
          <cell r="D375">
            <v>0</v>
          </cell>
        </row>
        <row r="376">
          <cell r="D376">
            <v>0</v>
          </cell>
        </row>
        <row r="377">
          <cell r="D377">
            <v>0</v>
          </cell>
        </row>
        <row r="378">
          <cell r="D378">
            <v>0</v>
          </cell>
        </row>
        <row r="379">
          <cell r="D379">
            <v>0</v>
          </cell>
        </row>
        <row r="380">
          <cell r="D380">
            <v>0</v>
          </cell>
        </row>
        <row r="381">
          <cell r="D381">
            <v>0</v>
          </cell>
        </row>
        <row r="382">
          <cell r="D382">
            <v>0</v>
          </cell>
        </row>
        <row r="383">
          <cell r="D383">
            <v>0</v>
          </cell>
        </row>
        <row r="384">
          <cell r="D384">
            <v>0</v>
          </cell>
        </row>
        <row r="385">
          <cell r="D385">
            <v>0</v>
          </cell>
        </row>
        <row r="386">
          <cell r="D386">
            <v>0</v>
          </cell>
        </row>
        <row r="387">
          <cell r="D387">
            <v>0</v>
          </cell>
        </row>
        <row r="388">
          <cell r="D388">
            <v>0</v>
          </cell>
        </row>
        <row r="389">
          <cell r="D389">
            <v>0</v>
          </cell>
        </row>
        <row r="390">
          <cell r="D390">
            <v>0</v>
          </cell>
        </row>
        <row r="391">
          <cell r="D391">
            <v>0</v>
          </cell>
        </row>
        <row r="392">
          <cell r="D392">
            <v>0</v>
          </cell>
        </row>
        <row r="393">
          <cell r="D393">
            <v>0</v>
          </cell>
        </row>
        <row r="394">
          <cell r="D394">
            <v>0</v>
          </cell>
        </row>
        <row r="395">
          <cell r="D395" t="str">
            <v>PowerGrid Meeting</v>
          </cell>
        </row>
        <row r="396">
          <cell r="D396" t="str">
            <v>PowerGrid Meeting</v>
          </cell>
        </row>
        <row r="397">
          <cell r="D397" t="str">
            <v>PowerGrid Meeting</v>
          </cell>
        </row>
        <row r="398">
          <cell r="D398" t="str">
            <v>PowerGrid Meeting</v>
          </cell>
        </row>
        <row r="399">
          <cell r="D399">
            <v>0</v>
          </cell>
        </row>
        <row r="400">
          <cell r="D400">
            <v>0</v>
          </cell>
        </row>
        <row r="401">
          <cell r="D401">
            <v>0</v>
          </cell>
        </row>
        <row r="402">
          <cell r="D402">
            <v>0</v>
          </cell>
        </row>
        <row r="403">
          <cell r="D403">
            <v>0</v>
          </cell>
        </row>
        <row r="404">
          <cell r="D404">
            <v>0</v>
          </cell>
        </row>
        <row r="405">
          <cell r="D405">
            <v>0</v>
          </cell>
        </row>
        <row r="406">
          <cell r="D406">
            <v>0</v>
          </cell>
        </row>
        <row r="407">
          <cell r="D407">
            <v>0</v>
          </cell>
        </row>
        <row r="408">
          <cell r="D408">
            <v>0</v>
          </cell>
        </row>
        <row r="409">
          <cell r="D409">
            <v>0</v>
          </cell>
        </row>
        <row r="410">
          <cell r="D410">
            <v>0</v>
          </cell>
        </row>
        <row r="411">
          <cell r="D411">
            <v>0</v>
          </cell>
        </row>
        <row r="412">
          <cell r="D412">
            <v>0</v>
          </cell>
        </row>
        <row r="413">
          <cell r="D413">
            <v>0</v>
          </cell>
        </row>
        <row r="414">
          <cell r="D414">
            <v>0</v>
          </cell>
        </row>
        <row r="415">
          <cell r="D415">
            <v>0</v>
          </cell>
        </row>
        <row r="416">
          <cell r="D416">
            <v>0</v>
          </cell>
        </row>
        <row r="417">
          <cell r="D417">
            <v>0</v>
          </cell>
        </row>
        <row r="418">
          <cell r="D418">
            <v>0</v>
          </cell>
        </row>
        <row r="419">
          <cell r="D419">
            <v>0</v>
          </cell>
        </row>
        <row r="420">
          <cell r="D420">
            <v>0</v>
          </cell>
        </row>
        <row r="421">
          <cell r="D421">
            <v>0</v>
          </cell>
        </row>
        <row r="422">
          <cell r="D422">
            <v>0</v>
          </cell>
        </row>
        <row r="423">
          <cell r="D423">
            <v>0</v>
          </cell>
        </row>
        <row r="424">
          <cell r="D424">
            <v>0</v>
          </cell>
        </row>
        <row r="425">
          <cell r="D425">
            <v>0</v>
          </cell>
        </row>
        <row r="426">
          <cell r="D426">
            <v>0</v>
          </cell>
        </row>
        <row r="427">
          <cell r="D427">
            <v>0</v>
          </cell>
        </row>
        <row r="428">
          <cell r="D428">
            <v>0</v>
          </cell>
        </row>
        <row r="429">
          <cell r="D429">
            <v>0</v>
          </cell>
        </row>
        <row r="430">
          <cell r="D430">
            <v>0</v>
          </cell>
        </row>
        <row r="431">
          <cell r="D431">
            <v>0</v>
          </cell>
        </row>
        <row r="432">
          <cell r="D432">
            <v>0</v>
          </cell>
        </row>
        <row r="433">
          <cell r="D433">
            <v>0</v>
          </cell>
        </row>
        <row r="434">
          <cell r="D434">
            <v>0</v>
          </cell>
        </row>
        <row r="435">
          <cell r="D435">
            <v>0</v>
          </cell>
        </row>
        <row r="436">
          <cell r="D436">
            <v>0</v>
          </cell>
        </row>
        <row r="437">
          <cell r="D437">
            <v>0</v>
          </cell>
        </row>
        <row r="438">
          <cell r="D438">
            <v>0</v>
          </cell>
        </row>
        <row r="439">
          <cell r="D439">
            <v>0</v>
          </cell>
        </row>
        <row r="440">
          <cell r="D440">
            <v>0</v>
          </cell>
        </row>
        <row r="441">
          <cell r="D441">
            <v>0</v>
          </cell>
        </row>
        <row r="442">
          <cell r="D442">
            <v>0</v>
          </cell>
        </row>
        <row r="443">
          <cell r="D443">
            <v>0</v>
          </cell>
        </row>
        <row r="444">
          <cell r="D444">
            <v>0</v>
          </cell>
        </row>
        <row r="445">
          <cell r="D445">
            <v>0</v>
          </cell>
        </row>
        <row r="446">
          <cell r="D446">
            <v>0</v>
          </cell>
        </row>
        <row r="447">
          <cell r="D447">
            <v>0</v>
          </cell>
        </row>
        <row r="448">
          <cell r="D448">
            <v>0</v>
          </cell>
        </row>
        <row r="449">
          <cell r="D449">
            <v>0</v>
          </cell>
        </row>
        <row r="450">
          <cell r="D450">
            <v>0</v>
          </cell>
        </row>
        <row r="451">
          <cell r="D451">
            <v>0</v>
          </cell>
        </row>
        <row r="452">
          <cell r="D452">
            <v>0</v>
          </cell>
        </row>
        <row r="453">
          <cell r="D453">
            <v>0</v>
          </cell>
        </row>
        <row r="454">
          <cell r="D454">
            <v>0</v>
          </cell>
        </row>
        <row r="455">
          <cell r="D455">
            <v>0</v>
          </cell>
        </row>
        <row r="456">
          <cell r="D456">
            <v>0</v>
          </cell>
        </row>
        <row r="457">
          <cell r="D457">
            <v>0</v>
          </cell>
        </row>
        <row r="458">
          <cell r="D458">
            <v>0</v>
          </cell>
        </row>
        <row r="459">
          <cell r="D459">
            <v>0</v>
          </cell>
        </row>
        <row r="460">
          <cell r="D460">
            <v>0</v>
          </cell>
        </row>
        <row r="461">
          <cell r="D461">
            <v>0</v>
          </cell>
        </row>
        <row r="462">
          <cell r="D462">
            <v>0</v>
          </cell>
        </row>
        <row r="463">
          <cell r="D463">
            <v>0</v>
          </cell>
        </row>
        <row r="464">
          <cell r="D464">
            <v>0</v>
          </cell>
        </row>
        <row r="465">
          <cell r="D465">
            <v>0</v>
          </cell>
        </row>
        <row r="466">
          <cell r="D466">
            <v>0</v>
          </cell>
        </row>
        <row r="467">
          <cell r="D467">
            <v>0</v>
          </cell>
        </row>
        <row r="468">
          <cell r="D468">
            <v>0</v>
          </cell>
        </row>
        <row r="469">
          <cell r="D469">
            <v>0</v>
          </cell>
        </row>
        <row r="470">
          <cell r="D470">
            <v>0</v>
          </cell>
        </row>
        <row r="471">
          <cell r="D471">
            <v>0</v>
          </cell>
        </row>
        <row r="472">
          <cell r="D472">
            <v>0</v>
          </cell>
        </row>
        <row r="473">
          <cell r="D473">
            <v>0</v>
          </cell>
        </row>
        <row r="474">
          <cell r="D474">
            <v>0</v>
          </cell>
        </row>
        <row r="475">
          <cell r="D475">
            <v>0</v>
          </cell>
        </row>
        <row r="476">
          <cell r="D476">
            <v>0</v>
          </cell>
        </row>
        <row r="477">
          <cell r="D477">
            <v>0</v>
          </cell>
        </row>
        <row r="478">
          <cell r="D478">
            <v>0</v>
          </cell>
        </row>
        <row r="479">
          <cell r="D479">
            <v>0</v>
          </cell>
        </row>
        <row r="480">
          <cell r="D480">
            <v>0</v>
          </cell>
        </row>
        <row r="481">
          <cell r="D481">
            <v>0</v>
          </cell>
        </row>
        <row r="482">
          <cell r="D482">
            <v>0</v>
          </cell>
        </row>
        <row r="483">
          <cell r="D483">
            <v>0</v>
          </cell>
        </row>
        <row r="484">
          <cell r="D484">
            <v>0</v>
          </cell>
        </row>
        <row r="485">
          <cell r="D485">
            <v>0</v>
          </cell>
        </row>
        <row r="486">
          <cell r="D486">
            <v>0</v>
          </cell>
        </row>
        <row r="487">
          <cell r="D487">
            <v>0</v>
          </cell>
        </row>
        <row r="488">
          <cell r="D488">
            <v>0</v>
          </cell>
        </row>
        <row r="489">
          <cell r="D489">
            <v>0</v>
          </cell>
        </row>
        <row r="490">
          <cell r="D490">
            <v>0</v>
          </cell>
        </row>
        <row r="491">
          <cell r="D491">
            <v>0</v>
          </cell>
        </row>
        <row r="492">
          <cell r="D492">
            <v>0</v>
          </cell>
        </row>
        <row r="493">
          <cell r="D493">
            <v>0</v>
          </cell>
        </row>
        <row r="494">
          <cell r="D494">
            <v>0</v>
          </cell>
        </row>
        <row r="495">
          <cell r="D495">
            <v>0</v>
          </cell>
        </row>
        <row r="496">
          <cell r="D496">
            <v>0</v>
          </cell>
        </row>
        <row r="497">
          <cell r="D497">
            <v>0</v>
          </cell>
        </row>
        <row r="498">
          <cell r="D498">
            <v>0</v>
          </cell>
        </row>
        <row r="499">
          <cell r="D499">
            <v>0</v>
          </cell>
        </row>
        <row r="500">
          <cell r="D500">
            <v>0</v>
          </cell>
        </row>
        <row r="501">
          <cell r="D501">
            <v>0</v>
          </cell>
        </row>
        <row r="502">
          <cell r="D502">
            <v>0</v>
          </cell>
        </row>
        <row r="503">
          <cell r="D503">
            <v>0</v>
          </cell>
        </row>
        <row r="504">
          <cell r="D504">
            <v>0</v>
          </cell>
        </row>
        <row r="505">
          <cell r="D505">
            <v>0</v>
          </cell>
        </row>
        <row r="506">
          <cell r="D506">
            <v>0</v>
          </cell>
        </row>
        <row r="507">
          <cell r="D507">
            <v>0</v>
          </cell>
        </row>
        <row r="508">
          <cell r="D508">
            <v>0</v>
          </cell>
        </row>
        <row r="509">
          <cell r="D509">
            <v>0</v>
          </cell>
        </row>
        <row r="510">
          <cell r="D510">
            <v>0</v>
          </cell>
        </row>
        <row r="511">
          <cell r="D511">
            <v>0</v>
          </cell>
        </row>
        <row r="512">
          <cell r="D512">
            <v>0</v>
          </cell>
        </row>
        <row r="513">
          <cell r="D513">
            <v>0</v>
          </cell>
        </row>
        <row r="514">
          <cell r="D514">
            <v>0</v>
          </cell>
        </row>
        <row r="515">
          <cell r="D515">
            <v>0</v>
          </cell>
        </row>
        <row r="516">
          <cell r="D516">
            <v>0</v>
          </cell>
        </row>
        <row r="517">
          <cell r="D517">
            <v>0</v>
          </cell>
        </row>
        <row r="518">
          <cell r="D518">
            <v>0</v>
          </cell>
        </row>
        <row r="519">
          <cell r="D519">
            <v>0</v>
          </cell>
        </row>
        <row r="520">
          <cell r="D520">
            <v>0</v>
          </cell>
        </row>
        <row r="521">
          <cell r="D521">
            <v>0</v>
          </cell>
        </row>
        <row r="522">
          <cell r="D522">
            <v>0</v>
          </cell>
        </row>
        <row r="523">
          <cell r="D523">
            <v>0</v>
          </cell>
        </row>
        <row r="524">
          <cell r="D524">
            <v>0</v>
          </cell>
        </row>
        <row r="525">
          <cell r="D525">
            <v>0</v>
          </cell>
        </row>
        <row r="526">
          <cell r="D526">
            <v>0</v>
          </cell>
        </row>
        <row r="527">
          <cell r="D527">
            <v>0</v>
          </cell>
        </row>
        <row r="528">
          <cell r="D528">
            <v>0</v>
          </cell>
        </row>
        <row r="529">
          <cell r="D529">
            <v>0</v>
          </cell>
        </row>
        <row r="530">
          <cell r="D530">
            <v>0</v>
          </cell>
        </row>
        <row r="531">
          <cell r="D531">
            <v>0</v>
          </cell>
        </row>
        <row r="532">
          <cell r="D532">
            <v>0</v>
          </cell>
        </row>
        <row r="533">
          <cell r="D533">
            <v>0</v>
          </cell>
        </row>
        <row r="534">
          <cell r="D534">
            <v>0</v>
          </cell>
        </row>
        <row r="535">
          <cell r="D535">
            <v>0</v>
          </cell>
        </row>
        <row r="536">
          <cell r="D536">
            <v>0</v>
          </cell>
        </row>
        <row r="537">
          <cell r="D537">
            <v>0</v>
          </cell>
        </row>
        <row r="538">
          <cell r="D538">
            <v>0</v>
          </cell>
        </row>
        <row r="539">
          <cell r="D539">
            <v>0</v>
          </cell>
        </row>
        <row r="540">
          <cell r="D540">
            <v>0</v>
          </cell>
        </row>
        <row r="541">
          <cell r="D541">
            <v>0</v>
          </cell>
        </row>
        <row r="542">
          <cell r="D542">
            <v>0</v>
          </cell>
        </row>
        <row r="543">
          <cell r="D543">
            <v>0</v>
          </cell>
        </row>
        <row r="544">
          <cell r="D544">
            <v>0</v>
          </cell>
        </row>
        <row r="545">
          <cell r="D545">
            <v>0</v>
          </cell>
        </row>
        <row r="546">
          <cell r="D546">
            <v>0</v>
          </cell>
        </row>
        <row r="547">
          <cell r="D547">
            <v>0</v>
          </cell>
        </row>
        <row r="548">
          <cell r="D548">
            <v>0</v>
          </cell>
        </row>
        <row r="549">
          <cell r="D549">
            <v>0</v>
          </cell>
        </row>
        <row r="550">
          <cell r="D550">
            <v>0</v>
          </cell>
        </row>
        <row r="551">
          <cell r="D551">
            <v>0</v>
          </cell>
        </row>
        <row r="552">
          <cell r="D552">
            <v>0</v>
          </cell>
        </row>
        <row r="553">
          <cell r="D553">
            <v>0</v>
          </cell>
        </row>
        <row r="554">
          <cell r="D554">
            <v>0</v>
          </cell>
        </row>
        <row r="555">
          <cell r="D555">
            <v>0</v>
          </cell>
        </row>
        <row r="556">
          <cell r="D556">
            <v>0</v>
          </cell>
        </row>
        <row r="557">
          <cell r="D557">
            <v>0</v>
          </cell>
        </row>
        <row r="558">
          <cell r="D558">
            <v>0</v>
          </cell>
        </row>
        <row r="559">
          <cell r="D559">
            <v>0</v>
          </cell>
        </row>
        <row r="560">
          <cell r="D560">
            <v>0</v>
          </cell>
        </row>
        <row r="561">
          <cell r="D561">
            <v>0</v>
          </cell>
        </row>
        <row r="562">
          <cell r="D562">
            <v>0</v>
          </cell>
        </row>
        <row r="563">
          <cell r="D563">
            <v>0</v>
          </cell>
        </row>
        <row r="564">
          <cell r="D564">
            <v>0</v>
          </cell>
        </row>
        <row r="565">
          <cell r="D565">
            <v>0</v>
          </cell>
        </row>
        <row r="566">
          <cell r="D566">
            <v>0</v>
          </cell>
        </row>
        <row r="567">
          <cell r="D567">
            <v>0</v>
          </cell>
        </row>
        <row r="568">
          <cell r="D568">
            <v>0</v>
          </cell>
        </row>
        <row r="569">
          <cell r="D569">
            <v>0</v>
          </cell>
        </row>
        <row r="570">
          <cell r="D570">
            <v>0</v>
          </cell>
        </row>
        <row r="571">
          <cell r="D571">
            <v>0</v>
          </cell>
        </row>
        <row r="572">
          <cell r="D572">
            <v>0</v>
          </cell>
        </row>
        <row r="573">
          <cell r="D573">
            <v>0</v>
          </cell>
        </row>
        <row r="574">
          <cell r="D574">
            <v>0</v>
          </cell>
        </row>
        <row r="575">
          <cell r="D575">
            <v>0</v>
          </cell>
        </row>
        <row r="576">
          <cell r="D576">
            <v>0</v>
          </cell>
        </row>
        <row r="577">
          <cell r="D577">
            <v>0</v>
          </cell>
        </row>
        <row r="578">
          <cell r="D578">
            <v>0</v>
          </cell>
        </row>
        <row r="579">
          <cell r="D579">
            <v>0</v>
          </cell>
        </row>
        <row r="580">
          <cell r="D580">
            <v>0</v>
          </cell>
        </row>
        <row r="581">
          <cell r="D581">
            <v>0</v>
          </cell>
        </row>
        <row r="582">
          <cell r="D582">
            <v>0</v>
          </cell>
        </row>
        <row r="583">
          <cell r="D583">
            <v>0</v>
          </cell>
        </row>
        <row r="584">
          <cell r="D584">
            <v>0</v>
          </cell>
        </row>
        <row r="585">
          <cell r="D585">
            <v>0</v>
          </cell>
        </row>
        <row r="586">
          <cell r="D586">
            <v>0</v>
          </cell>
        </row>
        <row r="587">
          <cell r="D587">
            <v>0</v>
          </cell>
        </row>
        <row r="588">
          <cell r="D588">
            <v>0</v>
          </cell>
        </row>
        <row r="589">
          <cell r="D589">
            <v>0</v>
          </cell>
        </row>
        <row r="590">
          <cell r="D590">
            <v>0</v>
          </cell>
        </row>
        <row r="591">
          <cell r="D591">
            <v>0</v>
          </cell>
        </row>
        <row r="592">
          <cell r="D592">
            <v>0</v>
          </cell>
        </row>
        <row r="593">
          <cell r="D593">
            <v>0</v>
          </cell>
        </row>
        <row r="594">
          <cell r="D594">
            <v>0</v>
          </cell>
        </row>
        <row r="595">
          <cell r="D595">
            <v>0</v>
          </cell>
        </row>
        <row r="596">
          <cell r="D596">
            <v>0</v>
          </cell>
        </row>
        <row r="597">
          <cell r="D597">
            <v>0</v>
          </cell>
        </row>
        <row r="598">
          <cell r="D598">
            <v>0</v>
          </cell>
        </row>
        <row r="599">
          <cell r="D599">
            <v>0</v>
          </cell>
        </row>
        <row r="600">
          <cell r="D600">
            <v>0</v>
          </cell>
        </row>
        <row r="601">
          <cell r="D601">
            <v>0</v>
          </cell>
        </row>
        <row r="602">
          <cell r="D602">
            <v>0</v>
          </cell>
        </row>
        <row r="603">
          <cell r="D603">
            <v>0</v>
          </cell>
        </row>
        <row r="604">
          <cell r="D604">
            <v>0</v>
          </cell>
        </row>
        <row r="605">
          <cell r="D605">
            <v>0</v>
          </cell>
        </row>
        <row r="606">
          <cell r="D606">
            <v>0</v>
          </cell>
        </row>
        <row r="607">
          <cell r="D607">
            <v>0</v>
          </cell>
        </row>
        <row r="608">
          <cell r="D608">
            <v>0</v>
          </cell>
        </row>
        <row r="609">
          <cell r="D609">
            <v>0</v>
          </cell>
        </row>
        <row r="610">
          <cell r="D610">
            <v>0</v>
          </cell>
        </row>
        <row r="611">
          <cell r="D611">
            <v>0</v>
          </cell>
        </row>
        <row r="612">
          <cell r="D612">
            <v>0</v>
          </cell>
        </row>
        <row r="613">
          <cell r="D613">
            <v>0</v>
          </cell>
        </row>
        <row r="614">
          <cell r="D614">
            <v>0</v>
          </cell>
        </row>
        <row r="615">
          <cell r="D615">
            <v>0</v>
          </cell>
        </row>
        <row r="616">
          <cell r="D616">
            <v>0</v>
          </cell>
        </row>
        <row r="617">
          <cell r="D617">
            <v>0</v>
          </cell>
        </row>
        <row r="618">
          <cell r="D618">
            <v>0</v>
          </cell>
        </row>
        <row r="619">
          <cell r="D619">
            <v>0</v>
          </cell>
        </row>
        <row r="620">
          <cell r="D620">
            <v>0</v>
          </cell>
        </row>
        <row r="621">
          <cell r="D621">
            <v>0</v>
          </cell>
        </row>
        <row r="622">
          <cell r="D622">
            <v>0</v>
          </cell>
        </row>
        <row r="623">
          <cell r="D623">
            <v>0</v>
          </cell>
        </row>
        <row r="624">
          <cell r="D624">
            <v>0</v>
          </cell>
        </row>
        <row r="625">
          <cell r="D625">
            <v>0</v>
          </cell>
        </row>
        <row r="626">
          <cell r="D626">
            <v>0</v>
          </cell>
        </row>
        <row r="627">
          <cell r="D627">
            <v>0</v>
          </cell>
        </row>
        <row r="628">
          <cell r="D628">
            <v>0</v>
          </cell>
        </row>
        <row r="629">
          <cell r="D629">
            <v>0</v>
          </cell>
        </row>
        <row r="630">
          <cell r="D630">
            <v>0</v>
          </cell>
        </row>
        <row r="631">
          <cell r="D631">
            <v>0</v>
          </cell>
        </row>
        <row r="632">
          <cell r="D632">
            <v>0</v>
          </cell>
        </row>
        <row r="633">
          <cell r="D633">
            <v>0</v>
          </cell>
        </row>
        <row r="634">
          <cell r="D634">
            <v>0</v>
          </cell>
        </row>
        <row r="635">
          <cell r="D635">
            <v>0</v>
          </cell>
        </row>
        <row r="636">
          <cell r="D636">
            <v>0</v>
          </cell>
        </row>
        <row r="637">
          <cell r="D637">
            <v>0</v>
          </cell>
        </row>
        <row r="638">
          <cell r="D638">
            <v>0</v>
          </cell>
        </row>
        <row r="639">
          <cell r="D639">
            <v>0</v>
          </cell>
        </row>
        <row r="640">
          <cell r="D640">
            <v>0</v>
          </cell>
        </row>
        <row r="641">
          <cell r="D641">
            <v>0</v>
          </cell>
        </row>
        <row r="642">
          <cell r="D642">
            <v>0</v>
          </cell>
        </row>
        <row r="643">
          <cell r="D643">
            <v>0</v>
          </cell>
        </row>
        <row r="644">
          <cell r="D644">
            <v>0</v>
          </cell>
        </row>
        <row r="645">
          <cell r="D645">
            <v>0</v>
          </cell>
        </row>
        <row r="646">
          <cell r="D646">
            <v>0</v>
          </cell>
        </row>
        <row r="647">
          <cell r="D647">
            <v>0</v>
          </cell>
        </row>
        <row r="648">
          <cell r="D648">
            <v>0</v>
          </cell>
        </row>
        <row r="649">
          <cell r="D649">
            <v>0</v>
          </cell>
        </row>
        <row r="650">
          <cell r="D650">
            <v>0</v>
          </cell>
        </row>
        <row r="651">
          <cell r="D651">
            <v>0</v>
          </cell>
        </row>
        <row r="652">
          <cell r="D652">
            <v>0</v>
          </cell>
        </row>
        <row r="653">
          <cell r="D653">
            <v>0</v>
          </cell>
        </row>
        <row r="654">
          <cell r="D654">
            <v>0</v>
          </cell>
        </row>
        <row r="655">
          <cell r="D655">
            <v>0</v>
          </cell>
        </row>
        <row r="656">
          <cell r="D656">
            <v>0</v>
          </cell>
        </row>
        <row r="657">
          <cell r="D657">
            <v>0</v>
          </cell>
        </row>
        <row r="658">
          <cell r="D658">
            <v>0</v>
          </cell>
        </row>
        <row r="659">
          <cell r="D659">
            <v>0</v>
          </cell>
        </row>
        <row r="660">
          <cell r="D660">
            <v>0</v>
          </cell>
        </row>
        <row r="661">
          <cell r="D661">
            <v>0</v>
          </cell>
        </row>
        <row r="662">
          <cell r="D662">
            <v>0</v>
          </cell>
        </row>
        <row r="663">
          <cell r="D663">
            <v>0</v>
          </cell>
        </row>
        <row r="664">
          <cell r="D664">
            <v>0</v>
          </cell>
        </row>
        <row r="665">
          <cell r="D665">
            <v>0</v>
          </cell>
        </row>
        <row r="666">
          <cell r="D666">
            <v>0</v>
          </cell>
        </row>
        <row r="667">
          <cell r="D667">
            <v>0</v>
          </cell>
        </row>
        <row r="668">
          <cell r="D668">
            <v>0</v>
          </cell>
        </row>
        <row r="669">
          <cell r="D669">
            <v>0</v>
          </cell>
        </row>
        <row r="670">
          <cell r="D670">
            <v>0</v>
          </cell>
        </row>
        <row r="671">
          <cell r="D671">
            <v>0</v>
          </cell>
        </row>
        <row r="672">
          <cell r="D672">
            <v>0</v>
          </cell>
        </row>
        <row r="673">
          <cell r="D673">
            <v>0</v>
          </cell>
        </row>
        <row r="674">
          <cell r="D674">
            <v>0</v>
          </cell>
        </row>
        <row r="675">
          <cell r="D675">
            <v>0</v>
          </cell>
        </row>
        <row r="676">
          <cell r="D676">
            <v>0</v>
          </cell>
        </row>
        <row r="677">
          <cell r="D677">
            <v>0</v>
          </cell>
        </row>
        <row r="678">
          <cell r="D678">
            <v>0</v>
          </cell>
        </row>
        <row r="679">
          <cell r="D679">
            <v>0</v>
          </cell>
        </row>
        <row r="680">
          <cell r="D680">
            <v>0</v>
          </cell>
        </row>
        <row r="681">
          <cell r="D681">
            <v>0</v>
          </cell>
        </row>
        <row r="682">
          <cell r="D682">
            <v>0</v>
          </cell>
        </row>
        <row r="683">
          <cell r="D683">
            <v>0</v>
          </cell>
        </row>
        <row r="684">
          <cell r="D684">
            <v>0</v>
          </cell>
        </row>
        <row r="685">
          <cell r="D685">
            <v>0</v>
          </cell>
        </row>
        <row r="686">
          <cell r="D686">
            <v>0</v>
          </cell>
        </row>
        <row r="687">
          <cell r="D687">
            <v>0</v>
          </cell>
        </row>
        <row r="688">
          <cell r="D688">
            <v>0</v>
          </cell>
        </row>
        <row r="689">
          <cell r="D689">
            <v>0</v>
          </cell>
        </row>
        <row r="690">
          <cell r="D690">
            <v>0</v>
          </cell>
        </row>
        <row r="691">
          <cell r="D691">
            <v>0</v>
          </cell>
        </row>
        <row r="692">
          <cell r="D692">
            <v>0</v>
          </cell>
        </row>
        <row r="693">
          <cell r="D693">
            <v>0</v>
          </cell>
        </row>
        <row r="694">
          <cell r="D694">
            <v>0</v>
          </cell>
        </row>
        <row r="695">
          <cell r="D695">
            <v>0</v>
          </cell>
        </row>
        <row r="696">
          <cell r="D696">
            <v>0</v>
          </cell>
        </row>
        <row r="697">
          <cell r="D697">
            <v>0</v>
          </cell>
        </row>
        <row r="698">
          <cell r="D698">
            <v>0</v>
          </cell>
        </row>
        <row r="699">
          <cell r="D699">
            <v>0</v>
          </cell>
        </row>
        <row r="700">
          <cell r="D700">
            <v>0</v>
          </cell>
        </row>
        <row r="701">
          <cell r="D701">
            <v>0</v>
          </cell>
        </row>
        <row r="702">
          <cell r="D702">
            <v>0</v>
          </cell>
        </row>
        <row r="703">
          <cell r="D703">
            <v>0</v>
          </cell>
        </row>
        <row r="704">
          <cell r="D704">
            <v>0</v>
          </cell>
        </row>
        <row r="705">
          <cell r="D705">
            <v>0</v>
          </cell>
        </row>
        <row r="706">
          <cell r="D706">
            <v>0</v>
          </cell>
        </row>
        <row r="707">
          <cell r="D707">
            <v>0</v>
          </cell>
        </row>
        <row r="708">
          <cell r="D708">
            <v>0</v>
          </cell>
        </row>
        <row r="709">
          <cell r="D709">
            <v>0</v>
          </cell>
        </row>
        <row r="710">
          <cell r="D710">
            <v>0</v>
          </cell>
        </row>
        <row r="711">
          <cell r="D711">
            <v>0</v>
          </cell>
        </row>
        <row r="712">
          <cell r="D712">
            <v>0</v>
          </cell>
        </row>
        <row r="713">
          <cell r="D713">
            <v>0</v>
          </cell>
        </row>
        <row r="714">
          <cell r="D714">
            <v>0</v>
          </cell>
        </row>
        <row r="715">
          <cell r="D715">
            <v>0</v>
          </cell>
        </row>
        <row r="716">
          <cell r="D716">
            <v>0</v>
          </cell>
        </row>
        <row r="717">
          <cell r="D717">
            <v>0</v>
          </cell>
        </row>
        <row r="718">
          <cell r="D718">
            <v>0</v>
          </cell>
        </row>
        <row r="719">
          <cell r="D719">
            <v>0</v>
          </cell>
        </row>
        <row r="720">
          <cell r="D720">
            <v>0</v>
          </cell>
        </row>
        <row r="721">
          <cell r="D721">
            <v>0</v>
          </cell>
        </row>
        <row r="722">
          <cell r="D722">
            <v>0</v>
          </cell>
        </row>
        <row r="723">
          <cell r="D723">
            <v>0</v>
          </cell>
        </row>
        <row r="724">
          <cell r="D724">
            <v>0</v>
          </cell>
        </row>
        <row r="725">
          <cell r="D725">
            <v>0</v>
          </cell>
        </row>
        <row r="726">
          <cell r="D726">
            <v>0</v>
          </cell>
        </row>
        <row r="727">
          <cell r="D727">
            <v>0</v>
          </cell>
        </row>
        <row r="728">
          <cell r="D728">
            <v>0</v>
          </cell>
        </row>
        <row r="729">
          <cell r="D729">
            <v>0</v>
          </cell>
        </row>
        <row r="730">
          <cell r="D730">
            <v>0</v>
          </cell>
        </row>
        <row r="731">
          <cell r="D731">
            <v>0</v>
          </cell>
        </row>
        <row r="732">
          <cell r="D732">
            <v>0</v>
          </cell>
        </row>
        <row r="733">
          <cell r="D733">
            <v>0</v>
          </cell>
        </row>
        <row r="734">
          <cell r="D734">
            <v>0</v>
          </cell>
        </row>
        <row r="735">
          <cell r="D735">
            <v>0</v>
          </cell>
        </row>
        <row r="736">
          <cell r="D736">
            <v>0</v>
          </cell>
        </row>
        <row r="737">
          <cell r="D737">
            <v>0</v>
          </cell>
        </row>
        <row r="738">
          <cell r="D738">
            <v>0</v>
          </cell>
        </row>
        <row r="739">
          <cell r="D739">
            <v>0</v>
          </cell>
        </row>
        <row r="740">
          <cell r="D740">
            <v>0</v>
          </cell>
        </row>
        <row r="741">
          <cell r="D741">
            <v>0</v>
          </cell>
        </row>
        <row r="742">
          <cell r="D742">
            <v>0</v>
          </cell>
        </row>
        <row r="743">
          <cell r="D743">
            <v>0</v>
          </cell>
        </row>
        <row r="744">
          <cell r="D744">
            <v>0</v>
          </cell>
        </row>
        <row r="745">
          <cell r="D745">
            <v>0</v>
          </cell>
        </row>
        <row r="746">
          <cell r="D746">
            <v>0</v>
          </cell>
        </row>
        <row r="747">
          <cell r="D747">
            <v>0</v>
          </cell>
        </row>
        <row r="748">
          <cell r="D748">
            <v>0</v>
          </cell>
        </row>
        <row r="749">
          <cell r="D749">
            <v>0</v>
          </cell>
        </row>
        <row r="750">
          <cell r="D750">
            <v>0</v>
          </cell>
        </row>
        <row r="751">
          <cell r="D751">
            <v>0</v>
          </cell>
        </row>
        <row r="752">
          <cell r="D752">
            <v>0</v>
          </cell>
        </row>
        <row r="753">
          <cell r="D753">
            <v>0</v>
          </cell>
        </row>
        <row r="754">
          <cell r="D754">
            <v>0</v>
          </cell>
        </row>
        <row r="755">
          <cell r="D755">
            <v>0</v>
          </cell>
        </row>
        <row r="756">
          <cell r="D756">
            <v>0</v>
          </cell>
        </row>
        <row r="757">
          <cell r="D757">
            <v>0</v>
          </cell>
        </row>
        <row r="758">
          <cell r="D758">
            <v>0</v>
          </cell>
        </row>
        <row r="759">
          <cell r="D759">
            <v>0</v>
          </cell>
        </row>
        <row r="760">
          <cell r="D760">
            <v>0</v>
          </cell>
        </row>
        <row r="761">
          <cell r="D761">
            <v>0</v>
          </cell>
        </row>
        <row r="762">
          <cell r="D762">
            <v>0</v>
          </cell>
        </row>
        <row r="763">
          <cell r="D763">
            <v>0</v>
          </cell>
        </row>
        <row r="764">
          <cell r="D764">
            <v>0</v>
          </cell>
        </row>
        <row r="765">
          <cell r="D765">
            <v>0</v>
          </cell>
        </row>
        <row r="766">
          <cell r="D766">
            <v>0</v>
          </cell>
        </row>
        <row r="767">
          <cell r="D767">
            <v>0</v>
          </cell>
        </row>
        <row r="768">
          <cell r="D768">
            <v>0</v>
          </cell>
        </row>
        <row r="769">
          <cell r="D769">
            <v>0</v>
          </cell>
        </row>
        <row r="770">
          <cell r="D770">
            <v>0</v>
          </cell>
        </row>
        <row r="771">
          <cell r="D771">
            <v>0</v>
          </cell>
        </row>
        <row r="772">
          <cell r="D772">
            <v>0</v>
          </cell>
        </row>
        <row r="773">
          <cell r="D773">
            <v>0</v>
          </cell>
        </row>
        <row r="774">
          <cell r="D774">
            <v>0</v>
          </cell>
        </row>
        <row r="775">
          <cell r="D775">
            <v>0</v>
          </cell>
        </row>
        <row r="776">
          <cell r="D776">
            <v>0</v>
          </cell>
        </row>
        <row r="777">
          <cell r="D777">
            <v>0</v>
          </cell>
        </row>
        <row r="778">
          <cell r="D778">
            <v>0</v>
          </cell>
        </row>
        <row r="779">
          <cell r="D779">
            <v>0</v>
          </cell>
        </row>
        <row r="780">
          <cell r="D780">
            <v>0</v>
          </cell>
        </row>
        <row r="781">
          <cell r="D781">
            <v>0</v>
          </cell>
        </row>
        <row r="782">
          <cell r="D782">
            <v>0</v>
          </cell>
        </row>
        <row r="783">
          <cell r="D783">
            <v>0</v>
          </cell>
        </row>
        <row r="784">
          <cell r="D784">
            <v>0</v>
          </cell>
        </row>
        <row r="785">
          <cell r="D785">
            <v>0</v>
          </cell>
        </row>
        <row r="786">
          <cell r="D786">
            <v>0</v>
          </cell>
        </row>
        <row r="787">
          <cell r="D787">
            <v>0</v>
          </cell>
        </row>
        <row r="788">
          <cell r="D788">
            <v>0</v>
          </cell>
        </row>
        <row r="789">
          <cell r="D789">
            <v>0</v>
          </cell>
        </row>
        <row r="790">
          <cell r="D790">
            <v>0</v>
          </cell>
        </row>
        <row r="791">
          <cell r="D791">
            <v>0</v>
          </cell>
        </row>
        <row r="792">
          <cell r="D792">
            <v>0</v>
          </cell>
        </row>
        <row r="793">
          <cell r="D793">
            <v>0</v>
          </cell>
        </row>
        <row r="794">
          <cell r="D794">
            <v>0</v>
          </cell>
        </row>
        <row r="795">
          <cell r="D795">
            <v>0</v>
          </cell>
        </row>
        <row r="796">
          <cell r="D796">
            <v>0</v>
          </cell>
        </row>
        <row r="797">
          <cell r="D797">
            <v>0</v>
          </cell>
        </row>
        <row r="798">
          <cell r="D798">
            <v>0</v>
          </cell>
        </row>
        <row r="799">
          <cell r="D799">
            <v>0</v>
          </cell>
        </row>
        <row r="800">
          <cell r="D800">
            <v>0</v>
          </cell>
        </row>
        <row r="801">
          <cell r="D801">
            <v>0</v>
          </cell>
        </row>
        <row r="802">
          <cell r="D802">
            <v>0</v>
          </cell>
        </row>
        <row r="803">
          <cell r="D803">
            <v>0</v>
          </cell>
        </row>
        <row r="804">
          <cell r="D804">
            <v>0</v>
          </cell>
        </row>
        <row r="805">
          <cell r="D805">
            <v>0</v>
          </cell>
        </row>
        <row r="806">
          <cell r="D806">
            <v>0</v>
          </cell>
        </row>
        <row r="807">
          <cell r="D807">
            <v>0</v>
          </cell>
        </row>
        <row r="808">
          <cell r="D808">
            <v>0</v>
          </cell>
        </row>
        <row r="809">
          <cell r="D809">
            <v>0</v>
          </cell>
        </row>
        <row r="810">
          <cell r="D810">
            <v>0</v>
          </cell>
        </row>
        <row r="811">
          <cell r="D811">
            <v>0</v>
          </cell>
        </row>
        <row r="812">
          <cell r="D812">
            <v>0</v>
          </cell>
        </row>
        <row r="813">
          <cell r="D813">
            <v>0</v>
          </cell>
        </row>
        <row r="814">
          <cell r="D814">
            <v>0</v>
          </cell>
        </row>
        <row r="815">
          <cell r="D815">
            <v>0</v>
          </cell>
        </row>
        <row r="816">
          <cell r="D816">
            <v>0</v>
          </cell>
        </row>
        <row r="817">
          <cell r="D817">
            <v>0</v>
          </cell>
        </row>
        <row r="818">
          <cell r="D818">
            <v>0</v>
          </cell>
        </row>
        <row r="819">
          <cell r="D819">
            <v>0</v>
          </cell>
        </row>
        <row r="820">
          <cell r="D820">
            <v>0</v>
          </cell>
        </row>
        <row r="821">
          <cell r="D821">
            <v>0</v>
          </cell>
        </row>
        <row r="822">
          <cell r="D822">
            <v>0</v>
          </cell>
        </row>
        <row r="823">
          <cell r="D823">
            <v>0</v>
          </cell>
        </row>
        <row r="824">
          <cell r="D824">
            <v>0</v>
          </cell>
        </row>
        <row r="825">
          <cell r="D825">
            <v>0</v>
          </cell>
        </row>
        <row r="826">
          <cell r="D826">
            <v>0</v>
          </cell>
        </row>
        <row r="827">
          <cell r="D827">
            <v>0</v>
          </cell>
        </row>
        <row r="828">
          <cell r="D828">
            <v>0</v>
          </cell>
        </row>
        <row r="829">
          <cell r="D829">
            <v>0</v>
          </cell>
        </row>
        <row r="830">
          <cell r="D830">
            <v>0</v>
          </cell>
        </row>
        <row r="831">
          <cell r="D831">
            <v>0</v>
          </cell>
        </row>
        <row r="832">
          <cell r="D832">
            <v>0</v>
          </cell>
        </row>
        <row r="833">
          <cell r="D833">
            <v>0</v>
          </cell>
        </row>
        <row r="834">
          <cell r="D834">
            <v>0</v>
          </cell>
        </row>
        <row r="835">
          <cell r="D835">
            <v>0</v>
          </cell>
        </row>
        <row r="836">
          <cell r="D836">
            <v>0</v>
          </cell>
        </row>
        <row r="837">
          <cell r="D837">
            <v>0</v>
          </cell>
        </row>
        <row r="838">
          <cell r="D838">
            <v>0</v>
          </cell>
        </row>
        <row r="839">
          <cell r="D839">
            <v>0</v>
          </cell>
        </row>
        <row r="840">
          <cell r="D840">
            <v>0</v>
          </cell>
        </row>
        <row r="841">
          <cell r="D841">
            <v>0</v>
          </cell>
        </row>
        <row r="842">
          <cell r="D842">
            <v>0</v>
          </cell>
        </row>
        <row r="843">
          <cell r="D843">
            <v>0</v>
          </cell>
        </row>
        <row r="844">
          <cell r="D844">
            <v>0</v>
          </cell>
        </row>
        <row r="845">
          <cell r="D845">
            <v>0</v>
          </cell>
        </row>
        <row r="846">
          <cell r="D846">
            <v>0</v>
          </cell>
        </row>
        <row r="847">
          <cell r="D847">
            <v>0</v>
          </cell>
        </row>
        <row r="848">
          <cell r="D848">
            <v>0</v>
          </cell>
        </row>
        <row r="849">
          <cell r="D849">
            <v>0</v>
          </cell>
        </row>
        <row r="850">
          <cell r="D850">
            <v>0</v>
          </cell>
        </row>
        <row r="851">
          <cell r="D851">
            <v>0</v>
          </cell>
        </row>
        <row r="852">
          <cell r="D852">
            <v>0</v>
          </cell>
        </row>
        <row r="853">
          <cell r="D853">
            <v>0</v>
          </cell>
        </row>
        <row r="854">
          <cell r="D854">
            <v>0</v>
          </cell>
        </row>
        <row r="855">
          <cell r="D855">
            <v>0</v>
          </cell>
        </row>
        <row r="856">
          <cell r="D856">
            <v>0</v>
          </cell>
        </row>
        <row r="857">
          <cell r="D857">
            <v>0</v>
          </cell>
        </row>
        <row r="858">
          <cell r="D858">
            <v>0</v>
          </cell>
        </row>
        <row r="859">
          <cell r="D859">
            <v>0</v>
          </cell>
        </row>
        <row r="860">
          <cell r="D860">
            <v>0</v>
          </cell>
        </row>
        <row r="861">
          <cell r="D861">
            <v>0</v>
          </cell>
        </row>
        <row r="862">
          <cell r="D862">
            <v>0</v>
          </cell>
        </row>
        <row r="863">
          <cell r="D863">
            <v>0</v>
          </cell>
        </row>
        <row r="864">
          <cell r="D864">
            <v>0</v>
          </cell>
        </row>
        <row r="865">
          <cell r="D865">
            <v>0</v>
          </cell>
        </row>
        <row r="866">
          <cell r="D866">
            <v>0</v>
          </cell>
        </row>
        <row r="867">
          <cell r="D867">
            <v>0</v>
          </cell>
        </row>
        <row r="868">
          <cell r="D868">
            <v>0</v>
          </cell>
        </row>
        <row r="869">
          <cell r="D869">
            <v>0</v>
          </cell>
        </row>
        <row r="870">
          <cell r="D870">
            <v>0</v>
          </cell>
        </row>
        <row r="871">
          <cell r="D871">
            <v>0</v>
          </cell>
        </row>
        <row r="872">
          <cell r="D872">
            <v>0</v>
          </cell>
        </row>
        <row r="873">
          <cell r="D873">
            <v>0</v>
          </cell>
        </row>
        <row r="874">
          <cell r="D874">
            <v>0</v>
          </cell>
        </row>
        <row r="875">
          <cell r="D875">
            <v>0</v>
          </cell>
        </row>
        <row r="876">
          <cell r="D876">
            <v>0</v>
          </cell>
        </row>
        <row r="877">
          <cell r="D877">
            <v>0</v>
          </cell>
        </row>
        <row r="878">
          <cell r="D878">
            <v>0</v>
          </cell>
        </row>
        <row r="879">
          <cell r="D879">
            <v>0</v>
          </cell>
        </row>
        <row r="880">
          <cell r="D880">
            <v>0</v>
          </cell>
        </row>
        <row r="881">
          <cell r="D881">
            <v>0</v>
          </cell>
        </row>
        <row r="882">
          <cell r="D882">
            <v>0</v>
          </cell>
        </row>
        <row r="883">
          <cell r="D883">
            <v>0</v>
          </cell>
        </row>
        <row r="884">
          <cell r="D884">
            <v>0</v>
          </cell>
        </row>
        <row r="885">
          <cell r="D885">
            <v>0</v>
          </cell>
        </row>
        <row r="886">
          <cell r="D886">
            <v>0</v>
          </cell>
        </row>
        <row r="887">
          <cell r="D887">
            <v>0</v>
          </cell>
        </row>
        <row r="888">
          <cell r="D888">
            <v>0</v>
          </cell>
        </row>
        <row r="889">
          <cell r="D889">
            <v>0</v>
          </cell>
        </row>
        <row r="890">
          <cell r="D890">
            <v>0</v>
          </cell>
        </row>
        <row r="891">
          <cell r="D891">
            <v>0</v>
          </cell>
        </row>
        <row r="892">
          <cell r="D892">
            <v>0</v>
          </cell>
        </row>
        <row r="893">
          <cell r="D893">
            <v>0</v>
          </cell>
        </row>
        <row r="894">
          <cell r="D894">
            <v>0</v>
          </cell>
        </row>
        <row r="895">
          <cell r="D895">
            <v>0</v>
          </cell>
        </row>
        <row r="896">
          <cell r="D896">
            <v>0</v>
          </cell>
        </row>
        <row r="897">
          <cell r="D897">
            <v>0</v>
          </cell>
        </row>
        <row r="898">
          <cell r="D898">
            <v>0</v>
          </cell>
        </row>
        <row r="899">
          <cell r="D899">
            <v>0</v>
          </cell>
        </row>
        <row r="900">
          <cell r="D900">
            <v>0</v>
          </cell>
        </row>
        <row r="901">
          <cell r="D901">
            <v>0</v>
          </cell>
        </row>
        <row r="902">
          <cell r="D902">
            <v>0</v>
          </cell>
        </row>
        <row r="903">
          <cell r="D903">
            <v>0</v>
          </cell>
        </row>
        <row r="904">
          <cell r="D904">
            <v>0</v>
          </cell>
        </row>
        <row r="905">
          <cell r="D905">
            <v>0</v>
          </cell>
        </row>
        <row r="906">
          <cell r="D906">
            <v>0</v>
          </cell>
        </row>
        <row r="907">
          <cell r="D907">
            <v>0</v>
          </cell>
        </row>
        <row r="908">
          <cell r="D908">
            <v>0</v>
          </cell>
        </row>
        <row r="909">
          <cell r="D909">
            <v>0</v>
          </cell>
        </row>
        <row r="910">
          <cell r="D910">
            <v>0</v>
          </cell>
        </row>
        <row r="911">
          <cell r="D911">
            <v>0</v>
          </cell>
        </row>
        <row r="912">
          <cell r="D912">
            <v>0</v>
          </cell>
        </row>
        <row r="913">
          <cell r="D913">
            <v>0</v>
          </cell>
        </row>
        <row r="914">
          <cell r="D914">
            <v>0</v>
          </cell>
        </row>
        <row r="915">
          <cell r="D915">
            <v>0</v>
          </cell>
        </row>
        <row r="916">
          <cell r="D916">
            <v>0</v>
          </cell>
        </row>
        <row r="917">
          <cell r="D917">
            <v>0</v>
          </cell>
        </row>
        <row r="918">
          <cell r="D918">
            <v>0</v>
          </cell>
        </row>
        <row r="919">
          <cell r="D919">
            <v>0</v>
          </cell>
        </row>
        <row r="920">
          <cell r="D920">
            <v>0</v>
          </cell>
        </row>
        <row r="921">
          <cell r="D921">
            <v>0</v>
          </cell>
        </row>
        <row r="922">
          <cell r="D922">
            <v>0</v>
          </cell>
        </row>
        <row r="923">
          <cell r="D923">
            <v>0</v>
          </cell>
        </row>
        <row r="924">
          <cell r="D924">
            <v>0</v>
          </cell>
        </row>
        <row r="925">
          <cell r="D925">
            <v>0</v>
          </cell>
        </row>
        <row r="926">
          <cell r="D926">
            <v>0</v>
          </cell>
        </row>
        <row r="927">
          <cell r="D927">
            <v>0</v>
          </cell>
        </row>
        <row r="928">
          <cell r="D928">
            <v>0</v>
          </cell>
        </row>
        <row r="929">
          <cell r="D929">
            <v>0</v>
          </cell>
        </row>
        <row r="930">
          <cell r="D930">
            <v>0</v>
          </cell>
        </row>
        <row r="931">
          <cell r="D931">
            <v>0</v>
          </cell>
        </row>
        <row r="932">
          <cell r="D932">
            <v>0</v>
          </cell>
        </row>
        <row r="933">
          <cell r="D933">
            <v>0</v>
          </cell>
        </row>
        <row r="934">
          <cell r="D934">
            <v>0</v>
          </cell>
        </row>
        <row r="935">
          <cell r="D935">
            <v>0</v>
          </cell>
        </row>
        <row r="936">
          <cell r="D936">
            <v>0</v>
          </cell>
        </row>
        <row r="937">
          <cell r="D937">
            <v>0</v>
          </cell>
        </row>
        <row r="938">
          <cell r="D938">
            <v>0</v>
          </cell>
        </row>
        <row r="939">
          <cell r="D939">
            <v>0</v>
          </cell>
        </row>
        <row r="940">
          <cell r="D940">
            <v>0</v>
          </cell>
        </row>
        <row r="941">
          <cell r="D941">
            <v>0</v>
          </cell>
        </row>
        <row r="942">
          <cell r="D942">
            <v>0</v>
          </cell>
        </row>
        <row r="943">
          <cell r="D943">
            <v>0</v>
          </cell>
        </row>
        <row r="944">
          <cell r="D944">
            <v>0</v>
          </cell>
        </row>
        <row r="945">
          <cell r="D945">
            <v>0</v>
          </cell>
        </row>
        <row r="946">
          <cell r="D946">
            <v>0</v>
          </cell>
        </row>
        <row r="947">
          <cell r="D947">
            <v>0</v>
          </cell>
        </row>
        <row r="948">
          <cell r="D948">
            <v>0</v>
          </cell>
        </row>
        <row r="949">
          <cell r="D949">
            <v>0</v>
          </cell>
        </row>
        <row r="950">
          <cell r="D950">
            <v>0</v>
          </cell>
        </row>
        <row r="951">
          <cell r="D951">
            <v>0</v>
          </cell>
        </row>
        <row r="952">
          <cell r="D952">
            <v>0</v>
          </cell>
        </row>
        <row r="953">
          <cell r="D953">
            <v>0</v>
          </cell>
        </row>
        <row r="954">
          <cell r="D954">
            <v>0</v>
          </cell>
        </row>
        <row r="955">
          <cell r="D955">
            <v>0</v>
          </cell>
        </row>
        <row r="956">
          <cell r="D956">
            <v>0</v>
          </cell>
        </row>
        <row r="957">
          <cell r="D957">
            <v>0</v>
          </cell>
        </row>
        <row r="958">
          <cell r="D958">
            <v>0</v>
          </cell>
        </row>
        <row r="959">
          <cell r="D959">
            <v>0</v>
          </cell>
        </row>
        <row r="960">
          <cell r="D960">
            <v>0</v>
          </cell>
        </row>
        <row r="961">
          <cell r="D961">
            <v>0</v>
          </cell>
        </row>
        <row r="962">
          <cell r="D962">
            <v>0</v>
          </cell>
        </row>
        <row r="963">
          <cell r="D963">
            <v>0</v>
          </cell>
        </row>
        <row r="964">
          <cell r="D964">
            <v>0</v>
          </cell>
        </row>
        <row r="965">
          <cell r="D965">
            <v>0</v>
          </cell>
        </row>
        <row r="966">
          <cell r="D966">
            <v>0</v>
          </cell>
        </row>
        <row r="967">
          <cell r="D967">
            <v>0</v>
          </cell>
        </row>
        <row r="968">
          <cell r="D968">
            <v>0</v>
          </cell>
        </row>
        <row r="969">
          <cell r="D969">
            <v>0</v>
          </cell>
        </row>
        <row r="970">
          <cell r="D970">
            <v>0</v>
          </cell>
        </row>
        <row r="971">
          <cell r="D971">
            <v>0</v>
          </cell>
        </row>
        <row r="972">
          <cell r="D972">
            <v>0</v>
          </cell>
        </row>
        <row r="973">
          <cell r="D973">
            <v>0</v>
          </cell>
        </row>
        <row r="974">
          <cell r="D974">
            <v>0</v>
          </cell>
        </row>
        <row r="975">
          <cell r="D975">
            <v>0</v>
          </cell>
        </row>
        <row r="976">
          <cell r="D976">
            <v>0</v>
          </cell>
        </row>
        <row r="977">
          <cell r="D977">
            <v>0</v>
          </cell>
        </row>
        <row r="978">
          <cell r="D978">
            <v>0</v>
          </cell>
        </row>
        <row r="979">
          <cell r="D979">
            <v>0</v>
          </cell>
        </row>
        <row r="980">
          <cell r="D980">
            <v>0</v>
          </cell>
        </row>
        <row r="981">
          <cell r="D981">
            <v>0</v>
          </cell>
        </row>
        <row r="982">
          <cell r="D982">
            <v>0</v>
          </cell>
        </row>
        <row r="983">
          <cell r="D983">
            <v>0</v>
          </cell>
        </row>
        <row r="984">
          <cell r="D984">
            <v>0</v>
          </cell>
        </row>
        <row r="985">
          <cell r="D985">
            <v>0</v>
          </cell>
        </row>
        <row r="986">
          <cell r="D986">
            <v>0</v>
          </cell>
        </row>
        <row r="987">
          <cell r="D987">
            <v>0</v>
          </cell>
        </row>
        <row r="988">
          <cell r="D988">
            <v>0</v>
          </cell>
        </row>
        <row r="989">
          <cell r="D989">
            <v>0</v>
          </cell>
        </row>
        <row r="990">
          <cell r="D990">
            <v>0</v>
          </cell>
        </row>
        <row r="991">
          <cell r="D991">
            <v>0</v>
          </cell>
        </row>
        <row r="992">
          <cell r="D992">
            <v>0</v>
          </cell>
        </row>
        <row r="993">
          <cell r="D993">
            <v>0</v>
          </cell>
        </row>
        <row r="994">
          <cell r="D994">
            <v>0</v>
          </cell>
        </row>
        <row r="995">
          <cell r="D995">
            <v>0</v>
          </cell>
        </row>
        <row r="996">
          <cell r="D996">
            <v>0</v>
          </cell>
        </row>
        <row r="997">
          <cell r="D997">
            <v>0</v>
          </cell>
        </row>
        <row r="998">
          <cell r="D998">
            <v>0</v>
          </cell>
        </row>
        <row r="999">
          <cell r="D999">
            <v>0</v>
          </cell>
        </row>
        <row r="1000">
          <cell r="D1000">
            <v>0</v>
          </cell>
        </row>
        <row r="1001">
          <cell r="D1001">
            <v>0</v>
          </cell>
        </row>
        <row r="1002">
          <cell r="D1002">
            <v>0</v>
          </cell>
        </row>
        <row r="1003">
          <cell r="D1003">
            <v>0</v>
          </cell>
        </row>
        <row r="1004">
          <cell r="D1004">
            <v>0</v>
          </cell>
        </row>
        <row r="1005">
          <cell r="D1005">
            <v>0</v>
          </cell>
        </row>
        <row r="1006">
          <cell r="D1006">
            <v>0</v>
          </cell>
        </row>
        <row r="1007">
          <cell r="D1007">
            <v>0</v>
          </cell>
        </row>
        <row r="1008">
          <cell r="D1008">
            <v>0</v>
          </cell>
        </row>
        <row r="1009">
          <cell r="D1009">
            <v>0</v>
          </cell>
        </row>
        <row r="1010">
          <cell r="D1010">
            <v>0</v>
          </cell>
        </row>
        <row r="1011">
          <cell r="D1011">
            <v>0</v>
          </cell>
        </row>
        <row r="1012">
          <cell r="D1012">
            <v>0</v>
          </cell>
        </row>
        <row r="1013">
          <cell r="D1013">
            <v>0</v>
          </cell>
        </row>
        <row r="1014">
          <cell r="D1014">
            <v>0</v>
          </cell>
        </row>
        <row r="1015">
          <cell r="D1015">
            <v>0</v>
          </cell>
        </row>
        <row r="1016">
          <cell r="D1016">
            <v>0</v>
          </cell>
        </row>
        <row r="1017">
          <cell r="D1017">
            <v>0</v>
          </cell>
        </row>
        <row r="1018">
          <cell r="D1018">
            <v>0</v>
          </cell>
        </row>
        <row r="1019">
          <cell r="D1019">
            <v>0</v>
          </cell>
        </row>
        <row r="1020">
          <cell r="D1020">
            <v>0</v>
          </cell>
        </row>
        <row r="1021">
          <cell r="D1021">
            <v>0</v>
          </cell>
        </row>
        <row r="1022">
          <cell r="D1022">
            <v>0</v>
          </cell>
        </row>
        <row r="1023">
          <cell r="D1023">
            <v>0</v>
          </cell>
        </row>
        <row r="1024">
          <cell r="D1024">
            <v>0</v>
          </cell>
        </row>
        <row r="1025">
          <cell r="D1025">
            <v>0</v>
          </cell>
        </row>
        <row r="1026">
          <cell r="D1026">
            <v>0</v>
          </cell>
        </row>
        <row r="1027">
          <cell r="D1027">
            <v>0</v>
          </cell>
        </row>
        <row r="1028">
          <cell r="D1028">
            <v>0</v>
          </cell>
        </row>
        <row r="1029">
          <cell r="D1029">
            <v>0</v>
          </cell>
        </row>
        <row r="1030">
          <cell r="D1030">
            <v>0</v>
          </cell>
        </row>
        <row r="1031">
          <cell r="D1031">
            <v>0</v>
          </cell>
        </row>
        <row r="1032">
          <cell r="D1032">
            <v>0</v>
          </cell>
        </row>
        <row r="1033">
          <cell r="D1033">
            <v>0</v>
          </cell>
        </row>
        <row r="1034">
          <cell r="D1034">
            <v>0</v>
          </cell>
        </row>
        <row r="1035">
          <cell r="D1035">
            <v>0</v>
          </cell>
        </row>
        <row r="1036">
          <cell r="D1036">
            <v>0</v>
          </cell>
        </row>
        <row r="1037">
          <cell r="D1037">
            <v>0</v>
          </cell>
        </row>
        <row r="1038">
          <cell r="D1038">
            <v>0</v>
          </cell>
        </row>
        <row r="1039">
          <cell r="D1039">
            <v>0</v>
          </cell>
        </row>
        <row r="1040">
          <cell r="D1040">
            <v>0</v>
          </cell>
        </row>
        <row r="1041">
          <cell r="D1041">
            <v>0</v>
          </cell>
        </row>
        <row r="1042">
          <cell r="D1042">
            <v>0</v>
          </cell>
        </row>
        <row r="1043">
          <cell r="D1043">
            <v>0</v>
          </cell>
        </row>
        <row r="1044">
          <cell r="D1044">
            <v>0</v>
          </cell>
        </row>
        <row r="1045">
          <cell r="D1045">
            <v>0</v>
          </cell>
        </row>
        <row r="1046">
          <cell r="D1046">
            <v>0</v>
          </cell>
        </row>
        <row r="1047">
          <cell r="D1047">
            <v>0</v>
          </cell>
        </row>
        <row r="1048">
          <cell r="D1048">
            <v>0</v>
          </cell>
        </row>
        <row r="1049">
          <cell r="D1049">
            <v>0</v>
          </cell>
        </row>
        <row r="1050">
          <cell r="D1050">
            <v>0</v>
          </cell>
        </row>
        <row r="1051">
          <cell r="D1051">
            <v>0</v>
          </cell>
        </row>
        <row r="1052">
          <cell r="D1052">
            <v>0</v>
          </cell>
        </row>
        <row r="1053">
          <cell r="D1053">
            <v>0</v>
          </cell>
        </row>
        <row r="1054">
          <cell r="D1054">
            <v>0</v>
          </cell>
        </row>
        <row r="1055">
          <cell r="D1055">
            <v>0</v>
          </cell>
        </row>
        <row r="1056">
          <cell r="D1056">
            <v>0</v>
          </cell>
        </row>
        <row r="1057">
          <cell r="D1057">
            <v>0</v>
          </cell>
        </row>
        <row r="1058">
          <cell r="D1058">
            <v>0</v>
          </cell>
        </row>
        <row r="1059">
          <cell r="D1059">
            <v>0</v>
          </cell>
        </row>
        <row r="1060">
          <cell r="D1060">
            <v>0</v>
          </cell>
        </row>
        <row r="1061">
          <cell r="D1061">
            <v>0</v>
          </cell>
        </row>
        <row r="1062">
          <cell r="D1062">
            <v>0</v>
          </cell>
        </row>
        <row r="1063">
          <cell r="D1063">
            <v>0</v>
          </cell>
        </row>
        <row r="1064">
          <cell r="D1064">
            <v>0</v>
          </cell>
        </row>
        <row r="1065">
          <cell r="D1065">
            <v>0</v>
          </cell>
        </row>
        <row r="1066">
          <cell r="D1066">
            <v>0</v>
          </cell>
        </row>
        <row r="1067">
          <cell r="D1067">
            <v>0</v>
          </cell>
        </row>
        <row r="1068">
          <cell r="D1068">
            <v>0</v>
          </cell>
        </row>
        <row r="1069">
          <cell r="D1069">
            <v>0</v>
          </cell>
        </row>
        <row r="1070">
          <cell r="D1070">
            <v>0</v>
          </cell>
        </row>
        <row r="1071">
          <cell r="D1071">
            <v>0</v>
          </cell>
        </row>
        <row r="1072">
          <cell r="D1072">
            <v>0</v>
          </cell>
        </row>
        <row r="1073">
          <cell r="D1073">
            <v>0</v>
          </cell>
        </row>
        <row r="1074">
          <cell r="D1074">
            <v>0</v>
          </cell>
        </row>
        <row r="1075">
          <cell r="D1075">
            <v>0</v>
          </cell>
        </row>
        <row r="1076">
          <cell r="D1076">
            <v>0</v>
          </cell>
        </row>
        <row r="1077">
          <cell r="D1077">
            <v>0</v>
          </cell>
        </row>
        <row r="1078">
          <cell r="D1078">
            <v>0</v>
          </cell>
        </row>
        <row r="1079">
          <cell r="D1079">
            <v>0</v>
          </cell>
        </row>
        <row r="1080">
          <cell r="D1080">
            <v>0</v>
          </cell>
        </row>
        <row r="1081">
          <cell r="D1081">
            <v>0</v>
          </cell>
        </row>
        <row r="1082">
          <cell r="D1082">
            <v>0</v>
          </cell>
        </row>
        <row r="1083">
          <cell r="D1083">
            <v>0</v>
          </cell>
        </row>
        <row r="1084">
          <cell r="D1084">
            <v>0</v>
          </cell>
        </row>
        <row r="1085">
          <cell r="D1085">
            <v>0</v>
          </cell>
        </row>
        <row r="1086">
          <cell r="D1086">
            <v>0</v>
          </cell>
        </row>
        <row r="1087">
          <cell r="D1087">
            <v>0</v>
          </cell>
        </row>
        <row r="1088">
          <cell r="D1088">
            <v>0</v>
          </cell>
        </row>
        <row r="1089">
          <cell r="D1089">
            <v>0</v>
          </cell>
        </row>
        <row r="1090">
          <cell r="D1090">
            <v>0</v>
          </cell>
        </row>
        <row r="1091">
          <cell r="D1091">
            <v>0</v>
          </cell>
        </row>
        <row r="1092">
          <cell r="D1092">
            <v>0</v>
          </cell>
        </row>
        <row r="1093">
          <cell r="D1093">
            <v>0</v>
          </cell>
        </row>
        <row r="1094">
          <cell r="D1094">
            <v>0</v>
          </cell>
        </row>
        <row r="1095">
          <cell r="D1095">
            <v>0</v>
          </cell>
        </row>
        <row r="1096">
          <cell r="D1096">
            <v>0</v>
          </cell>
        </row>
        <row r="1097">
          <cell r="D1097">
            <v>0</v>
          </cell>
        </row>
        <row r="1098">
          <cell r="D1098">
            <v>0</v>
          </cell>
        </row>
        <row r="1099">
          <cell r="D1099">
            <v>0</v>
          </cell>
        </row>
        <row r="1100">
          <cell r="D1100">
            <v>0</v>
          </cell>
        </row>
        <row r="1101">
          <cell r="D1101" t="str">
            <v>June,2012 CIL Document</v>
          </cell>
        </row>
        <row r="1102">
          <cell r="D1102">
            <v>0</v>
          </cell>
        </row>
        <row r="1103">
          <cell r="D1103">
            <v>0</v>
          </cell>
        </row>
        <row r="1104">
          <cell r="D1104">
            <v>0</v>
          </cell>
        </row>
        <row r="1105">
          <cell r="D1105" t="str">
            <v>June,2012 CIL Document</v>
          </cell>
        </row>
        <row r="1106">
          <cell r="D1106">
            <v>0</v>
          </cell>
        </row>
        <row r="1107">
          <cell r="D1107">
            <v>0</v>
          </cell>
        </row>
        <row r="1108">
          <cell r="D1108">
            <v>0</v>
          </cell>
        </row>
        <row r="1109">
          <cell r="D1109">
            <v>0</v>
          </cell>
        </row>
        <row r="1110">
          <cell r="D1110">
            <v>0</v>
          </cell>
        </row>
        <row r="1111">
          <cell r="D1111">
            <v>0</v>
          </cell>
        </row>
        <row r="1112">
          <cell r="D1112">
            <v>0</v>
          </cell>
        </row>
        <row r="1113">
          <cell r="D1113">
            <v>0</v>
          </cell>
        </row>
        <row r="1114">
          <cell r="D1114" t="str">
            <v>June,2012 CIL Document</v>
          </cell>
        </row>
        <row r="1115">
          <cell r="D1115">
            <v>0</v>
          </cell>
        </row>
        <row r="1116">
          <cell r="D1116">
            <v>0</v>
          </cell>
        </row>
        <row r="1117">
          <cell r="D1117">
            <v>0</v>
          </cell>
        </row>
        <row r="1118">
          <cell r="D1118">
            <v>0</v>
          </cell>
        </row>
        <row r="1119">
          <cell r="D1119">
            <v>0</v>
          </cell>
        </row>
        <row r="1120">
          <cell r="D1120">
            <v>0</v>
          </cell>
        </row>
        <row r="1121">
          <cell r="D1121" t="str">
            <v>June,2012 CIL Document</v>
          </cell>
        </row>
        <row r="1122">
          <cell r="D1122">
            <v>0</v>
          </cell>
        </row>
        <row r="1123">
          <cell r="D1123">
            <v>0</v>
          </cell>
        </row>
        <row r="1124">
          <cell r="D1124">
            <v>0</v>
          </cell>
        </row>
        <row r="1125">
          <cell r="D1125">
            <v>0</v>
          </cell>
        </row>
        <row r="1126">
          <cell r="D1126">
            <v>0</v>
          </cell>
        </row>
        <row r="1127">
          <cell r="D1127">
            <v>0</v>
          </cell>
        </row>
        <row r="1128">
          <cell r="D1128">
            <v>0</v>
          </cell>
        </row>
        <row r="1129">
          <cell r="D1129">
            <v>0</v>
          </cell>
        </row>
        <row r="1130">
          <cell r="D1130">
            <v>0</v>
          </cell>
        </row>
        <row r="1131">
          <cell r="D1131">
            <v>0</v>
          </cell>
        </row>
        <row r="1132">
          <cell r="D1132">
            <v>0</v>
          </cell>
        </row>
        <row r="1133">
          <cell r="D1133">
            <v>0</v>
          </cell>
        </row>
        <row r="1134">
          <cell r="D1134">
            <v>0</v>
          </cell>
        </row>
        <row r="1135">
          <cell r="D1135">
            <v>0</v>
          </cell>
        </row>
        <row r="1136">
          <cell r="D1136">
            <v>0</v>
          </cell>
        </row>
        <row r="1137">
          <cell r="D1137">
            <v>0</v>
          </cell>
        </row>
        <row r="1138">
          <cell r="D1138">
            <v>0</v>
          </cell>
        </row>
        <row r="1139">
          <cell r="D1139">
            <v>0</v>
          </cell>
        </row>
        <row r="1140">
          <cell r="D1140" t="str">
            <v>June,2012 CIL Document</v>
          </cell>
        </row>
        <row r="1141">
          <cell r="D1141">
            <v>0</v>
          </cell>
        </row>
        <row r="1142">
          <cell r="D1142">
            <v>0</v>
          </cell>
        </row>
        <row r="1143">
          <cell r="D1143">
            <v>0</v>
          </cell>
        </row>
        <row r="1144">
          <cell r="D1144">
            <v>0</v>
          </cell>
        </row>
        <row r="1145">
          <cell r="D1145">
            <v>0</v>
          </cell>
        </row>
        <row r="1146">
          <cell r="D1146">
            <v>0</v>
          </cell>
        </row>
        <row r="1147">
          <cell r="D1147">
            <v>0</v>
          </cell>
        </row>
        <row r="1148">
          <cell r="D1148">
            <v>0</v>
          </cell>
        </row>
        <row r="1149">
          <cell r="D1149">
            <v>0</v>
          </cell>
        </row>
        <row r="1150">
          <cell r="D1150">
            <v>0</v>
          </cell>
        </row>
        <row r="1151">
          <cell r="D1151">
            <v>0</v>
          </cell>
        </row>
        <row r="1152">
          <cell r="D1152">
            <v>0</v>
          </cell>
        </row>
        <row r="1153">
          <cell r="D1153">
            <v>0</v>
          </cell>
        </row>
        <row r="1154">
          <cell r="D1154">
            <v>0</v>
          </cell>
        </row>
        <row r="1155">
          <cell r="D1155">
            <v>0</v>
          </cell>
        </row>
        <row r="1156">
          <cell r="D1156">
            <v>0</v>
          </cell>
        </row>
        <row r="1157">
          <cell r="D1157">
            <v>0</v>
          </cell>
        </row>
        <row r="1158">
          <cell r="D1158">
            <v>0</v>
          </cell>
        </row>
        <row r="1159">
          <cell r="D1159">
            <v>0</v>
          </cell>
        </row>
        <row r="1160">
          <cell r="D1160">
            <v>0</v>
          </cell>
        </row>
        <row r="1161">
          <cell r="D1161">
            <v>0</v>
          </cell>
        </row>
        <row r="1162">
          <cell r="D1162">
            <v>0</v>
          </cell>
        </row>
        <row r="1163">
          <cell r="D1163">
            <v>0</v>
          </cell>
        </row>
        <row r="1164">
          <cell r="D1164">
            <v>0</v>
          </cell>
        </row>
        <row r="1165">
          <cell r="D1165">
            <v>0</v>
          </cell>
        </row>
        <row r="1166">
          <cell r="D1166">
            <v>0</v>
          </cell>
        </row>
        <row r="1167">
          <cell r="D1167">
            <v>0</v>
          </cell>
        </row>
        <row r="1168">
          <cell r="D1168">
            <v>0</v>
          </cell>
        </row>
        <row r="1169">
          <cell r="D1169">
            <v>0</v>
          </cell>
        </row>
        <row r="1170">
          <cell r="D1170">
            <v>0</v>
          </cell>
        </row>
        <row r="1171">
          <cell r="D1171">
            <v>0</v>
          </cell>
        </row>
        <row r="1172">
          <cell r="D1172">
            <v>0</v>
          </cell>
        </row>
        <row r="1173">
          <cell r="D1173">
            <v>0</v>
          </cell>
        </row>
        <row r="1174">
          <cell r="D1174">
            <v>0</v>
          </cell>
        </row>
        <row r="1175">
          <cell r="D1175">
            <v>0</v>
          </cell>
        </row>
        <row r="1176">
          <cell r="D1176">
            <v>0</v>
          </cell>
        </row>
        <row r="1177">
          <cell r="D1177">
            <v>0</v>
          </cell>
        </row>
        <row r="1178">
          <cell r="D1178">
            <v>0</v>
          </cell>
        </row>
        <row r="1179">
          <cell r="D1179">
            <v>0</v>
          </cell>
        </row>
        <row r="1180">
          <cell r="D1180">
            <v>0</v>
          </cell>
        </row>
        <row r="1181">
          <cell r="D1181">
            <v>0</v>
          </cell>
        </row>
        <row r="1182">
          <cell r="D1182">
            <v>0</v>
          </cell>
        </row>
        <row r="1183">
          <cell r="D1183" t="str">
            <v>June,2012 CIL Document</v>
          </cell>
        </row>
        <row r="1184">
          <cell r="D1184">
            <v>0</v>
          </cell>
        </row>
        <row r="1185">
          <cell r="D1185">
            <v>0</v>
          </cell>
        </row>
        <row r="1186">
          <cell r="D1186">
            <v>0</v>
          </cell>
        </row>
        <row r="1187">
          <cell r="D1187">
            <v>0</v>
          </cell>
        </row>
        <row r="1188">
          <cell r="D1188">
            <v>0</v>
          </cell>
        </row>
        <row r="1189">
          <cell r="D1189">
            <v>0</v>
          </cell>
        </row>
        <row r="1190">
          <cell r="D1190">
            <v>0</v>
          </cell>
        </row>
        <row r="1191">
          <cell r="D1191">
            <v>0</v>
          </cell>
        </row>
        <row r="1192">
          <cell r="D1192">
            <v>0</v>
          </cell>
        </row>
        <row r="1193">
          <cell r="D1193">
            <v>0</v>
          </cell>
        </row>
        <row r="1194">
          <cell r="D1194" t="str">
            <v>Company's Website</v>
          </cell>
        </row>
        <row r="1195">
          <cell r="D1195" t="str">
            <v>CEA Thermal Document</v>
          </cell>
        </row>
        <row r="1196">
          <cell r="D1196">
            <v>0</v>
          </cell>
        </row>
        <row r="1197">
          <cell r="D1197" t="str">
            <v>June,2012 CIL Document</v>
          </cell>
        </row>
        <row r="1198">
          <cell r="D1198">
            <v>0</v>
          </cell>
        </row>
        <row r="1199">
          <cell r="D1199">
            <v>0</v>
          </cell>
        </row>
        <row r="1200">
          <cell r="D1200">
            <v>0</v>
          </cell>
        </row>
        <row r="1201">
          <cell r="D1201" t="str">
            <v>CEA Thermal Document</v>
          </cell>
        </row>
        <row r="1202">
          <cell r="D1202">
            <v>0</v>
          </cell>
        </row>
        <row r="1203">
          <cell r="D1203" t="str">
            <v>CEA Thermal Document</v>
          </cell>
        </row>
        <row r="1204">
          <cell r="D1204">
            <v>0</v>
          </cell>
        </row>
        <row r="1205">
          <cell r="D1205">
            <v>0</v>
          </cell>
        </row>
        <row r="1206">
          <cell r="D1206">
            <v>0</v>
          </cell>
        </row>
        <row r="1207">
          <cell r="D1207">
            <v>0</v>
          </cell>
        </row>
        <row r="1208">
          <cell r="D1208">
            <v>0</v>
          </cell>
        </row>
        <row r="1209">
          <cell r="D1209">
            <v>0</v>
          </cell>
        </row>
        <row r="1210">
          <cell r="D1210">
            <v>0</v>
          </cell>
        </row>
        <row r="1211">
          <cell r="D1211">
            <v>0</v>
          </cell>
        </row>
        <row r="1212">
          <cell r="D1212">
            <v>0</v>
          </cell>
        </row>
        <row r="1213">
          <cell r="D1213">
            <v>0</v>
          </cell>
        </row>
        <row r="1214">
          <cell r="D1214">
            <v>0</v>
          </cell>
        </row>
        <row r="1215">
          <cell r="D1215">
            <v>0</v>
          </cell>
        </row>
        <row r="1216">
          <cell r="D1216">
            <v>0</v>
          </cell>
        </row>
        <row r="1217">
          <cell r="D1217">
            <v>0</v>
          </cell>
        </row>
        <row r="1218">
          <cell r="D1218">
            <v>0</v>
          </cell>
        </row>
        <row r="1219">
          <cell r="D1219">
            <v>0</v>
          </cell>
        </row>
        <row r="1220">
          <cell r="D1220">
            <v>0</v>
          </cell>
        </row>
        <row r="1221">
          <cell r="D1221">
            <v>0</v>
          </cell>
        </row>
        <row r="1222">
          <cell r="D1222">
            <v>0</v>
          </cell>
        </row>
        <row r="1223">
          <cell r="D1223">
            <v>0</v>
          </cell>
        </row>
        <row r="1224">
          <cell r="D1224">
            <v>0</v>
          </cell>
        </row>
        <row r="1225">
          <cell r="D1225">
            <v>0</v>
          </cell>
        </row>
        <row r="1226">
          <cell r="D1226">
            <v>0</v>
          </cell>
        </row>
        <row r="1227">
          <cell r="D1227">
            <v>0</v>
          </cell>
        </row>
        <row r="1228">
          <cell r="D1228">
            <v>0</v>
          </cell>
        </row>
        <row r="1229">
          <cell r="D1229">
            <v>0</v>
          </cell>
        </row>
        <row r="1230">
          <cell r="D1230">
            <v>0</v>
          </cell>
        </row>
        <row r="1231">
          <cell r="D1231">
            <v>0</v>
          </cell>
        </row>
        <row r="1232">
          <cell r="D1232">
            <v>0</v>
          </cell>
        </row>
        <row r="1233">
          <cell r="D1233">
            <v>0</v>
          </cell>
        </row>
        <row r="1234">
          <cell r="D1234">
            <v>0</v>
          </cell>
        </row>
        <row r="1235">
          <cell r="D1235">
            <v>0</v>
          </cell>
        </row>
        <row r="1236">
          <cell r="D1236" t="str">
            <v>CEA Thermal Document</v>
          </cell>
        </row>
        <row r="1237">
          <cell r="D1237" t="str">
            <v>CEA Thermal Document</v>
          </cell>
        </row>
        <row r="1238">
          <cell r="D1238">
            <v>0</v>
          </cell>
        </row>
        <row r="1239">
          <cell r="D1239">
            <v>0</v>
          </cell>
        </row>
        <row r="1240">
          <cell r="D1240" t="str">
            <v>CEA Thermal Document</v>
          </cell>
        </row>
        <row r="1241">
          <cell r="D1241">
            <v>0</v>
          </cell>
        </row>
        <row r="1242">
          <cell r="D1242" t="str">
            <v>CEA Thermal Document</v>
          </cell>
        </row>
        <row r="1243">
          <cell r="D1243" t="str">
            <v>CEA Thermal Document</v>
          </cell>
        </row>
        <row r="1244">
          <cell r="D1244" t="str">
            <v>Metis Document</v>
          </cell>
        </row>
        <row r="1245">
          <cell r="D1245">
            <v>0</v>
          </cell>
        </row>
        <row r="1246">
          <cell r="D1246">
            <v>0</v>
          </cell>
        </row>
        <row r="1247">
          <cell r="D1247">
            <v>0</v>
          </cell>
        </row>
        <row r="1248">
          <cell r="D1248" t="str">
            <v>CEA Thermal Document</v>
          </cell>
        </row>
        <row r="1249">
          <cell r="D1249">
            <v>0</v>
          </cell>
        </row>
        <row r="1250">
          <cell r="D1250" t="str">
            <v>CEA Thermal Document</v>
          </cell>
        </row>
        <row r="1251">
          <cell r="D1251" t="str">
            <v>Company's Website</v>
          </cell>
        </row>
        <row r="1252">
          <cell r="D1252" t="str">
            <v>CEA Thermal Document</v>
          </cell>
        </row>
        <row r="1253">
          <cell r="D1253" t="str">
            <v>CEA Thermal Document</v>
          </cell>
        </row>
        <row r="1254">
          <cell r="D1254" t="str">
            <v>CEA Thermal Document</v>
          </cell>
        </row>
        <row r="1255">
          <cell r="D1255" t="str">
            <v>CEA Thermal Document</v>
          </cell>
        </row>
        <row r="1256">
          <cell r="D1256" t="str">
            <v>CEA Thermal Document</v>
          </cell>
        </row>
        <row r="1257">
          <cell r="D1257" t="str">
            <v>CEA Thermal Document</v>
          </cell>
        </row>
        <row r="1258">
          <cell r="D1258" t="str">
            <v>CEA Thermal Document</v>
          </cell>
        </row>
        <row r="1259">
          <cell r="D1259">
            <v>0</v>
          </cell>
        </row>
        <row r="1260">
          <cell r="D1260" t="str">
            <v>Company's Website</v>
          </cell>
        </row>
        <row r="1261">
          <cell r="D1261">
            <v>0</v>
          </cell>
        </row>
        <row r="1262">
          <cell r="D1262">
            <v>0</v>
          </cell>
        </row>
        <row r="1263">
          <cell r="D1263" t="str">
            <v>Metis Document</v>
          </cell>
        </row>
        <row r="1264">
          <cell r="D1264" t="str">
            <v>Metis Document</v>
          </cell>
        </row>
        <row r="1265">
          <cell r="D1265">
            <v>0</v>
          </cell>
        </row>
        <row r="1266">
          <cell r="D1266" t="str">
            <v>Company's Website</v>
          </cell>
        </row>
        <row r="1267">
          <cell r="D1267" t="str">
            <v>Company's Website</v>
          </cell>
        </row>
        <row r="1268">
          <cell r="D1268" t="str">
            <v>CEA Thermal Document</v>
          </cell>
        </row>
        <row r="1269">
          <cell r="D1269" t="str">
            <v>CEA Thermal Document</v>
          </cell>
        </row>
        <row r="1270">
          <cell r="D1270" t="str">
            <v>Company's Website</v>
          </cell>
        </row>
        <row r="1271">
          <cell r="D1271" t="str">
            <v>Metis Document</v>
          </cell>
        </row>
        <row r="1272">
          <cell r="D1272" t="str">
            <v>CEA Thermal Document</v>
          </cell>
        </row>
        <row r="1273">
          <cell r="D1273">
            <v>0</v>
          </cell>
        </row>
        <row r="1274">
          <cell r="D1274" t="str">
            <v>CEA Thermal Document</v>
          </cell>
        </row>
        <row r="1275">
          <cell r="D1275">
            <v>0</v>
          </cell>
        </row>
        <row r="1276">
          <cell r="D1276">
            <v>0</v>
          </cell>
        </row>
        <row r="1277">
          <cell r="D1277" t="str">
            <v>CEA Thermal Document</v>
          </cell>
        </row>
        <row r="1278">
          <cell r="D1278">
            <v>0</v>
          </cell>
        </row>
        <row r="1279">
          <cell r="D1279" t="str">
            <v>Metis Document</v>
          </cell>
        </row>
        <row r="1280">
          <cell r="D1280" t="str">
            <v>Metis Document</v>
          </cell>
        </row>
        <row r="1281">
          <cell r="D1281" t="str">
            <v>CEA Thermal Document</v>
          </cell>
        </row>
        <row r="1282">
          <cell r="D1282" t="str">
            <v>CEA Thermal Document</v>
          </cell>
        </row>
        <row r="1283">
          <cell r="D1283" t="str">
            <v>Metis Document</v>
          </cell>
        </row>
        <row r="1284">
          <cell r="D1284" t="str">
            <v>Metis Document</v>
          </cell>
        </row>
        <row r="1285">
          <cell r="D1285" t="str">
            <v>Metis Document</v>
          </cell>
        </row>
        <row r="1286">
          <cell r="D1286" t="str">
            <v>Metis Document</v>
          </cell>
        </row>
        <row r="1287">
          <cell r="D1287" t="str">
            <v>CEA Thermal Document</v>
          </cell>
        </row>
        <row r="1288">
          <cell r="D1288" t="str">
            <v>CEA Thermal Document</v>
          </cell>
        </row>
        <row r="1289">
          <cell r="D1289" t="str">
            <v>CEA Thermal Document</v>
          </cell>
        </row>
        <row r="1290">
          <cell r="D1290">
            <v>0</v>
          </cell>
        </row>
        <row r="1291">
          <cell r="D1291" t="str">
            <v>Company's Website</v>
          </cell>
        </row>
        <row r="1292">
          <cell r="D1292" t="str">
            <v>Company's Website</v>
          </cell>
        </row>
        <row r="1293">
          <cell r="D1293" t="str">
            <v>CEA Thermal Document</v>
          </cell>
        </row>
        <row r="1294">
          <cell r="D1294">
            <v>0</v>
          </cell>
        </row>
        <row r="1295">
          <cell r="D1295" t="str">
            <v>Company's Website</v>
          </cell>
        </row>
        <row r="1296">
          <cell r="D1296" t="str">
            <v>Metis Document</v>
          </cell>
        </row>
        <row r="1297">
          <cell r="D1297" t="str">
            <v>CEA Thermal Document</v>
          </cell>
        </row>
        <row r="1298">
          <cell r="D1298" t="str">
            <v>CEA Thermal Document</v>
          </cell>
        </row>
        <row r="1299">
          <cell r="D1299">
            <v>0</v>
          </cell>
        </row>
        <row r="1300">
          <cell r="D1300">
            <v>0</v>
          </cell>
        </row>
        <row r="1301">
          <cell r="D1301" t="str">
            <v>Company's Website</v>
          </cell>
        </row>
        <row r="1302">
          <cell r="D1302" t="str">
            <v>CEA Thermal Document</v>
          </cell>
        </row>
        <row r="1303">
          <cell r="D1303">
            <v>0</v>
          </cell>
        </row>
        <row r="1304">
          <cell r="D1304">
            <v>0</v>
          </cell>
        </row>
        <row r="1305">
          <cell r="D1305" t="str">
            <v>Company's Website</v>
          </cell>
        </row>
        <row r="1306">
          <cell r="D1306" t="str">
            <v>Company's Website</v>
          </cell>
        </row>
        <row r="1307">
          <cell r="D1307" t="str">
            <v>Company's Website</v>
          </cell>
        </row>
        <row r="1308">
          <cell r="D1308" t="str">
            <v>Metis Document</v>
          </cell>
        </row>
        <row r="1309">
          <cell r="D1309" t="str">
            <v>Company's Website</v>
          </cell>
        </row>
        <row r="1310">
          <cell r="D1310" t="str">
            <v>CEA Thermal Document</v>
          </cell>
        </row>
        <row r="1311">
          <cell r="D1311" t="str">
            <v>Metis Document</v>
          </cell>
        </row>
        <row r="1312">
          <cell r="D1312">
            <v>0</v>
          </cell>
        </row>
        <row r="1313">
          <cell r="D1313">
            <v>0</v>
          </cell>
        </row>
        <row r="1314">
          <cell r="D1314" t="str">
            <v>Company's Website</v>
          </cell>
        </row>
        <row r="1315">
          <cell r="D1315" t="str">
            <v>Company's Website</v>
          </cell>
        </row>
        <row r="1316">
          <cell r="D1316" t="str">
            <v>Company's Website</v>
          </cell>
        </row>
        <row r="1317">
          <cell r="D1317" t="str">
            <v>CEA Thermal Document</v>
          </cell>
        </row>
        <row r="1318">
          <cell r="D1318" t="str">
            <v>CEA Thermal Document</v>
          </cell>
        </row>
        <row r="1319">
          <cell r="D1319">
            <v>0</v>
          </cell>
        </row>
        <row r="1320">
          <cell r="D1320" t="str">
            <v>CEA Thermal Document</v>
          </cell>
        </row>
        <row r="1321">
          <cell r="D1321" t="str">
            <v>CEA Thermal Document</v>
          </cell>
        </row>
        <row r="1322">
          <cell r="D1322" t="str">
            <v>Company's Website</v>
          </cell>
        </row>
        <row r="1323">
          <cell r="D1323" t="str">
            <v>CEA Thermal Document</v>
          </cell>
        </row>
        <row r="1324">
          <cell r="D1324" t="str">
            <v>CEA Thermal Document</v>
          </cell>
        </row>
        <row r="1325">
          <cell r="D1325" t="str">
            <v>Company's Website</v>
          </cell>
        </row>
        <row r="1326">
          <cell r="D1326">
            <v>0</v>
          </cell>
        </row>
        <row r="1327">
          <cell r="D1327" t="str">
            <v>CEA Thermal Document</v>
          </cell>
        </row>
        <row r="1328">
          <cell r="D1328">
            <v>0</v>
          </cell>
        </row>
        <row r="1329">
          <cell r="D1329" t="str">
            <v>Metis Document</v>
          </cell>
        </row>
        <row r="1330">
          <cell r="D1330" t="str">
            <v>CEA Thermal Document</v>
          </cell>
        </row>
        <row r="1331">
          <cell r="D1331" t="str">
            <v>CEA Thermal Document</v>
          </cell>
        </row>
        <row r="1332">
          <cell r="D1332" t="str">
            <v>Company's Website</v>
          </cell>
        </row>
        <row r="1333">
          <cell r="D1333" t="str">
            <v>Metis Document</v>
          </cell>
        </row>
        <row r="1334">
          <cell r="D1334" t="str">
            <v>Company's Website</v>
          </cell>
        </row>
        <row r="1335">
          <cell r="D1335">
            <v>0</v>
          </cell>
        </row>
        <row r="1336">
          <cell r="D1336" t="str">
            <v>CEA Thermal Document</v>
          </cell>
        </row>
        <row r="1337">
          <cell r="D1337" t="str">
            <v>Company's Website</v>
          </cell>
        </row>
        <row r="1338">
          <cell r="D1338" t="str">
            <v>Company's Website</v>
          </cell>
        </row>
        <row r="1339">
          <cell r="D1339" t="str">
            <v>CEA Thermal Document</v>
          </cell>
        </row>
        <row r="1340">
          <cell r="D1340">
            <v>0</v>
          </cell>
        </row>
        <row r="1341">
          <cell r="D1341" t="str">
            <v>CEA Thermal Document</v>
          </cell>
        </row>
        <row r="1342">
          <cell r="D1342">
            <v>0</v>
          </cell>
        </row>
        <row r="1343">
          <cell r="D1343">
            <v>0</v>
          </cell>
        </row>
        <row r="1344">
          <cell r="D1344" t="str">
            <v>Metis Document</v>
          </cell>
        </row>
        <row r="1345">
          <cell r="D1345" t="str">
            <v>Company's Website</v>
          </cell>
        </row>
        <row r="1346">
          <cell r="D1346" t="str">
            <v>CEA Thermal Document</v>
          </cell>
        </row>
        <row r="1347">
          <cell r="D1347" t="str">
            <v>Company's Website</v>
          </cell>
        </row>
        <row r="1348">
          <cell r="D1348" t="str">
            <v>CEA Thermal Document</v>
          </cell>
        </row>
        <row r="1349">
          <cell r="D1349" t="str">
            <v>CEA Thermal Document</v>
          </cell>
        </row>
        <row r="1350">
          <cell r="D1350">
            <v>0</v>
          </cell>
        </row>
        <row r="1351">
          <cell r="D1351" t="str">
            <v>CEA Thermal Document</v>
          </cell>
        </row>
        <row r="1352">
          <cell r="D1352" t="str">
            <v>CEA Thermal Document &amp; Company's Website</v>
          </cell>
        </row>
        <row r="1353">
          <cell r="D1353" t="str">
            <v>CEA Thermal Document</v>
          </cell>
        </row>
        <row r="1354">
          <cell r="D1354" t="str">
            <v>CEA Thermal Document</v>
          </cell>
        </row>
        <row r="1355">
          <cell r="D1355" t="str">
            <v>Company's Website</v>
          </cell>
        </row>
        <row r="1356">
          <cell r="D1356">
            <v>0</v>
          </cell>
        </row>
        <row r="1357">
          <cell r="D1357" t="str">
            <v>CEA Thermal Document</v>
          </cell>
        </row>
        <row r="1358">
          <cell r="D1358" t="str">
            <v>CEA Thermal Document</v>
          </cell>
        </row>
        <row r="1359">
          <cell r="D1359" t="str">
            <v>Metis Document</v>
          </cell>
        </row>
        <row r="1360">
          <cell r="D1360">
            <v>0</v>
          </cell>
        </row>
        <row r="1361">
          <cell r="D1361" t="str">
            <v>Company's Website</v>
          </cell>
        </row>
        <row r="1362">
          <cell r="D1362" t="str">
            <v>Company's Website</v>
          </cell>
        </row>
        <row r="1363">
          <cell r="D1363" t="str">
            <v>CEA Thermal Document &amp; Company's Website</v>
          </cell>
        </row>
        <row r="1364">
          <cell r="D1364" t="str">
            <v>CEA Thermal Document</v>
          </cell>
        </row>
        <row r="1365">
          <cell r="D1365" t="str">
            <v>CEA Thermal Document</v>
          </cell>
        </row>
        <row r="1366">
          <cell r="D1366" t="str">
            <v>CEA Thermal Document</v>
          </cell>
        </row>
        <row r="1367">
          <cell r="D1367" t="str">
            <v>CEA Thermal Document</v>
          </cell>
        </row>
        <row r="1368">
          <cell r="D1368">
            <v>0</v>
          </cell>
        </row>
        <row r="1369">
          <cell r="D1369" t="str">
            <v>Company's Website</v>
          </cell>
        </row>
        <row r="1370">
          <cell r="D1370">
            <v>0</v>
          </cell>
        </row>
        <row r="1371">
          <cell r="D1371" t="str">
            <v>Company's Website</v>
          </cell>
        </row>
        <row r="1372">
          <cell r="D1372" t="str">
            <v>CEA Thermal Document</v>
          </cell>
        </row>
        <row r="1373">
          <cell r="D1373" t="str">
            <v>Company's Website</v>
          </cell>
        </row>
        <row r="1374">
          <cell r="D1374" t="str">
            <v>Metis Document</v>
          </cell>
        </row>
        <row r="1375">
          <cell r="D1375" t="str">
            <v>CEA Thermal Document</v>
          </cell>
        </row>
        <row r="1376">
          <cell r="D1376" t="str">
            <v>June,2012 CIL Document</v>
          </cell>
        </row>
        <row r="1377">
          <cell r="D1377" t="str">
            <v>Metis Document</v>
          </cell>
        </row>
        <row r="1378">
          <cell r="D1378" t="str">
            <v>CEA Thermal Document</v>
          </cell>
        </row>
        <row r="1379">
          <cell r="D1379" t="str">
            <v>CEA Thermal Document</v>
          </cell>
        </row>
        <row r="1380">
          <cell r="D1380">
            <v>0</v>
          </cell>
        </row>
        <row r="1381">
          <cell r="D1381">
            <v>0</v>
          </cell>
        </row>
        <row r="1382">
          <cell r="D1382">
            <v>0</v>
          </cell>
        </row>
        <row r="1383">
          <cell r="D1383" t="str">
            <v>Metis Document</v>
          </cell>
        </row>
        <row r="1384">
          <cell r="D1384" t="str">
            <v>Company's Website</v>
          </cell>
        </row>
        <row r="1385">
          <cell r="D1385" t="str">
            <v>Company's Website</v>
          </cell>
        </row>
        <row r="1386">
          <cell r="D1386" t="str">
            <v>Company's Website</v>
          </cell>
        </row>
        <row r="1387">
          <cell r="D1387" t="str">
            <v>Metis Document</v>
          </cell>
        </row>
        <row r="1388">
          <cell r="D1388" t="str">
            <v>CEA Thermal Document</v>
          </cell>
        </row>
        <row r="1389">
          <cell r="D1389" t="str">
            <v>Metis Document &amp; Company's Website</v>
          </cell>
        </row>
        <row r="1390">
          <cell r="D1390">
            <v>0</v>
          </cell>
        </row>
        <row r="1391">
          <cell r="D1391" t="str">
            <v>Metis Document</v>
          </cell>
        </row>
        <row r="1392">
          <cell r="D1392" t="str">
            <v>Metis Document</v>
          </cell>
        </row>
        <row r="1393">
          <cell r="D1393">
            <v>0</v>
          </cell>
        </row>
        <row r="1394">
          <cell r="D1394" t="str">
            <v>Metis Document</v>
          </cell>
        </row>
        <row r="1395">
          <cell r="D1395" t="str">
            <v>CEA Thermal Document</v>
          </cell>
        </row>
        <row r="1396">
          <cell r="D1396">
            <v>0</v>
          </cell>
        </row>
        <row r="1397">
          <cell r="D1397" t="str">
            <v>Company's Website</v>
          </cell>
        </row>
        <row r="1398">
          <cell r="D1398">
            <v>0</v>
          </cell>
        </row>
        <row r="1399">
          <cell r="D1399" t="str">
            <v>Metis Document</v>
          </cell>
        </row>
        <row r="1400">
          <cell r="D1400">
            <v>0</v>
          </cell>
        </row>
        <row r="1401">
          <cell r="D1401" t="str">
            <v>Company's Website</v>
          </cell>
        </row>
        <row r="1402">
          <cell r="D1402">
            <v>0</v>
          </cell>
        </row>
        <row r="1403">
          <cell r="D1403">
            <v>0</v>
          </cell>
        </row>
        <row r="1404">
          <cell r="D1404" t="str">
            <v>CEA Thermal Document</v>
          </cell>
        </row>
        <row r="1405">
          <cell r="D1405" t="str">
            <v>Company's Website</v>
          </cell>
        </row>
        <row r="1406">
          <cell r="D1406" t="str">
            <v>Company's Website</v>
          </cell>
        </row>
        <row r="1407">
          <cell r="D1407" t="str">
            <v>Metis Document &amp; Company's Website</v>
          </cell>
        </row>
        <row r="1408">
          <cell r="D1408" t="str">
            <v>Company's Website</v>
          </cell>
        </row>
        <row r="1409">
          <cell r="D1409">
            <v>0</v>
          </cell>
        </row>
        <row r="1410">
          <cell r="D1410" t="str">
            <v>Metis Document</v>
          </cell>
        </row>
        <row r="1411">
          <cell r="D1411" t="str">
            <v>Company's Website</v>
          </cell>
        </row>
        <row r="1412">
          <cell r="D1412" t="str">
            <v>CEA Thermal Document</v>
          </cell>
        </row>
        <row r="1413">
          <cell r="D1413">
            <v>0</v>
          </cell>
        </row>
        <row r="1414">
          <cell r="D1414">
            <v>0</v>
          </cell>
        </row>
        <row r="1415">
          <cell r="D1415" t="str">
            <v>Metis Document</v>
          </cell>
        </row>
        <row r="1416">
          <cell r="D1416" t="str">
            <v>Metis Document</v>
          </cell>
        </row>
        <row r="1417">
          <cell r="D1417" t="str">
            <v>Metis Document</v>
          </cell>
        </row>
        <row r="1418">
          <cell r="D1418" t="str">
            <v>Metis Document &amp; Company's Website</v>
          </cell>
        </row>
        <row r="1419">
          <cell r="D1419">
            <v>0</v>
          </cell>
        </row>
        <row r="1420">
          <cell r="D1420">
            <v>0</v>
          </cell>
        </row>
        <row r="1421">
          <cell r="D1421" t="str">
            <v>Metis Document</v>
          </cell>
        </row>
        <row r="1422">
          <cell r="D1422" t="str">
            <v>Company's Website</v>
          </cell>
        </row>
        <row r="1423">
          <cell r="D1423">
            <v>0</v>
          </cell>
        </row>
        <row r="1424">
          <cell r="D1424" t="str">
            <v>CEA Thermal Document</v>
          </cell>
        </row>
        <row r="1425">
          <cell r="D1425" t="str">
            <v>CEA Thermal Document</v>
          </cell>
        </row>
        <row r="1426">
          <cell r="D1426" t="str">
            <v>Company's Website</v>
          </cell>
        </row>
        <row r="1427">
          <cell r="D1427">
            <v>0</v>
          </cell>
        </row>
        <row r="1428">
          <cell r="D1428">
            <v>0</v>
          </cell>
        </row>
        <row r="1429">
          <cell r="D1429" t="str">
            <v>Company's Website</v>
          </cell>
        </row>
        <row r="1430">
          <cell r="D1430" t="str">
            <v>Company's Website</v>
          </cell>
        </row>
        <row r="1431">
          <cell r="D1431" t="str">
            <v>Metis Document &amp; Company's Website</v>
          </cell>
        </row>
        <row r="1432">
          <cell r="D1432" t="str">
            <v>Metis Document</v>
          </cell>
        </row>
        <row r="1433">
          <cell r="D1433" t="str">
            <v>Company's Website</v>
          </cell>
        </row>
        <row r="1434">
          <cell r="D1434">
            <v>0</v>
          </cell>
        </row>
        <row r="1435">
          <cell r="D1435" t="str">
            <v>Metis Document</v>
          </cell>
        </row>
        <row r="1436">
          <cell r="D1436" t="str">
            <v>Metis Document</v>
          </cell>
        </row>
        <row r="1437">
          <cell r="D1437" t="str">
            <v>Company's Website</v>
          </cell>
        </row>
        <row r="1438">
          <cell r="D1438">
            <v>0</v>
          </cell>
        </row>
        <row r="1439">
          <cell r="D1439" t="str">
            <v>Company's Website</v>
          </cell>
        </row>
        <row r="1440">
          <cell r="D1440" t="str">
            <v>Company's Website</v>
          </cell>
        </row>
        <row r="1441">
          <cell r="D1441" t="str">
            <v>Metis Document</v>
          </cell>
        </row>
        <row r="1442">
          <cell r="D1442" t="str">
            <v>Company's Website</v>
          </cell>
        </row>
        <row r="1443">
          <cell r="D1443" t="str">
            <v>Company's Website</v>
          </cell>
        </row>
        <row r="1444">
          <cell r="D1444" t="str">
            <v>Metis Document</v>
          </cell>
        </row>
        <row r="1445">
          <cell r="D1445" t="str">
            <v>Metis Document</v>
          </cell>
        </row>
        <row r="1446">
          <cell r="D1446" t="str">
            <v>Metis Document</v>
          </cell>
        </row>
        <row r="1447">
          <cell r="D1447" t="str">
            <v>Metis Document</v>
          </cell>
        </row>
        <row r="1448">
          <cell r="D1448" t="str">
            <v>Company's Website</v>
          </cell>
        </row>
        <row r="1449">
          <cell r="D1449" t="str">
            <v>CEA Thermal Document</v>
          </cell>
        </row>
        <row r="1450">
          <cell r="D1450" t="str">
            <v>Company's Website</v>
          </cell>
        </row>
        <row r="1451">
          <cell r="D1451" t="str">
            <v>Metis Document</v>
          </cell>
        </row>
        <row r="1452">
          <cell r="D1452" t="str">
            <v>Metis Document</v>
          </cell>
        </row>
        <row r="1453">
          <cell r="D1453" t="str">
            <v>CEA Thermal Document</v>
          </cell>
        </row>
        <row r="1454">
          <cell r="D1454">
            <v>0</v>
          </cell>
        </row>
        <row r="1455">
          <cell r="D1455" t="str">
            <v>Metis Document</v>
          </cell>
        </row>
        <row r="1456">
          <cell r="D1456" t="str">
            <v>Metis Document</v>
          </cell>
        </row>
        <row r="1457">
          <cell r="D1457" t="str">
            <v>Company's Website</v>
          </cell>
        </row>
        <row r="1458">
          <cell r="D1458" t="str">
            <v>CEA Thermal Document</v>
          </cell>
        </row>
        <row r="1459">
          <cell r="D1459" t="str">
            <v>Metis Document</v>
          </cell>
        </row>
        <row r="1460">
          <cell r="D1460" t="str">
            <v>Metis Document</v>
          </cell>
        </row>
        <row r="1461">
          <cell r="D1461">
            <v>0</v>
          </cell>
        </row>
        <row r="1462">
          <cell r="D1462" t="str">
            <v>Cea Thermal Document</v>
          </cell>
        </row>
        <row r="1463">
          <cell r="D1463" t="str">
            <v>Metis Document</v>
          </cell>
        </row>
        <row r="1464">
          <cell r="D1464" t="str">
            <v>Metis Document</v>
          </cell>
        </row>
        <row r="1465">
          <cell r="D1465" t="str">
            <v>CEA Thermal Document &amp; Company's Website</v>
          </cell>
        </row>
        <row r="1466">
          <cell r="D1466" t="str">
            <v>Company's Website</v>
          </cell>
        </row>
        <row r="1467">
          <cell r="D1467" t="str">
            <v>Metis Document &amp; Company's Website</v>
          </cell>
        </row>
        <row r="1468">
          <cell r="D1468" t="str">
            <v>Metis Document</v>
          </cell>
        </row>
        <row r="1469">
          <cell r="D1469" t="str">
            <v>Metis Document</v>
          </cell>
        </row>
        <row r="1470">
          <cell r="D1470" t="str">
            <v>Metis Document</v>
          </cell>
        </row>
        <row r="1471">
          <cell r="D1471" t="str">
            <v>CEA Thermal Document</v>
          </cell>
        </row>
        <row r="1472">
          <cell r="D1472">
            <v>0</v>
          </cell>
        </row>
        <row r="1473">
          <cell r="D1473" t="str">
            <v>Company's Website</v>
          </cell>
        </row>
        <row r="1474">
          <cell r="D1474">
            <v>0</v>
          </cell>
        </row>
        <row r="1475">
          <cell r="D1475">
            <v>0</v>
          </cell>
        </row>
        <row r="1476">
          <cell r="D1476" t="str">
            <v>CEA Thermal Document</v>
          </cell>
        </row>
        <row r="1477">
          <cell r="D1477" t="str">
            <v>Company's Website</v>
          </cell>
        </row>
        <row r="1478">
          <cell r="D1478" t="str">
            <v>Company's Website</v>
          </cell>
        </row>
        <row r="1479">
          <cell r="D1479">
            <v>0</v>
          </cell>
        </row>
        <row r="1480">
          <cell r="D1480" t="str">
            <v>CEA Thermal Document</v>
          </cell>
        </row>
        <row r="1481">
          <cell r="D1481" t="str">
            <v>Company's Website</v>
          </cell>
        </row>
        <row r="1482">
          <cell r="D1482" t="str">
            <v>Metis Document</v>
          </cell>
        </row>
        <row r="1483">
          <cell r="D1483" t="str">
            <v>Metis Document</v>
          </cell>
        </row>
        <row r="1484">
          <cell r="D1484" t="str">
            <v>Metis Document</v>
          </cell>
        </row>
        <row r="1485">
          <cell r="D1485">
            <v>0</v>
          </cell>
        </row>
        <row r="1486">
          <cell r="D1486" t="str">
            <v>Metis Document &amp; Company's Website</v>
          </cell>
        </row>
        <row r="1487">
          <cell r="D1487">
            <v>0</v>
          </cell>
        </row>
        <row r="1488">
          <cell r="D1488" t="str">
            <v>CEA Thermal Document &amp; Company's Website</v>
          </cell>
        </row>
        <row r="1489">
          <cell r="D1489" t="str">
            <v>CEA Thermal Document</v>
          </cell>
        </row>
        <row r="1490">
          <cell r="D1490" t="str">
            <v>CEA Thermal Document</v>
          </cell>
        </row>
        <row r="1491">
          <cell r="D1491">
            <v>0</v>
          </cell>
        </row>
        <row r="1492">
          <cell r="D1492" t="str">
            <v>Metis Document</v>
          </cell>
        </row>
        <row r="1493">
          <cell r="D1493">
            <v>0</v>
          </cell>
        </row>
        <row r="1494">
          <cell r="D1494" t="str">
            <v>Metis Document</v>
          </cell>
        </row>
        <row r="1495">
          <cell r="D1495" t="str">
            <v>Metis Document</v>
          </cell>
        </row>
        <row r="1496">
          <cell r="D1496" t="str">
            <v>CEA Thermal Document &amp; Company's Website</v>
          </cell>
        </row>
        <row r="1497">
          <cell r="D1497" t="str">
            <v>Metis Document</v>
          </cell>
        </row>
        <row r="1498">
          <cell r="D1498" t="str">
            <v>Company's Website</v>
          </cell>
        </row>
        <row r="1499">
          <cell r="D1499" t="str">
            <v>CEA Thermal Document</v>
          </cell>
        </row>
        <row r="1500">
          <cell r="D1500">
            <v>0</v>
          </cell>
        </row>
        <row r="1501">
          <cell r="D1501" t="str">
            <v>Cea Thermal Document</v>
          </cell>
        </row>
        <row r="1502">
          <cell r="D1502" t="str">
            <v>Metis Document</v>
          </cell>
        </row>
        <row r="1503">
          <cell r="D1503" t="str">
            <v>Metis Document</v>
          </cell>
        </row>
        <row r="1504">
          <cell r="D1504">
            <v>0</v>
          </cell>
        </row>
        <row r="1505">
          <cell r="D1505" t="str">
            <v>Company's Website</v>
          </cell>
        </row>
        <row r="1506">
          <cell r="D1506" t="str">
            <v>Company's Website</v>
          </cell>
        </row>
        <row r="1507">
          <cell r="D1507" t="str">
            <v>Metis Document</v>
          </cell>
        </row>
        <row r="1508">
          <cell r="D1508">
            <v>0</v>
          </cell>
        </row>
        <row r="1509">
          <cell r="D1509" t="str">
            <v>CEA Thermal Document</v>
          </cell>
        </row>
        <row r="1510">
          <cell r="D1510">
            <v>0</v>
          </cell>
        </row>
        <row r="1511">
          <cell r="D1511" t="str">
            <v>Metis Document</v>
          </cell>
        </row>
        <row r="1512">
          <cell r="D1512" t="str">
            <v>CEA Thermal Document &amp; Company's Website</v>
          </cell>
        </row>
        <row r="1513">
          <cell r="D1513">
            <v>0</v>
          </cell>
        </row>
        <row r="1514">
          <cell r="D1514" t="str">
            <v>Metis Document</v>
          </cell>
        </row>
        <row r="1515">
          <cell r="D1515">
            <v>0</v>
          </cell>
        </row>
        <row r="1516">
          <cell r="D1516" t="str">
            <v>Company's Website</v>
          </cell>
        </row>
        <row r="1517">
          <cell r="D1517" t="str">
            <v>Company's Website</v>
          </cell>
        </row>
        <row r="1518">
          <cell r="D1518">
            <v>0</v>
          </cell>
        </row>
        <row r="1519">
          <cell r="D1519" t="str">
            <v>CEA Thermal Document</v>
          </cell>
        </row>
        <row r="1520">
          <cell r="D1520" t="str">
            <v>CEA Thermal Document</v>
          </cell>
        </row>
        <row r="1521">
          <cell r="D1521">
            <v>0</v>
          </cell>
        </row>
        <row r="1522">
          <cell r="D1522">
            <v>0</v>
          </cell>
        </row>
        <row r="1523">
          <cell r="D1523">
            <v>0</v>
          </cell>
        </row>
        <row r="1524">
          <cell r="D1524" t="str">
            <v>Company's Website</v>
          </cell>
        </row>
        <row r="1525">
          <cell r="D1525">
            <v>0</v>
          </cell>
        </row>
        <row r="1526">
          <cell r="D1526" t="str">
            <v>Metis Document</v>
          </cell>
        </row>
        <row r="1527">
          <cell r="D1527" t="str">
            <v>CEA Thermal Document</v>
          </cell>
        </row>
        <row r="1528">
          <cell r="D1528" t="str">
            <v>Metis Document</v>
          </cell>
        </row>
        <row r="1529">
          <cell r="D1529">
            <v>0</v>
          </cell>
        </row>
        <row r="1530">
          <cell r="D1530" t="str">
            <v>CEA Thermal Document &amp; Company's Website</v>
          </cell>
        </row>
        <row r="1531">
          <cell r="D1531" t="str">
            <v>Metis Document</v>
          </cell>
        </row>
        <row r="1532">
          <cell r="D1532">
            <v>0</v>
          </cell>
        </row>
        <row r="1533">
          <cell r="D1533" t="str">
            <v>Company's Website</v>
          </cell>
        </row>
        <row r="1534">
          <cell r="D1534">
            <v>0</v>
          </cell>
        </row>
        <row r="1535">
          <cell r="D1535" t="str">
            <v>Metis Document</v>
          </cell>
        </row>
        <row r="1536">
          <cell r="D1536">
            <v>0</v>
          </cell>
        </row>
        <row r="1537">
          <cell r="D1537" t="str">
            <v>Company's Website</v>
          </cell>
        </row>
        <row r="1538">
          <cell r="D1538" t="str">
            <v>Company's Website</v>
          </cell>
        </row>
        <row r="1539">
          <cell r="D1539" t="str">
            <v>CEA Thermal Document</v>
          </cell>
        </row>
        <row r="1540">
          <cell r="D1540">
            <v>0</v>
          </cell>
        </row>
        <row r="1541">
          <cell r="D1541" t="str">
            <v>CEA Thermal Document</v>
          </cell>
        </row>
        <row r="1542">
          <cell r="D1542" t="str">
            <v>Company's Website</v>
          </cell>
        </row>
        <row r="1543">
          <cell r="D1543" t="str">
            <v>Metis Document</v>
          </cell>
        </row>
        <row r="1544">
          <cell r="D1544" t="str">
            <v>Company's Website</v>
          </cell>
        </row>
        <row r="1545">
          <cell r="D1545">
            <v>0</v>
          </cell>
        </row>
        <row r="1546">
          <cell r="D1546" t="str">
            <v>Metis Document</v>
          </cell>
        </row>
        <row r="1547">
          <cell r="D1547" t="str">
            <v>PowerGrid Meeting</v>
          </cell>
        </row>
        <row r="1548">
          <cell r="D1548" t="str">
            <v>Metis Document</v>
          </cell>
        </row>
        <row r="1549">
          <cell r="D1549" t="str">
            <v>Metis Document</v>
          </cell>
        </row>
        <row r="1550">
          <cell r="D1550">
            <v>0</v>
          </cell>
        </row>
        <row r="1551">
          <cell r="D1551" t="str">
            <v>Metis Document</v>
          </cell>
        </row>
        <row r="1552">
          <cell r="D1552" t="str">
            <v>Metis Document</v>
          </cell>
        </row>
        <row r="1553">
          <cell r="D1553">
            <v>0</v>
          </cell>
        </row>
        <row r="1554">
          <cell r="D1554">
            <v>0</v>
          </cell>
        </row>
        <row r="1555">
          <cell r="D1555" t="str">
            <v>Company's Website</v>
          </cell>
        </row>
        <row r="1556">
          <cell r="D1556" t="str">
            <v>Metis Document</v>
          </cell>
        </row>
        <row r="1557">
          <cell r="D1557" t="str">
            <v>CEA Thermal Document</v>
          </cell>
        </row>
        <row r="1558">
          <cell r="D1558" t="str">
            <v>Company's Website</v>
          </cell>
        </row>
        <row r="1559">
          <cell r="D1559">
            <v>0</v>
          </cell>
        </row>
        <row r="1560">
          <cell r="D1560" t="str">
            <v>PowerGrid Meeting</v>
          </cell>
        </row>
        <row r="1561">
          <cell r="D1561" t="str">
            <v>Company's Website</v>
          </cell>
        </row>
        <row r="1562">
          <cell r="D1562">
            <v>0</v>
          </cell>
        </row>
        <row r="1563">
          <cell r="D1563">
            <v>0</v>
          </cell>
        </row>
        <row r="1564">
          <cell r="D1564">
            <v>0</v>
          </cell>
        </row>
        <row r="1565">
          <cell r="D1565" t="str">
            <v>Company's Website</v>
          </cell>
        </row>
        <row r="1566">
          <cell r="D1566" t="str">
            <v>Company's Website</v>
          </cell>
        </row>
        <row r="1567">
          <cell r="D1567" t="str">
            <v>CEA Thermal Document</v>
          </cell>
        </row>
        <row r="1568">
          <cell r="D1568" t="str">
            <v>CEA Thermal Document</v>
          </cell>
        </row>
        <row r="1569">
          <cell r="D1569">
            <v>0</v>
          </cell>
        </row>
        <row r="1570">
          <cell r="D1570" t="str">
            <v>Metis Document</v>
          </cell>
        </row>
        <row r="1571">
          <cell r="D1571" t="str">
            <v>Metis Document</v>
          </cell>
        </row>
        <row r="1572">
          <cell r="D1572" t="str">
            <v>Company's Website</v>
          </cell>
        </row>
        <row r="1573">
          <cell r="D1573" t="str">
            <v>Metis Document</v>
          </cell>
        </row>
        <row r="1574">
          <cell r="D1574">
            <v>0</v>
          </cell>
        </row>
        <row r="1575">
          <cell r="D1575" t="str">
            <v>CEA Thermal Document</v>
          </cell>
        </row>
        <row r="1576">
          <cell r="D1576">
            <v>0</v>
          </cell>
        </row>
        <row r="1577">
          <cell r="D1577">
            <v>0</v>
          </cell>
        </row>
        <row r="1578">
          <cell r="D1578" t="str">
            <v>Company's Website</v>
          </cell>
        </row>
        <row r="1579">
          <cell r="D1579">
            <v>0</v>
          </cell>
        </row>
        <row r="1580">
          <cell r="D1580" t="str">
            <v>Company's Website</v>
          </cell>
        </row>
        <row r="1581">
          <cell r="D1581">
            <v>0</v>
          </cell>
        </row>
        <row r="1582">
          <cell r="D1582" t="str">
            <v>Company's Website</v>
          </cell>
        </row>
        <row r="1583">
          <cell r="D1583" t="str">
            <v>Company's Website</v>
          </cell>
        </row>
        <row r="1584">
          <cell r="D1584" t="str">
            <v>Company's Website</v>
          </cell>
        </row>
        <row r="1585">
          <cell r="D1585" t="str">
            <v>Company's Website</v>
          </cell>
        </row>
        <row r="1586">
          <cell r="D1586">
            <v>0</v>
          </cell>
        </row>
        <row r="1587">
          <cell r="D1587" t="str">
            <v>PowerGrid Meeting</v>
          </cell>
        </row>
        <row r="1588">
          <cell r="D1588">
            <v>0</v>
          </cell>
        </row>
        <row r="1589">
          <cell r="D1589" t="str">
            <v>Metis Document</v>
          </cell>
        </row>
        <row r="1590">
          <cell r="D1590" t="str">
            <v>Metis Document</v>
          </cell>
        </row>
        <row r="1591">
          <cell r="D1591" t="str">
            <v>CEA Thermal Document</v>
          </cell>
        </row>
        <row r="1592">
          <cell r="D1592">
            <v>0</v>
          </cell>
        </row>
        <row r="1593">
          <cell r="D1593" t="str">
            <v>PowerGrid Meeting</v>
          </cell>
        </row>
        <row r="1594">
          <cell r="D1594" t="str">
            <v>Metis Document</v>
          </cell>
        </row>
        <row r="1595">
          <cell r="D1595" t="str">
            <v>Company's Website</v>
          </cell>
        </row>
        <row r="1596">
          <cell r="D1596" t="str">
            <v>Metis Document</v>
          </cell>
        </row>
        <row r="1597">
          <cell r="D1597" t="str">
            <v>Metis Document</v>
          </cell>
        </row>
        <row r="1598">
          <cell r="D1598">
            <v>0</v>
          </cell>
        </row>
        <row r="1599">
          <cell r="D1599" t="str">
            <v>Company's Website</v>
          </cell>
        </row>
        <row r="1600">
          <cell r="D1600" t="str">
            <v>Company's Website</v>
          </cell>
        </row>
        <row r="1601">
          <cell r="D1601">
            <v>0</v>
          </cell>
        </row>
        <row r="1602">
          <cell r="D1602" t="str">
            <v>PowerGrid Meeting</v>
          </cell>
        </row>
        <row r="1603">
          <cell r="D1603">
            <v>0</v>
          </cell>
        </row>
        <row r="1604">
          <cell r="D1604">
            <v>0</v>
          </cell>
        </row>
        <row r="1605">
          <cell r="D1605" t="str">
            <v>Company's Website</v>
          </cell>
        </row>
        <row r="1606">
          <cell r="D1606" t="str">
            <v>Company's Website</v>
          </cell>
        </row>
        <row r="1607">
          <cell r="D1607">
            <v>0</v>
          </cell>
        </row>
        <row r="1608">
          <cell r="D1608">
            <v>0</v>
          </cell>
        </row>
        <row r="1609">
          <cell r="D1609" t="str">
            <v>Metis Document</v>
          </cell>
        </row>
        <row r="1610">
          <cell r="D1610" t="str">
            <v>Metis Document</v>
          </cell>
        </row>
        <row r="1611">
          <cell r="D1611" t="str">
            <v>Metis Document</v>
          </cell>
        </row>
        <row r="1612">
          <cell r="D1612" t="str">
            <v>Company's Website</v>
          </cell>
        </row>
        <row r="1613">
          <cell r="D1613" t="str">
            <v>Company's Website</v>
          </cell>
        </row>
        <row r="1614">
          <cell r="D1614">
            <v>0</v>
          </cell>
        </row>
        <row r="1615">
          <cell r="D1615">
            <v>0</v>
          </cell>
        </row>
        <row r="1616">
          <cell r="D1616" t="str">
            <v>Company's Website</v>
          </cell>
        </row>
        <row r="1617">
          <cell r="D1617">
            <v>0</v>
          </cell>
        </row>
        <row r="1618">
          <cell r="D1618">
            <v>0</v>
          </cell>
        </row>
        <row r="1619">
          <cell r="D1619">
            <v>0</v>
          </cell>
        </row>
        <row r="1620">
          <cell r="D1620">
            <v>0</v>
          </cell>
        </row>
        <row r="1621">
          <cell r="D1621">
            <v>0</v>
          </cell>
        </row>
        <row r="1622">
          <cell r="D1622" t="str">
            <v>Company's Website</v>
          </cell>
        </row>
        <row r="1623">
          <cell r="D1623">
            <v>0</v>
          </cell>
        </row>
        <row r="1624">
          <cell r="D1624">
            <v>0</v>
          </cell>
        </row>
        <row r="1625">
          <cell r="D1625" t="str">
            <v>Metis Document</v>
          </cell>
        </row>
        <row r="1626">
          <cell r="D1626" t="str">
            <v>Metis Document</v>
          </cell>
        </row>
        <row r="1627">
          <cell r="D1627" t="str">
            <v>CEA Thermal Document</v>
          </cell>
        </row>
        <row r="1628">
          <cell r="D1628" t="str">
            <v>PowerGrid Meeting</v>
          </cell>
        </row>
        <row r="1629">
          <cell r="D1629" t="str">
            <v>Company's Website</v>
          </cell>
        </row>
        <row r="1630">
          <cell r="D1630">
            <v>0</v>
          </cell>
        </row>
        <row r="1631">
          <cell r="D1631">
            <v>0</v>
          </cell>
        </row>
        <row r="1632">
          <cell r="D1632" t="str">
            <v>Company's Website</v>
          </cell>
        </row>
        <row r="1633">
          <cell r="D1633" t="str">
            <v>Company's Website</v>
          </cell>
        </row>
        <row r="1634">
          <cell r="D1634" t="str">
            <v>CEA Thermal Document</v>
          </cell>
        </row>
        <row r="1635">
          <cell r="D1635">
            <v>0</v>
          </cell>
        </row>
        <row r="1636">
          <cell r="D1636" t="str">
            <v>Company's Website</v>
          </cell>
        </row>
        <row r="1637">
          <cell r="D1637">
            <v>0</v>
          </cell>
        </row>
        <row r="1638">
          <cell r="D1638">
            <v>0</v>
          </cell>
        </row>
        <row r="1639">
          <cell r="D1639">
            <v>0</v>
          </cell>
        </row>
        <row r="1640">
          <cell r="D1640">
            <v>0</v>
          </cell>
        </row>
        <row r="1641">
          <cell r="D1641" t="str">
            <v>CEA Thermal Document</v>
          </cell>
        </row>
        <row r="1642">
          <cell r="D1642">
            <v>0</v>
          </cell>
        </row>
        <row r="1643">
          <cell r="D1643" t="str">
            <v>Company's Website</v>
          </cell>
        </row>
        <row r="1644">
          <cell r="D1644">
            <v>0</v>
          </cell>
        </row>
        <row r="1645">
          <cell r="D1645" t="str">
            <v>CEA Thermal Document</v>
          </cell>
        </row>
        <row r="1646">
          <cell r="D1646">
            <v>0</v>
          </cell>
        </row>
        <row r="1647">
          <cell r="D1647">
            <v>0</v>
          </cell>
        </row>
        <row r="1648">
          <cell r="D1648">
            <v>0</v>
          </cell>
        </row>
        <row r="1649">
          <cell r="D1649" t="str">
            <v>CEA Thermal Document</v>
          </cell>
        </row>
        <row r="1650">
          <cell r="D1650">
            <v>0</v>
          </cell>
        </row>
        <row r="1651">
          <cell r="D1651">
            <v>0</v>
          </cell>
        </row>
        <row r="1652">
          <cell r="D1652" t="str">
            <v>Company's Website</v>
          </cell>
        </row>
        <row r="1653">
          <cell r="D1653">
            <v>0</v>
          </cell>
        </row>
        <row r="1654">
          <cell r="D1654">
            <v>0</v>
          </cell>
        </row>
        <row r="1655">
          <cell r="D1655" t="str">
            <v>Company's Website</v>
          </cell>
        </row>
        <row r="1656">
          <cell r="D1656">
            <v>0</v>
          </cell>
        </row>
        <row r="1657">
          <cell r="D1657">
            <v>0</v>
          </cell>
        </row>
        <row r="1658">
          <cell r="D1658" t="str">
            <v>Company's Website</v>
          </cell>
        </row>
        <row r="1659">
          <cell r="D1659" t="str">
            <v>Company's Website</v>
          </cell>
        </row>
        <row r="1660">
          <cell r="D1660">
            <v>0</v>
          </cell>
        </row>
        <row r="1661">
          <cell r="D1661">
            <v>0</v>
          </cell>
        </row>
        <row r="1662">
          <cell r="D1662" t="str">
            <v>Company's Website</v>
          </cell>
        </row>
        <row r="1663">
          <cell r="D1663">
            <v>0</v>
          </cell>
        </row>
        <row r="1664">
          <cell r="D1664" t="str">
            <v>Metis Document</v>
          </cell>
        </row>
        <row r="1665">
          <cell r="D1665">
            <v>0</v>
          </cell>
        </row>
        <row r="1666">
          <cell r="D1666">
            <v>0</v>
          </cell>
        </row>
        <row r="1667">
          <cell r="D1667">
            <v>0</v>
          </cell>
        </row>
        <row r="1668">
          <cell r="D1668">
            <v>0</v>
          </cell>
        </row>
        <row r="1669">
          <cell r="D1669">
            <v>0</v>
          </cell>
        </row>
        <row r="1670">
          <cell r="D1670">
            <v>0</v>
          </cell>
        </row>
        <row r="1671">
          <cell r="D1671" t="str">
            <v>CEA Thermal Document</v>
          </cell>
        </row>
        <row r="1672">
          <cell r="D1672">
            <v>0</v>
          </cell>
        </row>
        <row r="1673">
          <cell r="D1673">
            <v>0</v>
          </cell>
        </row>
        <row r="1674">
          <cell r="D1674">
            <v>0</v>
          </cell>
        </row>
        <row r="1675">
          <cell r="D1675">
            <v>0</v>
          </cell>
        </row>
        <row r="1676">
          <cell r="D1676">
            <v>0</v>
          </cell>
        </row>
        <row r="1677">
          <cell r="D1677">
            <v>0</v>
          </cell>
        </row>
        <row r="1678">
          <cell r="D1678" t="str">
            <v>PowerGrid Meeting</v>
          </cell>
        </row>
        <row r="1679">
          <cell r="D1679" t="str">
            <v>CEA Thermal Document</v>
          </cell>
        </row>
        <row r="1680">
          <cell r="D1680">
            <v>0</v>
          </cell>
        </row>
        <row r="1681">
          <cell r="D1681">
            <v>0</v>
          </cell>
        </row>
        <row r="1682">
          <cell r="D1682">
            <v>0</v>
          </cell>
        </row>
        <row r="1683">
          <cell r="D1683">
            <v>0</v>
          </cell>
        </row>
        <row r="1684">
          <cell r="D1684" t="str">
            <v>Company's Website</v>
          </cell>
        </row>
        <row r="1685">
          <cell r="D1685">
            <v>0</v>
          </cell>
        </row>
        <row r="1686">
          <cell r="D1686">
            <v>0</v>
          </cell>
        </row>
        <row r="1687">
          <cell r="D1687">
            <v>0</v>
          </cell>
        </row>
        <row r="1688">
          <cell r="D1688" t="str">
            <v>Company's Website</v>
          </cell>
        </row>
        <row r="1689">
          <cell r="D1689">
            <v>0</v>
          </cell>
        </row>
        <row r="1690">
          <cell r="D1690">
            <v>0</v>
          </cell>
        </row>
        <row r="1691">
          <cell r="D1691" t="str">
            <v>Company's Website</v>
          </cell>
        </row>
        <row r="1692">
          <cell r="D1692">
            <v>0</v>
          </cell>
        </row>
        <row r="1693">
          <cell r="D1693">
            <v>0</v>
          </cell>
        </row>
        <row r="1694">
          <cell r="D1694">
            <v>0</v>
          </cell>
        </row>
        <row r="1695">
          <cell r="D1695" t="str">
            <v>Company's Website</v>
          </cell>
        </row>
        <row r="1696">
          <cell r="D1696">
            <v>0</v>
          </cell>
        </row>
        <row r="1697">
          <cell r="D1697">
            <v>0</v>
          </cell>
        </row>
        <row r="1698">
          <cell r="D1698" t="str">
            <v>Company's Website</v>
          </cell>
        </row>
        <row r="1699">
          <cell r="D1699" t="str">
            <v>PowerGrid Meeting</v>
          </cell>
        </row>
        <row r="1700">
          <cell r="D1700" t="str">
            <v>PowerGrid Meeting</v>
          </cell>
        </row>
        <row r="1701">
          <cell r="D1701" t="str">
            <v>PowerGrid Meeting</v>
          </cell>
        </row>
        <row r="1702">
          <cell r="D1702">
            <v>0</v>
          </cell>
        </row>
        <row r="1703">
          <cell r="D1703">
            <v>0</v>
          </cell>
        </row>
        <row r="1704">
          <cell r="D1704">
            <v>0</v>
          </cell>
        </row>
        <row r="1705">
          <cell r="D1705">
            <v>0</v>
          </cell>
        </row>
        <row r="1706">
          <cell r="D1706">
            <v>0</v>
          </cell>
        </row>
        <row r="1707">
          <cell r="D1707">
            <v>0</v>
          </cell>
        </row>
        <row r="1708">
          <cell r="D1708">
            <v>0</v>
          </cell>
        </row>
        <row r="1709">
          <cell r="D1709" t="str">
            <v>Company's Website</v>
          </cell>
        </row>
        <row r="1710">
          <cell r="D1710" t="str">
            <v>Company's Website</v>
          </cell>
        </row>
        <row r="1711">
          <cell r="D1711">
            <v>0</v>
          </cell>
        </row>
        <row r="1712">
          <cell r="D1712">
            <v>0</v>
          </cell>
        </row>
        <row r="1713">
          <cell r="D1713" t="str">
            <v>Company's Website</v>
          </cell>
        </row>
        <row r="1714">
          <cell r="D1714">
            <v>0</v>
          </cell>
        </row>
        <row r="1715">
          <cell r="D1715" t="str">
            <v>Company's Website</v>
          </cell>
        </row>
        <row r="1716">
          <cell r="D1716" t="str">
            <v>PowerGrid Meeting</v>
          </cell>
        </row>
        <row r="1717">
          <cell r="D1717" t="str">
            <v>PowerGrid Meeting</v>
          </cell>
        </row>
        <row r="1718">
          <cell r="D1718">
            <v>0</v>
          </cell>
        </row>
        <row r="1719">
          <cell r="D1719">
            <v>0</v>
          </cell>
        </row>
        <row r="1720">
          <cell r="D1720">
            <v>0</v>
          </cell>
        </row>
        <row r="1721">
          <cell r="D1721" t="str">
            <v>CEA Thermal Document</v>
          </cell>
        </row>
        <row r="1722">
          <cell r="D1722">
            <v>0</v>
          </cell>
        </row>
        <row r="1723">
          <cell r="D1723">
            <v>0</v>
          </cell>
        </row>
        <row r="1724">
          <cell r="D1724">
            <v>0</v>
          </cell>
        </row>
        <row r="1725">
          <cell r="D1725">
            <v>0</v>
          </cell>
        </row>
        <row r="1726">
          <cell r="D1726" t="str">
            <v>Company's Website</v>
          </cell>
        </row>
        <row r="1727">
          <cell r="D1727">
            <v>0</v>
          </cell>
        </row>
        <row r="1728">
          <cell r="D1728">
            <v>0</v>
          </cell>
        </row>
        <row r="1729">
          <cell r="D1729" t="str">
            <v>Company's Website</v>
          </cell>
        </row>
        <row r="1730">
          <cell r="D1730">
            <v>0</v>
          </cell>
        </row>
        <row r="1731">
          <cell r="D1731">
            <v>0</v>
          </cell>
        </row>
        <row r="1732">
          <cell r="D1732">
            <v>0</v>
          </cell>
        </row>
        <row r="1733">
          <cell r="D1733">
            <v>0</v>
          </cell>
        </row>
        <row r="1734">
          <cell r="D1734" t="str">
            <v>Company's Website</v>
          </cell>
        </row>
        <row r="1735">
          <cell r="D1735">
            <v>0</v>
          </cell>
        </row>
        <row r="1736">
          <cell r="D1736">
            <v>0</v>
          </cell>
        </row>
        <row r="1737">
          <cell r="D1737">
            <v>0</v>
          </cell>
        </row>
        <row r="1738">
          <cell r="D1738" t="str">
            <v>PowerGrid Meeting</v>
          </cell>
        </row>
        <row r="1739">
          <cell r="D1739">
            <v>0</v>
          </cell>
        </row>
        <row r="1740">
          <cell r="D1740">
            <v>0</v>
          </cell>
        </row>
        <row r="1741">
          <cell r="D1741" t="str">
            <v>PowerGrid Meeting</v>
          </cell>
        </row>
        <row r="1742">
          <cell r="D1742" t="str">
            <v>Company's Website</v>
          </cell>
        </row>
        <row r="1743">
          <cell r="D1743" t="str">
            <v>Company's Website</v>
          </cell>
        </row>
        <row r="1744">
          <cell r="D1744" t="str">
            <v>Company's Website</v>
          </cell>
        </row>
        <row r="1745">
          <cell r="D1745" t="str">
            <v>Company's Website</v>
          </cell>
        </row>
        <row r="1746">
          <cell r="D1746">
            <v>0</v>
          </cell>
        </row>
        <row r="1747">
          <cell r="D1747" t="str">
            <v>CEA Thermal Document</v>
          </cell>
        </row>
        <row r="1748">
          <cell r="D1748" t="str">
            <v>Company's Website</v>
          </cell>
        </row>
        <row r="1749">
          <cell r="D1749">
            <v>0</v>
          </cell>
        </row>
        <row r="1750">
          <cell r="D1750">
            <v>0</v>
          </cell>
        </row>
        <row r="1751">
          <cell r="D1751" t="str">
            <v>Company's Website</v>
          </cell>
        </row>
        <row r="1752">
          <cell r="D1752">
            <v>0</v>
          </cell>
        </row>
        <row r="1753">
          <cell r="D1753">
            <v>0</v>
          </cell>
        </row>
        <row r="1754">
          <cell r="D1754">
            <v>0</v>
          </cell>
        </row>
        <row r="1755">
          <cell r="D1755">
            <v>0</v>
          </cell>
        </row>
        <row r="1756">
          <cell r="D1756" t="str">
            <v>Company's Website</v>
          </cell>
        </row>
        <row r="1757">
          <cell r="D1757" t="str">
            <v>Company's Website</v>
          </cell>
        </row>
        <row r="1758">
          <cell r="D1758" t="str">
            <v>CEA Thermal Document</v>
          </cell>
        </row>
        <row r="1759">
          <cell r="D1759" t="str">
            <v>Company's Website</v>
          </cell>
        </row>
        <row r="1760">
          <cell r="D1760">
            <v>0</v>
          </cell>
        </row>
        <row r="1761">
          <cell r="D1761">
            <v>0</v>
          </cell>
        </row>
        <row r="1762">
          <cell r="D1762">
            <v>0</v>
          </cell>
        </row>
        <row r="1763">
          <cell r="D1763" t="str">
            <v>Company's Website</v>
          </cell>
        </row>
        <row r="1764">
          <cell r="D1764">
            <v>0</v>
          </cell>
        </row>
        <row r="1765">
          <cell r="D1765" t="str">
            <v>PowerGrid Meeting</v>
          </cell>
        </row>
        <row r="1766">
          <cell r="D1766" t="str">
            <v>Company's Website</v>
          </cell>
        </row>
        <row r="1767">
          <cell r="D1767" t="str">
            <v>Company's Website</v>
          </cell>
        </row>
        <row r="1768">
          <cell r="D1768" t="str">
            <v>Company's Website</v>
          </cell>
        </row>
        <row r="1769">
          <cell r="D1769" t="str">
            <v>Company's Website</v>
          </cell>
        </row>
        <row r="1770">
          <cell r="D1770">
            <v>0</v>
          </cell>
        </row>
        <row r="1771">
          <cell r="D1771">
            <v>0</v>
          </cell>
        </row>
        <row r="1772">
          <cell r="D1772">
            <v>0</v>
          </cell>
        </row>
        <row r="1773">
          <cell r="D1773" t="str">
            <v>PowerGrid Meeting</v>
          </cell>
        </row>
        <row r="1774">
          <cell r="D1774" t="str">
            <v>Metis Document</v>
          </cell>
        </row>
        <row r="1775">
          <cell r="D1775">
            <v>0</v>
          </cell>
        </row>
        <row r="1776">
          <cell r="D1776" t="str">
            <v>PowerGrid Meeting</v>
          </cell>
        </row>
        <row r="1777">
          <cell r="D1777" t="str">
            <v>Company's Website</v>
          </cell>
        </row>
        <row r="1778">
          <cell r="D1778" t="str">
            <v>Company's Website</v>
          </cell>
        </row>
        <row r="1779">
          <cell r="D1779" t="str">
            <v>Company's Website</v>
          </cell>
        </row>
        <row r="1780">
          <cell r="D1780" t="str">
            <v>Company's Website</v>
          </cell>
        </row>
        <row r="1781">
          <cell r="D1781" t="str">
            <v>PowerGrid Meeting</v>
          </cell>
        </row>
        <row r="1782">
          <cell r="D1782" t="str">
            <v>Company's Website</v>
          </cell>
        </row>
        <row r="1783">
          <cell r="D1783">
            <v>0</v>
          </cell>
        </row>
        <row r="1784">
          <cell r="D1784">
            <v>0</v>
          </cell>
        </row>
        <row r="1785">
          <cell r="D1785" t="str">
            <v>Company's Website</v>
          </cell>
        </row>
        <row r="1786">
          <cell r="D1786" t="str">
            <v>PowerGrid Meeting</v>
          </cell>
        </row>
        <row r="1787">
          <cell r="D1787">
            <v>0</v>
          </cell>
        </row>
        <row r="1788">
          <cell r="D1788" t="str">
            <v>PowerGrid Meeting</v>
          </cell>
        </row>
        <row r="1789">
          <cell r="D1789" t="str">
            <v>PowerGrid Meeting</v>
          </cell>
        </row>
        <row r="1790">
          <cell r="D1790" t="str">
            <v>PowerGrid Meeting</v>
          </cell>
        </row>
        <row r="1791">
          <cell r="D1791" t="str">
            <v>PowerGrid Meeting</v>
          </cell>
        </row>
        <row r="1792">
          <cell r="D1792" t="str">
            <v>PowerGrid Meeting</v>
          </cell>
        </row>
        <row r="1793">
          <cell r="D1793" t="str">
            <v>PowerGrid Meeting</v>
          </cell>
        </row>
        <row r="1794">
          <cell r="D1794" t="str">
            <v>PowerGrid Meeting</v>
          </cell>
        </row>
        <row r="1795">
          <cell r="D1795" t="str">
            <v>PowerGrid Meeting</v>
          </cell>
        </row>
        <row r="1796">
          <cell r="D1796" t="str">
            <v>PowerGrid Meeting</v>
          </cell>
        </row>
        <row r="1797">
          <cell r="D1797">
            <v>0</v>
          </cell>
        </row>
        <row r="1798">
          <cell r="D1798" t="str">
            <v>PowerGrid Meeting</v>
          </cell>
        </row>
        <row r="1799">
          <cell r="D1799" t="str">
            <v>PowerGrid Meeting</v>
          </cell>
        </row>
        <row r="1800">
          <cell r="D1800" t="str">
            <v>PowerGrid Meeting</v>
          </cell>
        </row>
        <row r="1801">
          <cell r="D1801" t="str">
            <v>PowerGrid Meeting</v>
          </cell>
        </row>
        <row r="1802">
          <cell r="D1802">
            <v>0</v>
          </cell>
        </row>
        <row r="1803">
          <cell r="D1803" t="str">
            <v>Company's Website</v>
          </cell>
        </row>
        <row r="1804">
          <cell r="D1804" t="str">
            <v>Company's Website</v>
          </cell>
        </row>
        <row r="1805">
          <cell r="D1805">
            <v>0</v>
          </cell>
        </row>
        <row r="1806">
          <cell r="D1806" t="str">
            <v>Company's Website</v>
          </cell>
        </row>
        <row r="1807">
          <cell r="D1807">
            <v>0</v>
          </cell>
        </row>
        <row r="1808">
          <cell r="D1808">
            <v>0</v>
          </cell>
        </row>
        <row r="1809">
          <cell r="D1809" t="str">
            <v>Company's Website</v>
          </cell>
        </row>
        <row r="1810">
          <cell r="D1810">
            <v>0</v>
          </cell>
        </row>
        <row r="1811">
          <cell r="D1811">
            <v>0</v>
          </cell>
        </row>
        <row r="1812">
          <cell r="D1812" t="str">
            <v>Company's Website</v>
          </cell>
        </row>
        <row r="1813">
          <cell r="D1813" t="str">
            <v>Company's Website</v>
          </cell>
        </row>
        <row r="1814">
          <cell r="D1814" t="str">
            <v>PowerGrid Meeting</v>
          </cell>
        </row>
        <row r="1815">
          <cell r="D1815" t="str">
            <v>PowerGrid Meeting</v>
          </cell>
        </row>
        <row r="1816">
          <cell r="D1816" t="str">
            <v>Company's Website</v>
          </cell>
        </row>
        <row r="1817">
          <cell r="D1817" t="str">
            <v>Company's Website</v>
          </cell>
        </row>
        <row r="1818">
          <cell r="D1818" t="str">
            <v>PowerGrid Meeting</v>
          </cell>
        </row>
        <row r="1819">
          <cell r="D1819" t="str">
            <v>Company's Website</v>
          </cell>
        </row>
        <row r="1820">
          <cell r="D1820" t="str">
            <v>MOP Gas Document</v>
          </cell>
        </row>
        <row r="1821">
          <cell r="D1821">
            <v>0</v>
          </cell>
        </row>
        <row r="1822">
          <cell r="D1822">
            <v>0</v>
          </cell>
        </row>
        <row r="1823">
          <cell r="D1823" t="str">
            <v>PowerGrid Meeting</v>
          </cell>
        </row>
        <row r="1824">
          <cell r="D1824" t="str">
            <v>Company's Website</v>
          </cell>
        </row>
        <row r="1825">
          <cell r="D1825" t="str">
            <v>PowerGrid Meeting</v>
          </cell>
        </row>
        <row r="1826">
          <cell r="D1826" t="str">
            <v>Company's Website</v>
          </cell>
        </row>
        <row r="1827">
          <cell r="D1827">
            <v>0</v>
          </cell>
        </row>
        <row r="1828">
          <cell r="D1828">
            <v>0</v>
          </cell>
        </row>
        <row r="1829">
          <cell r="D1829">
            <v>0</v>
          </cell>
        </row>
        <row r="1830">
          <cell r="D1830" t="str">
            <v>MOP Gas Document</v>
          </cell>
        </row>
        <row r="1831">
          <cell r="D1831">
            <v>0</v>
          </cell>
        </row>
        <row r="1832">
          <cell r="D1832">
            <v>0</v>
          </cell>
        </row>
        <row r="1833">
          <cell r="D1833" t="str">
            <v>Company's Website</v>
          </cell>
        </row>
        <row r="1834">
          <cell r="D1834">
            <v>0</v>
          </cell>
        </row>
        <row r="1835">
          <cell r="D1835">
            <v>0</v>
          </cell>
        </row>
        <row r="1836">
          <cell r="D1836">
            <v>0</v>
          </cell>
        </row>
        <row r="1837">
          <cell r="D1837">
            <v>0</v>
          </cell>
        </row>
        <row r="1838">
          <cell r="D1838" t="str">
            <v>Company's Website</v>
          </cell>
        </row>
        <row r="1839">
          <cell r="D1839" t="str">
            <v>Company's Website</v>
          </cell>
        </row>
        <row r="1840">
          <cell r="D1840" t="str">
            <v>Company's Website</v>
          </cell>
        </row>
        <row r="1841">
          <cell r="D1841">
            <v>0</v>
          </cell>
        </row>
        <row r="1842">
          <cell r="D1842">
            <v>0</v>
          </cell>
        </row>
        <row r="1843">
          <cell r="D1843">
            <v>0</v>
          </cell>
        </row>
        <row r="1844">
          <cell r="D1844" t="str">
            <v>Company's Website</v>
          </cell>
        </row>
        <row r="1845">
          <cell r="D1845">
            <v>0</v>
          </cell>
        </row>
        <row r="1846">
          <cell r="D1846" t="str">
            <v>MOP Gas Document</v>
          </cell>
        </row>
        <row r="1847">
          <cell r="D1847" t="str">
            <v>Company's Website</v>
          </cell>
        </row>
        <row r="1848">
          <cell r="D1848" t="str">
            <v>PowerGrid Meeting</v>
          </cell>
        </row>
        <row r="1849">
          <cell r="D1849" t="str">
            <v>MOP Gas Document</v>
          </cell>
        </row>
        <row r="1850">
          <cell r="D1850" t="str">
            <v>Company's Website</v>
          </cell>
        </row>
        <row r="1851">
          <cell r="D1851">
            <v>0</v>
          </cell>
        </row>
        <row r="1852">
          <cell r="D1852" t="str">
            <v>CEA Thermal Document</v>
          </cell>
        </row>
        <row r="1853">
          <cell r="D1853" t="str">
            <v>Company's Website</v>
          </cell>
        </row>
        <row r="1854">
          <cell r="D1854" t="str">
            <v>Company's Website</v>
          </cell>
        </row>
        <row r="1855">
          <cell r="D1855" t="str">
            <v>Company's Website</v>
          </cell>
        </row>
        <row r="1856">
          <cell r="D1856">
            <v>0</v>
          </cell>
        </row>
        <row r="1857">
          <cell r="D1857">
            <v>0</v>
          </cell>
        </row>
        <row r="1858">
          <cell r="D1858">
            <v>0</v>
          </cell>
        </row>
        <row r="1859">
          <cell r="D1859">
            <v>0</v>
          </cell>
        </row>
        <row r="1860">
          <cell r="D1860">
            <v>0</v>
          </cell>
        </row>
        <row r="1861">
          <cell r="D1861">
            <v>0</v>
          </cell>
        </row>
        <row r="1862">
          <cell r="D1862">
            <v>0</v>
          </cell>
        </row>
        <row r="1863">
          <cell r="D1863">
            <v>0</v>
          </cell>
        </row>
        <row r="1864">
          <cell r="D1864">
            <v>0</v>
          </cell>
        </row>
        <row r="1865">
          <cell r="D1865">
            <v>0</v>
          </cell>
        </row>
        <row r="1866">
          <cell r="D1866" t="str">
            <v>Company's Website</v>
          </cell>
        </row>
        <row r="1867">
          <cell r="D1867" t="str">
            <v>Company's Website</v>
          </cell>
        </row>
        <row r="1868">
          <cell r="D1868" t="str">
            <v>Company's Website</v>
          </cell>
        </row>
        <row r="1869">
          <cell r="D1869">
            <v>0</v>
          </cell>
        </row>
        <row r="1870">
          <cell r="D1870">
            <v>0</v>
          </cell>
        </row>
        <row r="1871">
          <cell r="D1871">
            <v>0</v>
          </cell>
        </row>
        <row r="1872">
          <cell r="D1872">
            <v>0</v>
          </cell>
        </row>
        <row r="1873">
          <cell r="D1873">
            <v>0</v>
          </cell>
        </row>
        <row r="1874">
          <cell r="D1874">
            <v>0</v>
          </cell>
        </row>
        <row r="1875">
          <cell r="D1875">
            <v>0</v>
          </cell>
        </row>
        <row r="1876">
          <cell r="D1876">
            <v>0</v>
          </cell>
        </row>
        <row r="1877">
          <cell r="D1877">
            <v>0</v>
          </cell>
        </row>
        <row r="1878">
          <cell r="D1878">
            <v>0</v>
          </cell>
        </row>
        <row r="1879">
          <cell r="D1879">
            <v>0</v>
          </cell>
        </row>
        <row r="1880">
          <cell r="D1880">
            <v>0</v>
          </cell>
        </row>
        <row r="1881">
          <cell r="D1881">
            <v>0</v>
          </cell>
        </row>
        <row r="1882">
          <cell r="D1882" t="str">
            <v>Company's Website</v>
          </cell>
        </row>
        <row r="1883">
          <cell r="D1883" t="str">
            <v>Company's Website</v>
          </cell>
        </row>
        <row r="1884">
          <cell r="D1884" t="str">
            <v>Company's Website</v>
          </cell>
        </row>
        <row r="1885">
          <cell r="D1885" t="str">
            <v>Company's Website</v>
          </cell>
        </row>
        <row r="1886">
          <cell r="D1886" t="str">
            <v>Company's Website</v>
          </cell>
        </row>
        <row r="1887">
          <cell r="D1887" t="str">
            <v>Company's Website</v>
          </cell>
        </row>
        <row r="1888">
          <cell r="D1888">
            <v>0</v>
          </cell>
        </row>
        <row r="1889">
          <cell r="D1889" t="str">
            <v>Company's Website</v>
          </cell>
        </row>
        <row r="1890">
          <cell r="D1890" t="str">
            <v>MOP Gas Document</v>
          </cell>
        </row>
        <row r="1891">
          <cell r="D1891">
            <v>0</v>
          </cell>
        </row>
        <row r="1892">
          <cell r="D1892">
            <v>0</v>
          </cell>
        </row>
        <row r="1893">
          <cell r="D1893">
            <v>0</v>
          </cell>
        </row>
        <row r="1894">
          <cell r="D1894">
            <v>0</v>
          </cell>
        </row>
        <row r="1895">
          <cell r="D1895">
            <v>0</v>
          </cell>
        </row>
        <row r="1896">
          <cell r="D1896">
            <v>0</v>
          </cell>
        </row>
        <row r="1897">
          <cell r="D1897">
            <v>0</v>
          </cell>
        </row>
        <row r="1898">
          <cell r="D1898">
            <v>0</v>
          </cell>
        </row>
        <row r="1899">
          <cell r="D1899">
            <v>0</v>
          </cell>
        </row>
        <row r="1900">
          <cell r="D1900">
            <v>0</v>
          </cell>
        </row>
        <row r="1901">
          <cell r="D1901">
            <v>0</v>
          </cell>
        </row>
        <row r="1902">
          <cell r="D1902">
            <v>0</v>
          </cell>
        </row>
        <row r="1903">
          <cell r="D1903">
            <v>0</v>
          </cell>
        </row>
        <row r="1904">
          <cell r="D1904">
            <v>0</v>
          </cell>
        </row>
        <row r="1905">
          <cell r="D1905">
            <v>0</v>
          </cell>
        </row>
        <row r="1906">
          <cell r="D1906">
            <v>0</v>
          </cell>
        </row>
        <row r="1907">
          <cell r="D1907">
            <v>0</v>
          </cell>
        </row>
        <row r="1908">
          <cell r="D1908">
            <v>0</v>
          </cell>
        </row>
        <row r="1909">
          <cell r="D1909">
            <v>0</v>
          </cell>
        </row>
        <row r="1910">
          <cell r="D1910">
            <v>0</v>
          </cell>
        </row>
        <row r="1911">
          <cell r="D1911">
            <v>0</v>
          </cell>
        </row>
        <row r="1912">
          <cell r="D1912">
            <v>0</v>
          </cell>
        </row>
        <row r="1913">
          <cell r="D1913">
            <v>0</v>
          </cell>
        </row>
        <row r="1914">
          <cell r="D1914">
            <v>0</v>
          </cell>
        </row>
        <row r="1915">
          <cell r="D1915" t="str">
            <v>Company's Website</v>
          </cell>
        </row>
        <row r="1916">
          <cell r="D1916">
            <v>0</v>
          </cell>
        </row>
        <row r="1917">
          <cell r="D1917">
            <v>0</v>
          </cell>
        </row>
        <row r="1918">
          <cell r="D1918">
            <v>0</v>
          </cell>
        </row>
        <row r="1919">
          <cell r="D1919">
            <v>0</v>
          </cell>
        </row>
        <row r="1920">
          <cell r="D1920">
            <v>0</v>
          </cell>
        </row>
        <row r="1921">
          <cell r="D1921">
            <v>0</v>
          </cell>
        </row>
        <row r="1922">
          <cell r="D1922">
            <v>0</v>
          </cell>
        </row>
        <row r="1923">
          <cell r="D1923" t="str">
            <v>Company's Website</v>
          </cell>
        </row>
        <row r="1924">
          <cell r="D1924" t="str">
            <v>Company's Website</v>
          </cell>
        </row>
        <row r="1925">
          <cell r="D1925" t="str">
            <v>Company's Website</v>
          </cell>
        </row>
        <row r="1926">
          <cell r="D1926">
            <v>0</v>
          </cell>
        </row>
        <row r="1927">
          <cell r="D1927">
            <v>0</v>
          </cell>
        </row>
        <row r="1928">
          <cell r="D1928">
            <v>0</v>
          </cell>
        </row>
        <row r="1929">
          <cell r="D1929">
            <v>0</v>
          </cell>
        </row>
        <row r="1930">
          <cell r="D1930">
            <v>0</v>
          </cell>
        </row>
        <row r="1931">
          <cell r="D1931" t="str">
            <v>PGCIL &amp; Company's Website</v>
          </cell>
        </row>
        <row r="1932">
          <cell r="D1932" t="str">
            <v>PGCIL &amp; Company's Website</v>
          </cell>
        </row>
        <row r="1933">
          <cell r="D1933" t="str">
            <v>PGCIL &amp; Company's Website</v>
          </cell>
        </row>
        <row r="1934">
          <cell r="D1934">
            <v>0</v>
          </cell>
        </row>
        <row r="1935">
          <cell r="D1935">
            <v>0</v>
          </cell>
        </row>
        <row r="1936">
          <cell r="D1936" t="str">
            <v>Company's Website</v>
          </cell>
        </row>
        <row r="1937">
          <cell r="D1937" t="str">
            <v>Company's Website</v>
          </cell>
        </row>
        <row r="1938">
          <cell r="D1938">
            <v>0</v>
          </cell>
        </row>
        <row r="1939">
          <cell r="D1939">
            <v>0</v>
          </cell>
        </row>
        <row r="1940">
          <cell r="D1940">
            <v>0</v>
          </cell>
        </row>
        <row r="1941">
          <cell r="D1941">
            <v>0</v>
          </cell>
        </row>
        <row r="1942">
          <cell r="D1942">
            <v>0</v>
          </cell>
        </row>
        <row r="1943">
          <cell r="D1943">
            <v>0</v>
          </cell>
        </row>
        <row r="1944">
          <cell r="D1944">
            <v>0</v>
          </cell>
        </row>
        <row r="1945">
          <cell r="D1945" t="str">
            <v>Company's Website / PG</v>
          </cell>
        </row>
        <row r="1946">
          <cell r="D1946" t="str">
            <v>Company's Website / PG</v>
          </cell>
        </row>
        <row r="1947">
          <cell r="D1947">
            <v>0</v>
          </cell>
        </row>
        <row r="1948">
          <cell r="D1948">
            <v>0</v>
          </cell>
        </row>
        <row r="1949">
          <cell r="D1949">
            <v>0</v>
          </cell>
        </row>
        <row r="1950">
          <cell r="D1950">
            <v>0</v>
          </cell>
        </row>
        <row r="1951">
          <cell r="D1951">
            <v>0</v>
          </cell>
        </row>
        <row r="1952">
          <cell r="D1952">
            <v>0</v>
          </cell>
        </row>
        <row r="1953">
          <cell r="D1953">
            <v>0</v>
          </cell>
        </row>
        <row r="1954">
          <cell r="D1954">
            <v>0</v>
          </cell>
        </row>
        <row r="1955">
          <cell r="D1955">
            <v>0</v>
          </cell>
        </row>
        <row r="1956">
          <cell r="D1956">
            <v>0</v>
          </cell>
        </row>
        <row r="1957">
          <cell r="D1957">
            <v>0</v>
          </cell>
        </row>
        <row r="1958">
          <cell r="D1958">
            <v>0</v>
          </cell>
        </row>
        <row r="1959">
          <cell r="D1959">
            <v>0</v>
          </cell>
        </row>
        <row r="1960">
          <cell r="D1960">
            <v>0</v>
          </cell>
        </row>
        <row r="1961">
          <cell r="D1961">
            <v>0</v>
          </cell>
        </row>
        <row r="1962">
          <cell r="D1962">
            <v>0</v>
          </cell>
        </row>
        <row r="1963">
          <cell r="D1963">
            <v>0</v>
          </cell>
        </row>
        <row r="1964">
          <cell r="D1964">
            <v>0</v>
          </cell>
        </row>
        <row r="1965">
          <cell r="D1965">
            <v>0</v>
          </cell>
        </row>
        <row r="1966">
          <cell r="D1966">
            <v>0</v>
          </cell>
        </row>
        <row r="1967">
          <cell r="D1967">
            <v>0</v>
          </cell>
        </row>
        <row r="1968">
          <cell r="D1968" t="str">
            <v>Company's Website</v>
          </cell>
        </row>
        <row r="1969">
          <cell r="D1969">
            <v>0</v>
          </cell>
        </row>
        <row r="1970">
          <cell r="D1970">
            <v>0</v>
          </cell>
        </row>
        <row r="1971">
          <cell r="D1971" t="str">
            <v>PowerGrid Meeting</v>
          </cell>
        </row>
        <row r="1972">
          <cell r="D1972" t="str">
            <v>PowerGrid Meeting</v>
          </cell>
        </row>
        <row r="1973">
          <cell r="D1973" t="str">
            <v>Company's Website</v>
          </cell>
        </row>
        <row r="1974">
          <cell r="D1974" t="str">
            <v>Company's Website</v>
          </cell>
        </row>
        <row r="1975">
          <cell r="D1975" t="str">
            <v>Company's Website</v>
          </cell>
        </row>
        <row r="1976">
          <cell r="D1976" t="str">
            <v>Company's Website</v>
          </cell>
        </row>
        <row r="1977">
          <cell r="D1977">
            <v>0</v>
          </cell>
        </row>
        <row r="1978">
          <cell r="D1978">
            <v>0</v>
          </cell>
        </row>
        <row r="1979">
          <cell r="D1979">
            <v>0</v>
          </cell>
        </row>
        <row r="1980">
          <cell r="D1980">
            <v>0</v>
          </cell>
        </row>
        <row r="1981">
          <cell r="D1981">
            <v>0</v>
          </cell>
        </row>
        <row r="1982">
          <cell r="D1982">
            <v>0</v>
          </cell>
        </row>
        <row r="1983">
          <cell r="D1983" t="str">
            <v>Company's Website</v>
          </cell>
        </row>
        <row r="1984">
          <cell r="D1984">
            <v>0</v>
          </cell>
        </row>
        <row r="1985">
          <cell r="D1985">
            <v>0</v>
          </cell>
        </row>
        <row r="1986">
          <cell r="D1986">
            <v>0</v>
          </cell>
        </row>
        <row r="1987">
          <cell r="D1987">
            <v>0</v>
          </cell>
        </row>
        <row r="1988">
          <cell r="D1988">
            <v>0</v>
          </cell>
        </row>
        <row r="1989">
          <cell r="D1989">
            <v>0</v>
          </cell>
        </row>
        <row r="1990">
          <cell r="D1990">
            <v>0</v>
          </cell>
        </row>
        <row r="1991">
          <cell r="D1991" t="str">
            <v>Company's Website</v>
          </cell>
        </row>
        <row r="1992">
          <cell r="D1992" t="str">
            <v>Company's Website</v>
          </cell>
        </row>
        <row r="1993">
          <cell r="D1993" t="str">
            <v>Company's Website</v>
          </cell>
        </row>
        <row r="1994">
          <cell r="D1994">
            <v>0</v>
          </cell>
        </row>
        <row r="1995">
          <cell r="D1995">
            <v>0</v>
          </cell>
        </row>
        <row r="1996">
          <cell r="D1996">
            <v>0</v>
          </cell>
        </row>
        <row r="1997">
          <cell r="D1997">
            <v>0</v>
          </cell>
        </row>
        <row r="1998">
          <cell r="D1998" t="str">
            <v>Company's Website</v>
          </cell>
        </row>
        <row r="1999">
          <cell r="D1999" t="str">
            <v>Company's Website</v>
          </cell>
        </row>
        <row r="2000">
          <cell r="D2000" t="str">
            <v>Company's Website</v>
          </cell>
        </row>
        <row r="2001">
          <cell r="D2001">
            <v>0</v>
          </cell>
        </row>
        <row r="2002">
          <cell r="D2002" t="str">
            <v>PowerGrid Meeting</v>
          </cell>
        </row>
        <row r="2003">
          <cell r="D2003" t="str">
            <v>PowerGrid Meeting</v>
          </cell>
        </row>
        <row r="2004">
          <cell r="D2004">
            <v>0</v>
          </cell>
        </row>
        <row r="2005">
          <cell r="D2005">
            <v>0</v>
          </cell>
        </row>
        <row r="2006">
          <cell r="D2006" t="str">
            <v>PowerGrid Meeting</v>
          </cell>
        </row>
        <row r="2007">
          <cell r="D2007" t="str">
            <v>PowerGrid Meeting</v>
          </cell>
        </row>
        <row r="2008">
          <cell r="D2008" t="str">
            <v>PowerGrid Meeting</v>
          </cell>
        </row>
        <row r="2009">
          <cell r="D2009">
            <v>0</v>
          </cell>
        </row>
        <row r="2010">
          <cell r="D2010">
            <v>0</v>
          </cell>
        </row>
        <row r="2011">
          <cell r="D2011">
            <v>0</v>
          </cell>
        </row>
        <row r="2012">
          <cell r="D2012">
            <v>0</v>
          </cell>
        </row>
        <row r="2013">
          <cell r="D2013">
            <v>0</v>
          </cell>
        </row>
        <row r="2014">
          <cell r="D2014">
            <v>0</v>
          </cell>
        </row>
        <row r="2015">
          <cell r="D2015">
            <v>0</v>
          </cell>
        </row>
        <row r="2016">
          <cell r="D2016">
            <v>0</v>
          </cell>
        </row>
        <row r="2017">
          <cell r="D2017">
            <v>0</v>
          </cell>
        </row>
        <row r="2018">
          <cell r="D2018" t="str">
            <v>Company's Website</v>
          </cell>
        </row>
        <row r="2019">
          <cell r="D2019" t="str">
            <v>Company's Website</v>
          </cell>
        </row>
        <row r="2020">
          <cell r="D2020" t="str">
            <v>Company's Website</v>
          </cell>
        </row>
        <row r="2021">
          <cell r="D2021" t="str">
            <v>Company's Website</v>
          </cell>
        </row>
        <row r="2022">
          <cell r="D2022" t="str">
            <v>Company's Website</v>
          </cell>
        </row>
        <row r="2023">
          <cell r="D2023" t="str">
            <v>Company's Website</v>
          </cell>
        </row>
        <row r="2024">
          <cell r="D2024" t="str">
            <v>Company's Website</v>
          </cell>
        </row>
        <row r="2025">
          <cell r="D2025">
            <v>0</v>
          </cell>
        </row>
        <row r="2026">
          <cell r="D2026">
            <v>0</v>
          </cell>
        </row>
        <row r="2027">
          <cell r="D2027">
            <v>0</v>
          </cell>
        </row>
        <row r="2028">
          <cell r="D2028" t="str">
            <v>Company's Website</v>
          </cell>
        </row>
        <row r="2029">
          <cell r="D2029" t="str">
            <v>Company's Website</v>
          </cell>
        </row>
        <row r="2030">
          <cell r="D2030" t="str">
            <v>Company's Website</v>
          </cell>
        </row>
        <row r="2031">
          <cell r="D2031">
            <v>0</v>
          </cell>
        </row>
        <row r="2032">
          <cell r="D2032">
            <v>0</v>
          </cell>
        </row>
        <row r="2033">
          <cell r="D2033" t="str">
            <v>Company's Website</v>
          </cell>
        </row>
        <row r="2034">
          <cell r="D2034" t="str">
            <v>Company's Website</v>
          </cell>
        </row>
        <row r="2035">
          <cell r="D2035" t="str">
            <v>PowerGrid Meeting</v>
          </cell>
        </row>
        <row r="2036">
          <cell r="D2036" t="str">
            <v>PowerGrid Meeting</v>
          </cell>
        </row>
        <row r="2037">
          <cell r="D2037">
            <v>0</v>
          </cell>
        </row>
        <row r="2038">
          <cell r="D2038" t="str">
            <v>Company's Website</v>
          </cell>
        </row>
        <row r="2039">
          <cell r="D2039">
            <v>0</v>
          </cell>
        </row>
        <row r="2040">
          <cell r="D2040">
            <v>0</v>
          </cell>
        </row>
        <row r="2041">
          <cell r="D2041">
            <v>0</v>
          </cell>
        </row>
        <row r="2042">
          <cell r="D2042">
            <v>0</v>
          </cell>
        </row>
        <row r="2043">
          <cell r="D2043">
            <v>0</v>
          </cell>
        </row>
        <row r="2044">
          <cell r="D2044">
            <v>0</v>
          </cell>
        </row>
        <row r="2045">
          <cell r="D2045">
            <v>0</v>
          </cell>
        </row>
        <row r="2046">
          <cell r="D2046">
            <v>0</v>
          </cell>
        </row>
        <row r="2047">
          <cell r="D2047">
            <v>0</v>
          </cell>
        </row>
        <row r="2048">
          <cell r="D2048">
            <v>0</v>
          </cell>
        </row>
        <row r="2049">
          <cell r="D2049">
            <v>0</v>
          </cell>
        </row>
        <row r="2050">
          <cell r="D2050">
            <v>0</v>
          </cell>
        </row>
        <row r="2051">
          <cell r="D2051">
            <v>0</v>
          </cell>
        </row>
        <row r="2052">
          <cell r="D2052">
            <v>0</v>
          </cell>
        </row>
        <row r="2053">
          <cell r="D2053">
            <v>0</v>
          </cell>
        </row>
        <row r="2054">
          <cell r="D2054">
            <v>0</v>
          </cell>
        </row>
        <row r="2055">
          <cell r="D2055">
            <v>0</v>
          </cell>
        </row>
        <row r="2056">
          <cell r="D2056" t="str">
            <v>Company's Website</v>
          </cell>
        </row>
        <row r="2057">
          <cell r="D2057">
            <v>0</v>
          </cell>
        </row>
        <row r="2058">
          <cell r="D2058">
            <v>0</v>
          </cell>
        </row>
        <row r="2059">
          <cell r="D2059">
            <v>0</v>
          </cell>
        </row>
        <row r="2060">
          <cell r="D2060">
            <v>0</v>
          </cell>
        </row>
        <row r="2061">
          <cell r="D2061">
            <v>0</v>
          </cell>
        </row>
        <row r="2062">
          <cell r="D2062">
            <v>0</v>
          </cell>
        </row>
        <row r="2063">
          <cell r="D2063">
            <v>0</v>
          </cell>
        </row>
        <row r="2064">
          <cell r="D2064">
            <v>0</v>
          </cell>
        </row>
        <row r="2065">
          <cell r="D2065" t="str">
            <v>Company's Website</v>
          </cell>
        </row>
        <row r="2066">
          <cell r="D2066" t="str">
            <v>PowerGrid Meeting</v>
          </cell>
        </row>
        <row r="2067">
          <cell r="D2067" t="str">
            <v>PowerGrid Meeting</v>
          </cell>
        </row>
        <row r="2068">
          <cell r="D2068" t="str">
            <v>Company's Website</v>
          </cell>
        </row>
        <row r="2069">
          <cell r="D2069">
            <v>0</v>
          </cell>
        </row>
        <row r="2070">
          <cell r="D2070">
            <v>0</v>
          </cell>
        </row>
        <row r="2071">
          <cell r="D2071">
            <v>0</v>
          </cell>
        </row>
        <row r="2072">
          <cell r="D2072">
            <v>0</v>
          </cell>
        </row>
        <row r="2073">
          <cell r="D2073">
            <v>0</v>
          </cell>
        </row>
        <row r="2074">
          <cell r="D2074">
            <v>0</v>
          </cell>
        </row>
        <row r="2075">
          <cell r="D2075">
            <v>0</v>
          </cell>
        </row>
        <row r="2076">
          <cell r="D2076">
            <v>0</v>
          </cell>
        </row>
        <row r="2077">
          <cell r="D2077">
            <v>0</v>
          </cell>
        </row>
        <row r="2078">
          <cell r="D2078">
            <v>0</v>
          </cell>
        </row>
        <row r="2079">
          <cell r="D2079">
            <v>0</v>
          </cell>
        </row>
        <row r="2080">
          <cell r="D2080" t="str">
            <v>Company's Website</v>
          </cell>
        </row>
        <row r="2081">
          <cell r="D2081" t="str">
            <v>Company's Website</v>
          </cell>
        </row>
        <row r="2082">
          <cell r="D2082" t="str">
            <v>Company's Website</v>
          </cell>
        </row>
        <row r="2083">
          <cell r="D2083" t="str">
            <v>Company's Website</v>
          </cell>
        </row>
        <row r="2084">
          <cell r="D2084" t="str">
            <v>Company's Website</v>
          </cell>
        </row>
        <row r="2085">
          <cell r="D2085" t="str">
            <v>Company's Website</v>
          </cell>
        </row>
        <row r="2086">
          <cell r="D2086" t="str">
            <v>Company's Website</v>
          </cell>
        </row>
        <row r="2087">
          <cell r="D2087" t="str">
            <v>Company's Website</v>
          </cell>
        </row>
        <row r="2088">
          <cell r="D2088" t="str">
            <v>Company's Website</v>
          </cell>
        </row>
        <row r="2089">
          <cell r="D2089" t="str">
            <v>Company's Website</v>
          </cell>
        </row>
        <row r="2090">
          <cell r="D2090">
            <v>0</v>
          </cell>
        </row>
        <row r="2091">
          <cell r="D2091" t="str">
            <v>Company's Website</v>
          </cell>
        </row>
        <row r="2092">
          <cell r="D2092" t="str">
            <v>Company's Website</v>
          </cell>
        </row>
        <row r="2093">
          <cell r="D2093" t="str">
            <v>Company's Website</v>
          </cell>
        </row>
        <row r="2094">
          <cell r="D2094">
            <v>0</v>
          </cell>
        </row>
        <row r="2095">
          <cell r="D2095">
            <v>0</v>
          </cell>
        </row>
        <row r="2096">
          <cell r="D2096">
            <v>0</v>
          </cell>
        </row>
        <row r="2097">
          <cell r="D2097">
            <v>0</v>
          </cell>
        </row>
        <row r="2098">
          <cell r="D2098">
            <v>0</v>
          </cell>
        </row>
        <row r="2099">
          <cell r="D2099">
            <v>0</v>
          </cell>
        </row>
        <row r="2100">
          <cell r="D2100">
            <v>0</v>
          </cell>
        </row>
        <row r="2101">
          <cell r="D2101" t="str">
            <v>Company's Website</v>
          </cell>
        </row>
        <row r="2102">
          <cell r="D2102">
            <v>0</v>
          </cell>
        </row>
        <row r="2103">
          <cell r="D2103">
            <v>0</v>
          </cell>
        </row>
        <row r="2104">
          <cell r="D2104">
            <v>0</v>
          </cell>
        </row>
        <row r="2105">
          <cell r="D2105" t="str">
            <v>Company's Website</v>
          </cell>
        </row>
        <row r="2106">
          <cell r="D2106">
            <v>0</v>
          </cell>
        </row>
        <row r="2107">
          <cell r="D2107">
            <v>0</v>
          </cell>
        </row>
        <row r="2108">
          <cell r="D2108">
            <v>0</v>
          </cell>
        </row>
        <row r="2109">
          <cell r="D2109">
            <v>0</v>
          </cell>
        </row>
        <row r="2110">
          <cell r="D2110" t="str">
            <v>Company's Website</v>
          </cell>
        </row>
        <row r="2111">
          <cell r="D2111" t="str">
            <v>Company's Website</v>
          </cell>
        </row>
        <row r="2112">
          <cell r="D2112" t="str">
            <v>Company's Website</v>
          </cell>
        </row>
        <row r="2113">
          <cell r="D2113">
            <v>0</v>
          </cell>
        </row>
        <row r="2114">
          <cell r="D2114">
            <v>0</v>
          </cell>
        </row>
        <row r="2115">
          <cell r="D2115">
            <v>0</v>
          </cell>
        </row>
        <row r="2116">
          <cell r="D2116" t="str">
            <v>CEA Thermal Document</v>
          </cell>
        </row>
        <row r="2117">
          <cell r="D2117">
            <v>0</v>
          </cell>
        </row>
        <row r="2118">
          <cell r="D2118" t="str">
            <v>CEA Thermal Document</v>
          </cell>
        </row>
        <row r="2119">
          <cell r="D2119">
            <v>0</v>
          </cell>
        </row>
        <row r="2120">
          <cell r="D2120">
            <v>0</v>
          </cell>
        </row>
        <row r="2121">
          <cell r="D2121" t="str">
            <v>Company's Website</v>
          </cell>
        </row>
        <row r="2122">
          <cell r="D2122" t="str">
            <v>Company's Website</v>
          </cell>
        </row>
        <row r="2123">
          <cell r="D2123" t="str">
            <v>Company's Website</v>
          </cell>
        </row>
        <row r="2124">
          <cell r="D2124" t="str">
            <v>Company's Website</v>
          </cell>
        </row>
        <row r="2125">
          <cell r="D2125" t="str">
            <v>Company's Website</v>
          </cell>
        </row>
        <row r="2126">
          <cell r="D2126">
            <v>0</v>
          </cell>
        </row>
        <row r="2127">
          <cell r="D2127">
            <v>0</v>
          </cell>
        </row>
        <row r="2128">
          <cell r="D2128">
            <v>0</v>
          </cell>
        </row>
        <row r="2129">
          <cell r="D2129" t="str">
            <v>Company's Website</v>
          </cell>
        </row>
        <row r="2130">
          <cell r="D2130" t="str">
            <v>Company's Website</v>
          </cell>
        </row>
        <row r="2131">
          <cell r="D2131" t="str">
            <v>CEA Thermal Document</v>
          </cell>
        </row>
        <row r="2132">
          <cell r="D2132" t="str">
            <v>Company's Website</v>
          </cell>
        </row>
        <row r="2133">
          <cell r="D2133" t="str">
            <v>Company's Website</v>
          </cell>
        </row>
        <row r="2134">
          <cell r="D2134">
            <v>0</v>
          </cell>
        </row>
        <row r="2135">
          <cell r="D2135" t="str">
            <v>Cea Thermal Document</v>
          </cell>
        </row>
        <row r="2136">
          <cell r="D2136">
            <v>0</v>
          </cell>
        </row>
        <row r="2137">
          <cell r="D2137" t="str">
            <v>Company's Website</v>
          </cell>
        </row>
        <row r="2138">
          <cell r="D2138" t="str">
            <v>Company's Website</v>
          </cell>
        </row>
        <row r="2139">
          <cell r="D2139" t="str">
            <v>Cea Thermal Document</v>
          </cell>
        </row>
        <row r="2140">
          <cell r="D2140">
            <v>0</v>
          </cell>
        </row>
        <row r="2141">
          <cell r="D2141" t="str">
            <v>Company's Website</v>
          </cell>
        </row>
        <row r="2142">
          <cell r="D2142">
            <v>0</v>
          </cell>
        </row>
        <row r="2143">
          <cell r="D2143">
            <v>0</v>
          </cell>
        </row>
        <row r="2144">
          <cell r="D2144">
            <v>0</v>
          </cell>
        </row>
        <row r="2145">
          <cell r="D2145">
            <v>0</v>
          </cell>
        </row>
        <row r="2146">
          <cell r="D2146">
            <v>0</v>
          </cell>
        </row>
        <row r="2147">
          <cell r="D2147">
            <v>0</v>
          </cell>
        </row>
        <row r="2148">
          <cell r="D2148">
            <v>0</v>
          </cell>
        </row>
        <row r="2149">
          <cell r="D2149">
            <v>0</v>
          </cell>
        </row>
        <row r="2150">
          <cell r="D2150">
            <v>0</v>
          </cell>
        </row>
        <row r="2151">
          <cell r="D2151">
            <v>0</v>
          </cell>
        </row>
        <row r="2152">
          <cell r="D2152">
            <v>0</v>
          </cell>
        </row>
        <row r="2153">
          <cell r="D2153">
            <v>0</v>
          </cell>
        </row>
        <row r="2154">
          <cell r="D2154">
            <v>0</v>
          </cell>
        </row>
        <row r="2155">
          <cell r="D2155">
            <v>0</v>
          </cell>
        </row>
        <row r="2156">
          <cell r="D2156">
            <v>0</v>
          </cell>
        </row>
        <row r="2157">
          <cell r="D2157">
            <v>0</v>
          </cell>
        </row>
        <row r="2158">
          <cell r="D2158">
            <v>0</v>
          </cell>
        </row>
        <row r="2159">
          <cell r="D2159">
            <v>0</v>
          </cell>
        </row>
        <row r="2160">
          <cell r="D2160">
            <v>0</v>
          </cell>
        </row>
        <row r="2161">
          <cell r="D2161">
            <v>0</v>
          </cell>
        </row>
        <row r="2162">
          <cell r="D2162">
            <v>0</v>
          </cell>
        </row>
        <row r="2163">
          <cell r="D2163" t="str">
            <v>Company's Website</v>
          </cell>
        </row>
        <row r="2164">
          <cell r="D2164">
            <v>0</v>
          </cell>
        </row>
        <row r="2165">
          <cell r="D2165">
            <v>0</v>
          </cell>
        </row>
        <row r="2166">
          <cell r="D2166">
            <v>0</v>
          </cell>
        </row>
        <row r="2167">
          <cell r="D2167">
            <v>0</v>
          </cell>
        </row>
        <row r="2168">
          <cell r="D2168">
            <v>0</v>
          </cell>
        </row>
        <row r="2169">
          <cell r="D2169">
            <v>0</v>
          </cell>
        </row>
        <row r="2170">
          <cell r="D2170">
            <v>0</v>
          </cell>
        </row>
        <row r="2171">
          <cell r="D2171">
            <v>0</v>
          </cell>
        </row>
        <row r="2172">
          <cell r="D2172">
            <v>0</v>
          </cell>
        </row>
        <row r="2173">
          <cell r="D2173">
            <v>0</v>
          </cell>
        </row>
        <row r="2174">
          <cell r="D2174">
            <v>0</v>
          </cell>
        </row>
        <row r="2175">
          <cell r="D2175">
            <v>0</v>
          </cell>
        </row>
        <row r="2176">
          <cell r="D2176">
            <v>0</v>
          </cell>
        </row>
        <row r="2177">
          <cell r="D2177">
            <v>0</v>
          </cell>
        </row>
        <row r="2178">
          <cell r="D2178" t="str">
            <v>Company's Website</v>
          </cell>
        </row>
        <row r="2179">
          <cell r="D2179" t="str">
            <v>Company's Website</v>
          </cell>
        </row>
        <row r="2180">
          <cell r="D2180" t="str">
            <v>Company's Website</v>
          </cell>
        </row>
        <row r="2181">
          <cell r="D2181">
            <v>0</v>
          </cell>
        </row>
        <row r="2182">
          <cell r="D2182">
            <v>0</v>
          </cell>
        </row>
        <row r="2183">
          <cell r="D2183">
            <v>0</v>
          </cell>
        </row>
        <row r="2184">
          <cell r="D2184" t="str">
            <v>Company's Website</v>
          </cell>
        </row>
        <row r="2185">
          <cell r="D2185" t="str">
            <v>Company's Website</v>
          </cell>
        </row>
        <row r="2186">
          <cell r="D2186">
            <v>0</v>
          </cell>
        </row>
        <row r="2187">
          <cell r="D2187">
            <v>0</v>
          </cell>
        </row>
        <row r="2188">
          <cell r="D2188">
            <v>0</v>
          </cell>
        </row>
        <row r="2189">
          <cell r="D2189">
            <v>0</v>
          </cell>
        </row>
        <row r="2190">
          <cell r="D2190">
            <v>0</v>
          </cell>
        </row>
        <row r="2191">
          <cell r="D2191">
            <v>0</v>
          </cell>
        </row>
        <row r="2192">
          <cell r="D2192">
            <v>0</v>
          </cell>
        </row>
        <row r="2193">
          <cell r="D2193">
            <v>0</v>
          </cell>
        </row>
        <row r="2194">
          <cell r="D2194">
            <v>0</v>
          </cell>
        </row>
        <row r="2195">
          <cell r="D2195">
            <v>0</v>
          </cell>
        </row>
        <row r="2196">
          <cell r="D2196">
            <v>0</v>
          </cell>
        </row>
        <row r="2197">
          <cell r="D2197">
            <v>0</v>
          </cell>
        </row>
        <row r="2198">
          <cell r="D2198" t="str">
            <v>Company's Website</v>
          </cell>
        </row>
        <row r="2199">
          <cell r="D2199" t="str">
            <v>Company's Website</v>
          </cell>
        </row>
        <row r="2200">
          <cell r="D2200" t="str">
            <v>Company's Website</v>
          </cell>
        </row>
        <row r="2201">
          <cell r="D2201">
            <v>0</v>
          </cell>
        </row>
        <row r="2202">
          <cell r="D2202">
            <v>0</v>
          </cell>
        </row>
        <row r="2203">
          <cell r="D2203">
            <v>0</v>
          </cell>
        </row>
        <row r="2204">
          <cell r="D2204" t="str">
            <v>Company's Website</v>
          </cell>
        </row>
        <row r="2205">
          <cell r="D2205" t="str">
            <v>Company's Website</v>
          </cell>
        </row>
        <row r="2206">
          <cell r="D2206">
            <v>0</v>
          </cell>
        </row>
        <row r="2207">
          <cell r="D2207">
            <v>0</v>
          </cell>
        </row>
        <row r="2208">
          <cell r="D2208">
            <v>0</v>
          </cell>
        </row>
        <row r="2209">
          <cell r="D2209">
            <v>0</v>
          </cell>
        </row>
        <row r="2210">
          <cell r="D2210">
            <v>0</v>
          </cell>
        </row>
        <row r="2211">
          <cell r="D2211">
            <v>0</v>
          </cell>
        </row>
        <row r="2212">
          <cell r="D2212">
            <v>0</v>
          </cell>
        </row>
        <row r="2213">
          <cell r="D2213">
            <v>0</v>
          </cell>
        </row>
        <row r="2214">
          <cell r="D2214">
            <v>0</v>
          </cell>
        </row>
        <row r="2215">
          <cell r="D2215">
            <v>0</v>
          </cell>
        </row>
        <row r="2216">
          <cell r="D2216">
            <v>0</v>
          </cell>
        </row>
        <row r="2217">
          <cell r="D2217">
            <v>0</v>
          </cell>
        </row>
        <row r="2218">
          <cell r="D2218" t="str">
            <v>Company's Website</v>
          </cell>
        </row>
        <row r="2219">
          <cell r="D2219" t="str">
            <v>Company's Website</v>
          </cell>
        </row>
        <row r="2220">
          <cell r="D2220" t="str">
            <v>Company's Website</v>
          </cell>
        </row>
        <row r="2221">
          <cell r="D2221" t="str">
            <v>Company's Website</v>
          </cell>
        </row>
        <row r="2222">
          <cell r="D2222" t="str">
            <v>Company's Website</v>
          </cell>
        </row>
        <row r="2223">
          <cell r="D2223">
            <v>0</v>
          </cell>
        </row>
        <row r="2224">
          <cell r="D2224">
            <v>0</v>
          </cell>
        </row>
        <row r="2225">
          <cell r="D2225">
            <v>0</v>
          </cell>
        </row>
        <row r="2226">
          <cell r="D2226">
            <v>0</v>
          </cell>
        </row>
        <row r="2227">
          <cell r="D2227">
            <v>0</v>
          </cell>
        </row>
        <row r="2228">
          <cell r="D2228">
            <v>0</v>
          </cell>
        </row>
        <row r="2229">
          <cell r="D2229">
            <v>0</v>
          </cell>
        </row>
        <row r="2230">
          <cell r="D2230">
            <v>0</v>
          </cell>
        </row>
        <row r="2231">
          <cell r="D2231" t="str">
            <v>Company's Website</v>
          </cell>
        </row>
        <row r="2232">
          <cell r="D2232">
            <v>0</v>
          </cell>
        </row>
        <row r="2233">
          <cell r="D2233">
            <v>0</v>
          </cell>
        </row>
        <row r="2234">
          <cell r="D2234">
            <v>0</v>
          </cell>
        </row>
        <row r="2235">
          <cell r="D2235">
            <v>0</v>
          </cell>
        </row>
        <row r="2236">
          <cell r="D2236">
            <v>0</v>
          </cell>
        </row>
        <row r="2237">
          <cell r="D2237" t="str">
            <v>Company's Website</v>
          </cell>
        </row>
        <row r="2238">
          <cell r="D2238" t="str">
            <v>Company's Website</v>
          </cell>
        </row>
        <row r="2239">
          <cell r="D2239" t="str">
            <v>Metis Document</v>
          </cell>
        </row>
        <row r="2240">
          <cell r="D2240" t="str">
            <v>Metis Document</v>
          </cell>
        </row>
        <row r="2241">
          <cell r="D2241" t="str">
            <v>Metis Document</v>
          </cell>
        </row>
        <row r="2242">
          <cell r="D2242" t="str">
            <v>Metis Document</v>
          </cell>
        </row>
        <row r="2243">
          <cell r="D2243">
            <v>0</v>
          </cell>
        </row>
        <row r="2244">
          <cell r="D2244">
            <v>0</v>
          </cell>
        </row>
        <row r="2245">
          <cell r="D2245">
            <v>0</v>
          </cell>
        </row>
        <row r="2246">
          <cell r="D2246">
            <v>0</v>
          </cell>
        </row>
        <row r="2247">
          <cell r="D2247">
            <v>0</v>
          </cell>
        </row>
        <row r="2248">
          <cell r="D2248">
            <v>0</v>
          </cell>
        </row>
        <row r="2249">
          <cell r="D2249">
            <v>0</v>
          </cell>
        </row>
        <row r="2250">
          <cell r="D2250">
            <v>0</v>
          </cell>
        </row>
        <row r="2251">
          <cell r="D2251">
            <v>0</v>
          </cell>
        </row>
        <row r="2252">
          <cell r="D2252">
            <v>0</v>
          </cell>
        </row>
        <row r="2253">
          <cell r="D2253">
            <v>0</v>
          </cell>
        </row>
        <row r="2254">
          <cell r="D2254">
            <v>0</v>
          </cell>
        </row>
        <row r="2255">
          <cell r="D2255">
            <v>0</v>
          </cell>
        </row>
        <row r="2256">
          <cell r="D2256">
            <v>0</v>
          </cell>
        </row>
        <row r="2257">
          <cell r="D2257">
            <v>0</v>
          </cell>
        </row>
        <row r="2258">
          <cell r="D2258">
            <v>0</v>
          </cell>
        </row>
        <row r="2259">
          <cell r="D2259">
            <v>0</v>
          </cell>
        </row>
        <row r="2260">
          <cell r="D2260">
            <v>0</v>
          </cell>
        </row>
        <row r="2261">
          <cell r="D2261" t="str">
            <v>PowerGrid Meeting</v>
          </cell>
        </row>
        <row r="2262">
          <cell r="D2262" t="str">
            <v>Company's Website</v>
          </cell>
        </row>
        <row r="2263">
          <cell r="D2263">
            <v>0</v>
          </cell>
        </row>
        <row r="2264">
          <cell r="D2264" t="str">
            <v>Company's Website</v>
          </cell>
        </row>
        <row r="2265">
          <cell r="D2265">
            <v>0</v>
          </cell>
        </row>
        <row r="2266">
          <cell r="D2266">
            <v>0</v>
          </cell>
        </row>
        <row r="2267">
          <cell r="D2267" t="str">
            <v>Company's Website</v>
          </cell>
        </row>
        <row r="2268">
          <cell r="D2268">
            <v>0</v>
          </cell>
        </row>
        <row r="2269">
          <cell r="D2269">
            <v>0</v>
          </cell>
        </row>
        <row r="2270">
          <cell r="D2270">
            <v>0</v>
          </cell>
        </row>
        <row r="2271">
          <cell r="D2271" t="str">
            <v>Company's Website</v>
          </cell>
        </row>
        <row r="2272">
          <cell r="D2272" t="str">
            <v>Company's Website</v>
          </cell>
        </row>
        <row r="2273">
          <cell r="D2273">
            <v>0</v>
          </cell>
        </row>
        <row r="2274">
          <cell r="D2274">
            <v>0</v>
          </cell>
        </row>
        <row r="2275">
          <cell r="D2275">
            <v>0</v>
          </cell>
        </row>
        <row r="2276">
          <cell r="D2276" t="str">
            <v>Company's Website</v>
          </cell>
        </row>
        <row r="2277">
          <cell r="D2277">
            <v>0</v>
          </cell>
        </row>
        <row r="2278">
          <cell r="D2278">
            <v>0</v>
          </cell>
        </row>
        <row r="2279">
          <cell r="D2279">
            <v>0</v>
          </cell>
        </row>
        <row r="2280">
          <cell r="D2280">
            <v>0</v>
          </cell>
        </row>
        <row r="2281">
          <cell r="D2281" t="str">
            <v>CEA Thermal Document</v>
          </cell>
        </row>
        <row r="2282">
          <cell r="D2282" t="str">
            <v>Company's Website</v>
          </cell>
        </row>
        <row r="2283">
          <cell r="D2283" t="str">
            <v>Company's Website</v>
          </cell>
        </row>
        <row r="2284">
          <cell r="D2284" t="str">
            <v>Company's Website</v>
          </cell>
        </row>
        <row r="2285">
          <cell r="D2285">
            <v>0</v>
          </cell>
        </row>
        <row r="2286">
          <cell r="D2286">
            <v>0</v>
          </cell>
        </row>
        <row r="2287">
          <cell r="D2287">
            <v>0</v>
          </cell>
        </row>
        <row r="2288">
          <cell r="D2288" t="str">
            <v>Company's Website</v>
          </cell>
        </row>
        <row r="2289">
          <cell r="D2289">
            <v>0</v>
          </cell>
        </row>
        <row r="2290">
          <cell r="D2290" t="str">
            <v>Company's Website</v>
          </cell>
        </row>
        <row r="2291">
          <cell r="D2291" t="str">
            <v>Company's Website</v>
          </cell>
        </row>
        <row r="2292">
          <cell r="D2292">
            <v>0</v>
          </cell>
        </row>
        <row r="2293">
          <cell r="D2293">
            <v>0</v>
          </cell>
        </row>
        <row r="2294">
          <cell r="D2294">
            <v>0</v>
          </cell>
        </row>
        <row r="2295">
          <cell r="D2295" t="str">
            <v>PowerGrid Meeting</v>
          </cell>
        </row>
        <row r="2296">
          <cell r="D2296">
            <v>0</v>
          </cell>
        </row>
        <row r="2297">
          <cell r="D2297" t="str">
            <v>Company's Website</v>
          </cell>
        </row>
        <row r="2298">
          <cell r="D2298">
            <v>0</v>
          </cell>
        </row>
        <row r="2299">
          <cell r="D2299" t="str">
            <v>Company's Website</v>
          </cell>
        </row>
        <row r="2300">
          <cell r="D2300" t="str">
            <v>Company's Website</v>
          </cell>
        </row>
        <row r="2301">
          <cell r="D2301" t="str">
            <v>Company's Website</v>
          </cell>
        </row>
        <row r="2302">
          <cell r="D2302" t="str">
            <v>Company's Website</v>
          </cell>
        </row>
        <row r="2303">
          <cell r="D2303">
            <v>0</v>
          </cell>
        </row>
        <row r="2304">
          <cell r="D2304">
            <v>0</v>
          </cell>
        </row>
        <row r="2305">
          <cell r="D2305">
            <v>0</v>
          </cell>
        </row>
        <row r="2306">
          <cell r="D2306" t="str">
            <v>Company's Website</v>
          </cell>
        </row>
        <row r="2307">
          <cell r="D2307">
            <v>0</v>
          </cell>
        </row>
        <row r="2308">
          <cell r="D2308" t="str">
            <v>Company's Website</v>
          </cell>
        </row>
        <row r="2309">
          <cell r="D2309">
            <v>0</v>
          </cell>
        </row>
        <row r="2310">
          <cell r="D2310">
            <v>0</v>
          </cell>
        </row>
        <row r="2311">
          <cell r="D2311" t="str">
            <v>PowerGrid Meeting</v>
          </cell>
        </row>
        <row r="2312">
          <cell r="D2312" t="str">
            <v>Company's Website</v>
          </cell>
        </row>
        <row r="2313">
          <cell r="D2313" t="str">
            <v>Company's Website</v>
          </cell>
        </row>
        <row r="2314">
          <cell r="D2314" t="str">
            <v>Company's Website</v>
          </cell>
        </row>
        <row r="2315">
          <cell r="D2315">
            <v>0</v>
          </cell>
        </row>
        <row r="2316">
          <cell r="D2316">
            <v>0</v>
          </cell>
        </row>
        <row r="2317">
          <cell r="D2317">
            <v>0</v>
          </cell>
        </row>
        <row r="2318">
          <cell r="D2318" t="str">
            <v>Company's Website</v>
          </cell>
        </row>
        <row r="2319">
          <cell r="D2319" t="str">
            <v>Company's Website</v>
          </cell>
        </row>
        <row r="2320">
          <cell r="D2320" t="str">
            <v>Company's Website</v>
          </cell>
        </row>
        <row r="2321">
          <cell r="D2321" t="str">
            <v>Company's Website</v>
          </cell>
        </row>
        <row r="2322">
          <cell r="D2322">
            <v>0</v>
          </cell>
        </row>
        <row r="2323">
          <cell r="D2323" t="str">
            <v>Company's Website</v>
          </cell>
        </row>
        <row r="2324">
          <cell r="D2324" t="str">
            <v>Company's Website</v>
          </cell>
        </row>
        <row r="2325">
          <cell r="D2325">
            <v>0</v>
          </cell>
        </row>
        <row r="2326">
          <cell r="D2326">
            <v>0</v>
          </cell>
        </row>
        <row r="2327">
          <cell r="D2327">
            <v>0</v>
          </cell>
        </row>
        <row r="2328">
          <cell r="D2328">
            <v>0</v>
          </cell>
        </row>
        <row r="2329">
          <cell r="D2329">
            <v>0</v>
          </cell>
        </row>
        <row r="2330">
          <cell r="D2330">
            <v>0</v>
          </cell>
        </row>
        <row r="2331">
          <cell r="D2331" t="str">
            <v>Company's Website</v>
          </cell>
        </row>
        <row r="2332">
          <cell r="D2332" t="str">
            <v>Company's Website</v>
          </cell>
        </row>
        <row r="2333">
          <cell r="D2333" t="str">
            <v>Company's Website</v>
          </cell>
        </row>
        <row r="2334">
          <cell r="D2334">
            <v>0</v>
          </cell>
        </row>
        <row r="2335">
          <cell r="D2335">
            <v>0</v>
          </cell>
        </row>
        <row r="2336">
          <cell r="D2336" t="str">
            <v>Company's Website</v>
          </cell>
        </row>
        <row r="2337">
          <cell r="D2337" t="str">
            <v>Company's Website</v>
          </cell>
        </row>
        <row r="2338">
          <cell r="D2338">
            <v>0</v>
          </cell>
        </row>
        <row r="2339">
          <cell r="D2339">
            <v>0</v>
          </cell>
        </row>
        <row r="2340">
          <cell r="D2340">
            <v>0</v>
          </cell>
        </row>
        <row r="2341">
          <cell r="D2341" t="str">
            <v>Company's Website</v>
          </cell>
        </row>
        <row r="2342">
          <cell r="D2342">
            <v>0</v>
          </cell>
        </row>
        <row r="2343">
          <cell r="D2343">
            <v>0</v>
          </cell>
        </row>
        <row r="2344">
          <cell r="D2344">
            <v>0</v>
          </cell>
        </row>
        <row r="2345">
          <cell r="D2345" t="str">
            <v>Company's Website</v>
          </cell>
        </row>
        <row r="2346">
          <cell r="D2346" t="str">
            <v>Company's Website</v>
          </cell>
        </row>
        <row r="2347">
          <cell r="D2347" t="str">
            <v>Company's Website</v>
          </cell>
        </row>
        <row r="2348">
          <cell r="D2348">
            <v>0</v>
          </cell>
        </row>
        <row r="2349">
          <cell r="D2349">
            <v>0</v>
          </cell>
        </row>
        <row r="2350">
          <cell r="D2350">
            <v>0</v>
          </cell>
        </row>
        <row r="2351">
          <cell r="D2351" t="str">
            <v>Company's Website</v>
          </cell>
        </row>
        <row r="2352">
          <cell r="D2352">
            <v>0</v>
          </cell>
        </row>
        <row r="2353">
          <cell r="D2353">
            <v>0</v>
          </cell>
        </row>
        <row r="2354">
          <cell r="D2354" t="str">
            <v>Company's Website</v>
          </cell>
        </row>
        <row r="2355">
          <cell r="D2355">
            <v>0</v>
          </cell>
        </row>
        <row r="2356">
          <cell r="D2356" t="str">
            <v>Company's Website</v>
          </cell>
        </row>
        <row r="2357">
          <cell r="D2357" t="str">
            <v>PowerGrid Meeting</v>
          </cell>
        </row>
        <row r="2358">
          <cell r="D2358">
            <v>0</v>
          </cell>
        </row>
        <row r="2359">
          <cell r="D2359" t="str">
            <v>PowerGrid Meeting</v>
          </cell>
        </row>
        <row r="2360">
          <cell r="D2360" t="str">
            <v>Company's Website</v>
          </cell>
        </row>
        <row r="2361">
          <cell r="D2361" t="str">
            <v>PowerGrid Meeting</v>
          </cell>
        </row>
        <row r="2362">
          <cell r="D2362">
            <v>0</v>
          </cell>
        </row>
        <row r="2363">
          <cell r="D2363" t="str">
            <v>Company's Website</v>
          </cell>
        </row>
        <row r="2364">
          <cell r="D2364" t="str">
            <v>Company's Website</v>
          </cell>
        </row>
        <row r="2365">
          <cell r="D2365">
            <v>0</v>
          </cell>
        </row>
        <row r="2366">
          <cell r="D2366">
            <v>0</v>
          </cell>
        </row>
        <row r="2367">
          <cell r="D2367" t="str">
            <v>Company's Website</v>
          </cell>
        </row>
        <row r="2368">
          <cell r="D2368">
            <v>0</v>
          </cell>
        </row>
        <row r="2369">
          <cell r="D2369" t="str">
            <v>Company's Website</v>
          </cell>
        </row>
        <row r="2370">
          <cell r="D2370" t="str">
            <v>CEA Thermal Document</v>
          </cell>
        </row>
        <row r="2371">
          <cell r="D2371" t="str">
            <v>Company's Website</v>
          </cell>
        </row>
        <row r="2372">
          <cell r="D2372">
            <v>0</v>
          </cell>
        </row>
        <row r="2373">
          <cell r="D2373">
            <v>0</v>
          </cell>
        </row>
        <row r="2374">
          <cell r="D2374" t="str">
            <v>PGCIL &amp; Company's Website</v>
          </cell>
        </row>
        <row r="2375">
          <cell r="D2375" t="str">
            <v>PGCIL &amp; Company's Website</v>
          </cell>
        </row>
        <row r="2376">
          <cell r="D2376" t="str">
            <v>PGCIL &amp; Company's Website</v>
          </cell>
        </row>
        <row r="2377">
          <cell r="D2377" t="str">
            <v>Company's Website</v>
          </cell>
        </row>
        <row r="2378">
          <cell r="D2378">
            <v>0</v>
          </cell>
        </row>
        <row r="2379">
          <cell r="D2379" t="str">
            <v>Company's Website</v>
          </cell>
        </row>
        <row r="2380">
          <cell r="D2380">
            <v>0</v>
          </cell>
        </row>
        <row r="2381">
          <cell r="D2381" t="str">
            <v>Company's Website</v>
          </cell>
        </row>
        <row r="2382">
          <cell r="D2382">
            <v>0</v>
          </cell>
        </row>
        <row r="2383">
          <cell r="D2383">
            <v>0</v>
          </cell>
        </row>
        <row r="2384">
          <cell r="D2384">
            <v>0</v>
          </cell>
        </row>
        <row r="2385">
          <cell r="D2385">
            <v>0</v>
          </cell>
        </row>
        <row r="2386">
          <cell r="D2386" t="str">
            <v>Company's Website</v>
          </cell>
        </row>
        <row r="2387">
          <cell r="D2387">
            <v>0</v>
          </cell>
        </row>
        <row r="2388">
          <cell r="D2388">
            <v>0</v>
          </cell>
        </row>
        <row r="2389">
          <cell r="D2389" t="str">
            <v>Company's Website</v>
          </cell>
        </row>
        <row r="2390">
          <cell r="D2390" t="str">
            <v>Company's Website</v>
          </cell>
        </row>
        <row r="2391">
          <cell r="D2391" t="str">
            <v>Company's Website</v>
          </cell>
        </row>
        <row r="2392">
          <cell r="D2392" t="str">
            <v>Company's Website</v>
          </cell>
        </row>
        <row r="2393">
          <cell r="D2393">
            <v>0</v>
          </cell>
        </row>
        <row r="2394">
          <cell r="D2394" t="str">
            <v>Company's Website</v>
          </cell>
        </row>
        <row r="2395">
          <cell r="D2395">
            <v>0</v>
          </cell>
        </row>
        <row r="2396">
          <cell r="D2396">
            <v>0</v>
          </cell>
        </row>
        <row r="2397">
          <cell r="D2397">
            <v>0</v>
          </cell>
        </row>
        <row r="2398">
          <cell r="D2398">
            <v>0</v>
          </cell>
        </row>
        <row r="2399">
          <cell r="D2399">
            <v>0</v>
          </cell>
        </row>
        <row r="2400">
          <cell r="D2400" t="str">
            <v>Company's Website</v>
          </cell>
        </row>
        <row r="2401">
          <cell r="D2401" t="str">
            <v>Company's Website</v>
          </cell>
        </row>
        <row r="2402">
          <cell r="D2402" t="str">
            <v>Company's Website</v>
          </cell>
        </row>
        <row r="2403">
          <cell r="D2403">
            <v>0</v>
          </cell>
        </row>
        <row r="2404">
          <cell r="D2404" t="str">
            <v>Company's Website</v>
          </cell>
        </row>
        <row r="2405">
          <cell r="D2405">
            <v>0</v>
          </cell>
        </row>
        <row r="2406">
          <cell r="D2406" t="str">
            <v>Company's Website</v>
          </cell>
        </row>
        <row r="2407">
          <cell r="D2407" t="str">
            <v>Company's Website</v>
          </cell>
        </row>
        <row r="2408">
          <cell r="D2408">
            <v>0</v>
          </cell>
        </row>
        <row r="2409">
          <cell r="D2409">
            <v>0</v>
          </cell>
        </row>
        <row r="2410">
          <cell r="D2410" t="str">
            <v>Company's Website</v>
          </cell>
        </row>
        <row r="2411">
          <cell r="D2411" t="str">
            <v>Company's Website</v>
          </cell>
        </row>
        <row r="2412">
          <cell r="D2412">
            <v>0</v>
          </cell>
        </row>
        <row r="2413">
          <cell r="D2413" t="str">
            <v>Company's Website</v>
          </cell>
        </row>
        <row r="2414">
          <cell r="D2414" t="str">
            <v>Company's Website</v>
          </cell>
        </row>
        <row r="2415">
          <cell r="D2415" t="str">
            <v>Company's Website</v>
          </cell>
        </row>
        <row r="2416">
          <cell r="D2416">
            <v>0</v>
          </cell>
        </row>
        <row r="2417">
          <cell r="D2417">
            <v>0</v>
          </cell>
        </row>
        <row r="2418">
          <cell r="D2418">
            <v>0</v>
          </cell>
        </row>
        <row r="2419">
          <cell r="D2419" t="str">
            <v>Company's Website</v>
          </cell>
        </row>
        <row r="2420">
          <cell r="D2420">
            <v>0</v>
          </cell>
        </row>
        <row r="2421">
          <cell r="D2421">
            <v>0</v>
          </cell>
        </row>
        <row r="2422">
          <cell r="D2422">
            <v>0</v>
          </cell>
        </row>
        <row r="2423">
          <cell r="D2423">
            <v>0</v>
          </cell>
        </row>
        <row r="2424">
          <cell r="D2424">
            <v>0</v>
          </cell>
        </row>
        <row r="2425">
          <cell r="D2425">
            <v>0</v>
          </cell>
        </row>
        <row r="2426">
          <cell r="D2426">
            <v>0</v>
          </cell>
        </row>
        <row r="2427">
          <cell r="D2427" t="str">
            <v>Company's Website</v>
          </cell>
        </row>
        <row r="2428">
          <cell r="D2428">
            <v>0</v>
          </cell>
        </row>
        <row r="2429">
          <cell r="D2429">
            <v>0</v>
          </cell>
        </row>
        <row r="2430">
          <cell r="D2430">
            <v>0</v>
          </cell>
        </row>
        <row r="2431">
          <cell r="D2431">
            <v>0</v>
          </cell>
        </row>
        <row r="2432">
          <cell r="D2432">
            <v>0</v>
          </cell>
        </row>
        <row r="2433">
          <cell r="D2433">
            <v>0</v>
          </cell>
        </row>
        <row r="2434">
          <cell r="D2434">
            <v>0</v>
          </cell>
        </row>
        <row r="2435">
          <cell r="D2435">
            <v>0</v>
          </cell>
        </row>
        <row r="2436">
          <cell r="D2436" t="str">
            <v>Metis Document</v>
          </cell>
        </row>
        <row r="2437">
          <cell r="D2437" t="str">
            <v>Metis Document</v>
          </cell>
        </row>
        <row r="2438">
          <cell r="D2438" t="str">
            <v>Metis Document</v>
          </cell>
        </row>
        <row r="2439">
          <cell r="D2439" t="str">
            <v>Metis Document</v>
          </cell>
        </row>
        <row r="2440">
          <cell r="D2440" t="str">
            <v>Metis Document</v>
          </cell>
        </row>
        <row r="2441">
          <cell r="D2441" t="str">
            <v>Metis Document</v>
          </cell>
        </row>
        <row r="2442">
          <cell r="D2442" t="str">
            <v>Metis Document</v>
          </cell>
        </row>
        <row r="2443">
          <cell r="D2443" t="str">
            <v>Metis Document</v>
          </cell>
        </row>
        <row r="2444">
          <cell r="D2444" t="str">
            <v>Metis Document</v>
          </cell>
        </row>
        <row r="2445">
          <cell r="D2445" t="str">
            <v>Metis Document</v>
          </cell>
        </row>
        <row r="2446">
          <cell r="D2446" t="str">
            <v>Company's Website</v>
          </cell>
        </row>
        <row r="2447">
          <cell r="D2447" t="str">
            <v>Company's Website</v>
          </cell>
        </row>
        <row r="2448">
          <cell r="D2448" t="str">
            <v>Company's Website</v>
          </cell>
        </row>
        <row r="2449">
          <cell r="D2449" t="str">
            <v>Company's Website</v>
          </cell>
        </row>
        <row r="2450">
          <cell r="D2450" t="str">
            <v>Company's Website</v>
          </cell>
        </row>
        <row r="2451">
          <cell r="D2451">
            <v>0</v>
          </cell>
        </row>
        <row r="2452">
          <cell r="D2452">
            <v>0</v>
          </cell>
        </row>
        <row r="2453">
          <cell r="D2453">
            <v>0</v>
          </cell>
        </row>
        <row r="2454">
          <cell r="D2454">
            <v>0</v>
          </cell>
        </row>
        <row r="2455">
          <cell r="D2455" t="str">
            <v>Company's Website</v>
          </cell>
        </row>
        <row r="2456">
          <cell r="D2456" t="str">
            <v>Company's Website</v>
          </cell>
        </row>
        <row r="2457">
          <cell r="D2457">
            <v>0</v>
          </cell>
        </row>
        <row r="2458">
          <cell r="D2458">
            <v>0</v>
          </cell>
        </row>
        <row r="2459">
          <cell r="D2459" t="str">
            <v>PowerGrid Meeting</v>
          </cell>
        </row>
        <row r="2460">
          <cell r="D2460">
            <v>0</v>
          </cell>
        </row>
        <row r="2461">
          <cell r="D2461" t="str">
            <v>Company's Website</v>
          </cell>
        </row>
        <row r="2462">
          <cell r="D2462">
            <v>0</v>
          </cell>
        </row>
        <row r="2463">
          <cell r="D2463" t="str">
            <v>Company's Website</v>
          </cell>
        </row>
        <row r="2464">
          <cell r="D2464" t="str">
            <v>Company's Website</v>
          </cell>
        </row>
        <row r="2465">
          <cell r="D2465" t="str">
            <v>Company's Website</v>
          </cell>
        </row>
        <row r="2466">
          <cell r="D2466" t="str">
            <v>PowerGrid Meeting</v>
          </cell>
        </row>
        <row r="2467">
          <cell r="D2467">
            <v>0</v>
          </cell>
        </row>
        <row r="2468">
          <cell r="D2468" t="str">
            <v>Company's Website</v>
          </cell>
        </row>
        <row r="2469">
          <cell r="D2469">
            <v>0</v>
          </cell>
        </row>
        <row r="2470">
          <cell r="D2470" t="str">
            <v>Company's Website</v>
          </cell>
        </row>
        <row r="2471">
          <cell r="D2471" t="str">
            <v>Company's Website</v>
          </cell>
        </row>
        <row r="2472">
          <cell r="D2472" t="str">
            <v>Company's Website</v>
          </cell>
        </row>
        <row r="2473">
          <cell r="D2473" t="str">
            <v>Company's Website</v>
          </cell>
        </row>
        <row r="2474">
          <cell r="D2474" t="str">
            <v>Company's Website</v>
          </cell>
        </row>
        <row r="2475">
          <cell r="D2475" t="str">
            <v>Company's Website</v>
          </cell>
        </row>
        <row r="2476">
          <cell r="D2476" t="str">
            <v>Company's Website</v>
          </cell>
        </row>
        <row r="2477">
          <cell r="D2477" t="str">
            <v>PowerGrid Meeting</v>
          </cell>
        </row>
        <row r="2478">
          <cell r="D2478" t="str">
            <v>PowerGrid Meeting</v>
          </cell>
        </row>
        <row r="2479">
          <cell r="D2479" t="str">
            <v>Company's Website</v>
          </cell>
        </row>
        <row r="2480">
          <cell r="D2480" t="str">
            <v>Company's Website</v>
          </cell>
        </row>
        <row r="2481">
          <cell r="D2481">
            <v>0</v>
          </cell>
        </row>
        <row r="2482">
          <cell r="D2482" t="str">
            <v>Company's Website</v>
          </cell>
        </row>
        <row r="2483">
          <cell r="D2483" t="str">
            <v>Company's Website</v>
          </cell>
        </row>
        <row r="2494">
          <cell r="D2494">
            <v>0</v>
          </cell>
        </row>
        <row r="2495">
          <cell r="D2495" t="str">
            <v>Company's Website</v>
          </cell>
        </row>
        <row r="2496">
          <cell r="D2496" t="str">
            <v>Company's Website</v>
          </cell>
        </row>
        <row r="2497">
          <cell r="D2497" t="str">
            <v>Company's Website</v>
          </cell>
        </row>
        <row r="2499">
          <cell r="D2499" t="str">
            <v>Company's Website</v>
          </cell>
        </row>
        <row r="2500">
          <cell r="D2500" t="str">
            <v>Company's Website</v>
          </cell>
        </row>
        <row r="2501">
          <cell r="D2501" t="str">
            <v>Company's Website</v>
          </cell>
        </row>
        <row r="2502">
          <cell r="D2502">
            <v>0</v>
          </cell>
        </row>
        <row r="2503">
          <cell r="D2503">
            <v>0</v>
          </cell>
        </row>
        <row r="2504">
          <cell r="D2504">
            <v>0</v>
          </cell>
        </row>
        <row r="2505">
          <cell r="D2505">
            <v>0</v>
          </cell>
        </row>
        <row r="2506">
          <cell r="D2506">
            <v>0</v>
          </cell>
        </row>
        <row r="2507">
          <cell r="D2507">
            <v>0</v>
          </cell>
        </row>
        <row r="2508">
          <cell r="D2508">
            <v>0</v>
          </cell>
        </row>
        <row r="2509">
          <cell r="D2509">
            <v>0</v>
          </cell>
        </row>
        <row r="2510">
          <cell r="D2510">
            <v>0</v>
          </cell>
        </row>
        <row r="2511">
          <cell r="D2511">
            <v>0</v>
          </cell>
        </row>
        <row r="2512">
          <cell r="D2512">
            <v>0</v>
          </cell>
        </row>
        <row r="2513">
          <cell r="D2513">
            <v>0</v>
          </cell>
        </row>
        <row r="2514">
          <cell r="D2514">
            <v>0</v>
          </cell>
        </row>
        <row r="2515">
          <cell r="D2515">
            <v>0</v>
          </cell>
        </row>
        <row r="2516">
          <cell r="D2516">
            <v>0</v>
          </cell>
        </row>
        <row r="2517">
          <cell r="D2517">
            <v>0</v>
          </cell>
        </row>
        <row r="2518">
          <cell r="D2518">
            <v>0</v>
          </cell>
        </row>
        <row r="2519">
          <cell r="D2519">
            <v>0</v>
          </cell>
        </row>
        <row r="2520">
          <cell r="D2520">
            <v>0</v>
          </cell>
        </row>
        <row r="2521">
          <cell r="D2521">
            <v>0</v>
          </cell>
        </row>
        <row r="2522">
          <cell r="D2522">
            <v>0</v>
          </cell>
        </row>
        <row r="2523">
          <cell r="D2523">
            <v>0</v>
          </cell>
        </row>
        <row r="2524">
          <cell r="D2524">
            <v>0</v>
          </cell>
        </row>
        <row r="2525">
          <cell r="D2525">
            <v>0</v>
          </cell>
        </row>
        <row r="2526">
          <cell r="D2526">
            <v>0</v>
          </cell>
        </row>
        <row r="2527">
          <cell r="D2527">
            <v>0</v>
          </cell>
        </row>
        <row r="2528">
          <cell r="D2528">
            <v>0</v>
          </cell>
        </row>
        <row r="2529">
          <cell r="D2529">
            <v>0</v>
          </cell>
        </row>
        <row r="2530">
          <cell r="D2530">
            <v>0</v>
          </cell>
        </row>
        <row r="2531">
          <cell r="D2531">
            <v>0</v>
          </cell>
        </row>
        <row r="2532">
          <cell r="D2532">
            <v>0</v>
          </cell>
        </row>
        <row r="2533">
          <cell r="D2533">
            <v>0</v>
          </cell>
        </row>
        <row r="2534">
          <cell r="D2534">
            <v>0</v>
          </cell>
        </row>
        <row r="2535">
          <cell r="D2535">
            <v>0</v>
          </cell>
        </row>
        <row r="2536">
          <cell r="D2536">
            <v>0</v>
          </cell>
        </row>
        <row r="2537">
          <cell r="D2537">
            <v>0</v>
          </cell>
        </row>
        <row r="2538">
          <cell r="D2538">
            <v>0</v>
          </cell>
        </row>
        <row r="2539">
          <cell r="D2539">
            <v>0</v>
          </cell>
        </row>
        <row r="2540">
          <cell r="D2540">
            <v>0</v>
          </cell>
        </row>
        <row r="2541">
          <cell r="D2541">
            <v>0</v>
          </cell>
        </row>
        <row r="2542">
          <cell r="D2542">
            <v>0</v>
          </cell>
        </row>
        <row r="2543">
          <cell r="D2543">
            <v>0</v>
          </cell>
        </row>
        <row r="2544">
          <cell r="D2544">
            <v>0</v>
          </cell>
        </row>
        <row r="2545">
          <cell r="D2545">
            <v>0</v>
          </cell>
        </row>
        <row r="2546">
          <cell r="D2546">
            <v>0</v>
          </cell>
        </row>
        <row r="2547">
          <cell r="D2547">
            <v>0</v>
          </cell>
        </row>
        <row r="2548">
          <cell r="D2548">
            <v>0</v>
          </cell>
        </row>
        <row r="2549">
          <cell r="D2549">
            <v>0</v>
          </cell>
        </row>
        <row r="2550">
          <cell r="D2550">
            <v>0</v>
          </cell>
        </row>
        <row r="2551">
          <cell r="D2551">
            <v>0</v>
          </cell>
        </row>
        <row r="2552">
          <cell r="D2552">
            <v>0</v>
          </cell>
        </row>
        <row r="2553">
          <cell r="D2553">
            <v>0</v>
          </cell>
        </row>
        <row r="2554">
          <cell r="D2554">
            <v>0</v>
          </cell>
        </row>
        <row r="2555">
          <cell r="D2555">
            <v>0</v>
          </cell>
        </row>
        <row r="2556">
          <cell r="D2556">
            <v>0</v>
          </cell>
        </row>
        <row r="2557">
          <cell r="D2557">
            <v>0</v>
          </cell>
        </row>
        <row r="2558">
          <cell r="D2558">
            <v>0</v>
          </cell>
        </row>
        <row r="2559">
          <cell r="D2559">
            <v>0</v>
          </cell>
        </row>
        <row r="2560">
          <cell r="D2560">
            <v>0</v>
          </cell>
        </row>
        <row r="2561">
          <cell r="D2561">
            <v>0</v>
          </cell>
        </row>
        <row r="2562">
          <cell r="D2562">
            <v>0</v>
          </cell>
        </row>
        <row r="2563">
          <cell r="D2563">
            <v>0</v>
          </cell>
        </row>
        <row r="2564">
          <cell r="D2564">
            <v>0</v>
          </cell>
        </row>
        <row r="2565">
          <cell r="D2565">
            <v>0</v>
          </cell>
        </row>
        <row r="2566">
          <cell r="D2566">
            <v>0</v>
          </cell>
        </row>
        <row r="2567">
          <cell r="D2567">
            <v>0</v>
          </cell>
        </row>
        <row r="2568">
          <cell r="D2568">
            <v>0</v>
          </cell>
        </row>
        <row r="2569">
          <cell r="D2569">
            <v>0</v>
          </cell>
        </row>
        <row r="2570">
          <cell r="D2570">
            <v>0</v>
          </cell>
        </row>
        <row r="2571">
          <cell r="D2571">
            <v>0</v>
          </cell>
        </row>
        <row r="2572">
          <cell r="D2572">
            <v>0</v>
          </cell>
        </row>
        <row r="2573">
          <cell r="D2573">
            <v>0</v>
          </cell>
        </row>
        <row r="2574">
          <cell r="D2574">
            <v>0</v>
          </cell>
        </row>
        <row r="2575">
          <cell r="D2575">
            <v>0</v>
          </cell>
        </row>
        <row r="2576">
          <cell r="D2576">
            <v>0</v>
          </cell>
        </row>
        <row r="2577">
          <cell r="D2577">
            <v>0</v>
          </cell>
        </row>
        <row r="2578">
          <cell r="D2578">
            <v>0</v>
          </cell>
        </row>
        <row r="2579">
          <cell r="D2579">
            <v>0</v>
          </cell>
        </row>
        <row r="2580">
          <cell r="D2580">
            <v>0</v>
          </cell>
        </row>
        <row r="2581">
          <cell r="D2581">
            <v>0</v>
          </cell>
        </row>
        <row r="2582">
          <cell r="D2582">
            <v>0</v>
          </cell>
        </row>
        <row r="2583">
          <cell r="D2583">
            <v>0</v>
          </cell>
        </row>
        <row r="2584">
          <cell r="D2584">
            <v>0</v>
          </cell>
        </row>
        <row r="2585">
          <cell r="D2585">
            <v>0</v>
          </cell>
        </row>
        <row r="2586">
          <cell r="D2586">
            <v>0</v>
          </cell>
        </row>
        <row r="2587">
          <cell r="D2587">
            <v>0</v>
          </cell>
        </row>
        <row r="2588">
          <cell r="D2588">
            <v>0</v>
          </cell>
        </row>
        <row r="2589">
          <cell r="D2589">
            <v>0</v>
          </cell>
        </row>
        <row r="2590">
          <cell r="D2590">
            <v>0</v>
          </cell>
        </row>
        <row r="2591">
          <cell r="D2591">
            <v>0</v>
          </cell>
        </row>
        <row r="2592">
          <cell r="D2592">
            <v>0</v>
          </cell>
        </row>
        <row r="2593">
          <cell r="D2593">
            <v>0</v>
          </cell>
        </row>
        <row r="2594">
          <cell r="D2594">
            <v>0</v>
          </cell>
        </row>
        <row r="2595">
          <cell r="D2595">
            <v>0</v>
          </cell>
        </row>
        <row r="2596">
          <cell r="D2596">
            <v>0</v>
          </cell>
        </row>
        <row r="2597">
          <cell r="D2597">
            <v>0</v>
          </cell>
        </row>
        <row r="2598">
          <cell r="D2598">
            <v>0</v>
          </cell>
        </row>
        <row r="2599">
          <cell r="D2599">
            <v>0</v>
          </cell>
        </row>
        <row r="2600">
          <cell r="D2600">
            <v>0</v>
          </cell>
        </row>
        <row r="2601">
          <cell r="D2601">
            <v>0</v>
          </cell>
        </row>
        <row r="2602">
          <cell r="D2602">
            <v>0</v>
          </cell>
        </row>
        <row r="2603">
          <cell r="D2603">
            <v>0</v>
          </cell>
        </row>
        <row r="2604">
          <cell r="D2604">
            <v>0</v>
          </cell>
        </row>
        <row r="2605">
          <cell r="D2605">
            <v>0</v>
          </cell>
        </row>
        <row r="2606">
          <cell r="D2606">
            <v>0</v>
          </cell>
        </row>
        <row r="2607">
          <cell r="D2607">
            <v>0</v>
          </cell>
        </row>
        <row r="2608">
          <cell r="D2608">
            <v>0</v>
          </cell>
        </row>
        <row r="2609">
          <cell r="D2609">
            <v>0</v>
          </cell>
        </row>
        <row r="2610">
          <cell r="D2610">
            <v>0</v>
          </cell>
        </row>
        <row r="2611">
          <cell r="D2611">
            <v>0</v>
          </cell>
        </row>
        <row r="2612">
          <cell r="D2612">
            <v>0</v>
          </cell>
        </row>
        <row r="2613">
          <cell r="D2613">
            <v>0</v>
          </cell>
        </row>
        <row r="2614">
          <cell r="D2614">
            <v>0</v>
          </cell>
        </row>
        <row r="2615">
          <cell r="D2615">
            <v>0</v>
          </cell>
        </row>
        <row r="2616">
          <cell r="D2616">
            <v>0</v>
          </cell>
        </row>
        <row r="2617">
          <cell r="D2617">
            <v>0</v>
          </cell>
        </row>
        <row r="2618">
          <cell r="D2618">
            <v>0</v>
          </cell>
        </row>
        <row r="2619">
          <cell r="D2619">
            <v>0</v>
          </cell>
        </row>
        <row r="2620">
          <cell r="D2620">
            <v>0</v>
          </cell>
        </row>
        <row r="2621">
          <cell r="D2621">
            <v>0</v>
          </cell>
        </row>
        <row r="2622">
          <cell r="D2622">
            <v>0</v>
          </cell>
        </row>
        <row r="2623">
          <cell r="D2623">
            <v>0</v>
          </cell>
        </row>
        <row r="2624">
          <cell r="D2624">
            <v>0</v>
          </cell>
        </row>
        <row r="2625">
          <cell r="D2625">
            <v>0</v>
          </cell>
        </row>
        <row r="2626">
          <cell r="D2626">
            <v>0</v>
          </cell>
        </row>
        <row r="2627">
          <cell r="D2627">
            <v>0</v>
          </cell>
        </row>
        <row r="2628">
          <cell r="D2628">
            <v>0</v>
          </cell>
        </row>
        <row r="2629">
          <cell r="D2629">
            <v>0</v>
          </cell>
        </row>
        <row r="2630">
          <cell r="D2630">
            <v>0</v>
          </cell>
        </row>
        <row r="2631">
          <cell r="D2631">
            <v>0</v>
          </cell>
        </row>
        <row r="2632">
          <cell r="D2632">
            <v>0</v>
          </cell>
        </row>
        <row r="2633">
          <cell r="D2633">
            <v>0</v>
          </cell>
        </row>
        <row r="2634">
          <cell r="D2634">
            <v>0</v>
          </cell>
        </row>
        <row r="2635">
          <cell r="D2635">
            <v>0</v>
          </cell>
        </row>
        <row r="2636">
          <cell r="D2636">
            <v>0</v>
          </cell>
        </row>
        <row r="2637">
          <cell r="D2637">
            <v>0</v>
          </cell>
        </row>
        <row r="2638">
          <cell r="D2638">
            <v>0</v>
          </cell>
        </row>
        <row r="2639">
          <cell r="D2639">
            <v>0</v>
          </cell>
        </row>
        <row r="2640">
          <cell r="D2640">
            <v>0</v>
          </cell>
        </row>
        <row r="2641">
          <cell r="D2641">
            <v>0</v>
          </cell>
        </row>
        <row r="2642">
          <cell r="D2642">
            <v>0</v>
          </cell>
        </row>
        <row r="2643">
          <cell r="D2643">
            <v>0</v>
          </cell>
        </row>
        <row r="2644">
          <cell r="D2644">
            <v>0</v>
          </cell>
        </row>
        <row r="2645">
          <cell r="D2645">
            <v>0</v>
          </cell>
        </row>
        <row r="2646">
          <cell r="D2646">
            <v>0</v>
          </cell>
        </row>
        <row r="2647">
          <cell r="D2647">
            <v>0</v>
          </cell>
        </row>
        <row r="2648">
          <cell r="D2648">
            <v>0</v>
          </cell>
        </row>
        <row r="2649">
          <cell r="D2649">
            <v>0</v>
          </cell>
        </row>
        <row r="2650">
          <cell r="D2650">
            <v>0</v>
          </cell>
        </row>
        <row r="2651">
          <cell r="D2651">
            <v>0</v>
          </cell>
        </row>
        <row r="2652">
          <cell r="D2652">
            <v>0</v>
          </cell>
        </row>
        <row r="2653">
          <cell r="D2653">
            <v>0</v>
          </cell>
        </row>
        <row r="2654">
          <cell r="D2654">
            <v>0</v>
          </cell>
        </row>
        <row r="2655">
          <cell r="D2655">
            <v>0</v>
          </cell>
        </row>
        <row r="2656">
          <cell r="D2656">
            <v>0</v>
          </cell>
        </row>
        <row r="2657">
          <cell r="D2657">
            <v>0</v>
          </cell>
        </row>
        <row r="2658">
          <cell r="D2658">
            <v>0</v>
          </cell>
        </row>
        <row r="2659">
          <cell r="D2659">
            <v>0</v>
          </cell>
        </row>
        <row r="2660">
          <cell r="D2660">
            <v>0</v>
          </cell>
        </row>
        <row r="2661">
          <cell r="D2661">
            <v>0</v>
          </cell>
        </row>
        <row r="2662">
          <cell r="D2662">
            <v>0</v>
          </cell>
        </row>
        <row r="2663">
          <cell r="D2663">
            <v>0</v>
          </cell>
        </row>
        <row r="2664">
          <cell r="D2664">
            <v>0</v>
          </cell>
        </row>
        <row r="2665">
          <cell r="D2665">
            <v>0</v>
          </cell>
        </row>
        <row r="2666">
          <cell r="D2666">
            <v>0</v>
          </cell>
        </row>
        <row r="2667">
          <cell r="D2667">
            <v>0</v>
          </cell>
        </row>
        <row r="2668">
          <cell r="D2668">
            <v>0</v>
          </cell>
        </row>
        <row r="2669">
          <cell r="D2669">
            <v>0</v>
          </cell>
        </row>
        <row r="2670">
          <cell r="D2670">
            <v>0</v>
          </cell>
        </row>
        <row r="2671">
          <cell r="D2671">
            <v>0</v>
          </cell>
        </row>
        <row r="2672">
          <cell r="D2672">
            <v>0</v>
          </cell>
        </row>
        <row r="2673">
          <cell r="D2673">
            <v>0</v>
          </cell>
        </row>
        <row r="2674">
          <cell r="D2674">
            <v>0</v>
          </cell>
        </row>
        <row r="2675">
          <cell r="D2675">
            <v>0</v>
          </cell>
        </row>
        <row r="2676">
          <cell r="D2676">
            <v>0</v>
          </cell>
        </row>
        <row r="2677">
          <cell r="D2677">
            <v>0</v>
          </cell>
        </row>
        <row r="2678">
          <cell r="D2678">
            <v>0</v>
          </cell>
        </row>
        <row r="2679">
          <cell r="D2679">
            <v>0</v>
          </cell>
        </row>
        <row r="2680">
          <cell r="D2680">
            <v>0</v>
          </cell>
        </row>
        <row r="2681">
          <cell r="D2681">
            <v>0</v>
          </cell>
        </row>
        <row r="2682">
          <cell r="D2682">
            <v>0</v>
          </cell>
        </row>
        <row r="2683">
          <cell r="D2683">
            <v>0</v>
          </cell>
        </row>
        <row r="2684">
          <cell r="D2684">
            <v>0</v>
          </cell>
        </row>
        <row r="2685">
          <cell r="D2685">
            <v>0</v>
          </cell>
        </row>
        <row r="2686">
          <cell r="D2686">
            <v>0</v>
          </cell>
        </row>
        <row r="2687">
          <cell r="D2687">
            <v>0</v>
          </cell>
        </row>
        <row r="2688">
          <cell r="D2688">
            <v>0</v>
          </cell>
        </row>
        <row r="2689">
          <cell r="D2689">
            <v>0</v>
          </cell>
        </row>
        <row r="2690">
          <cell r="D2690">
            <v>0</v>
          </cell>
        </row>
        <row r="2691">
          <cell r="D2691">
            <v>0</v>
          </cell>
        </row>
        <row r="2692">
          <cell r="D2692">
            <v>0</v>
          </cell>
        </row>
        <row r="2693">
          <cell r="D2693">
            <v>0</v>
          </cell>
        </row>
        <row r="2694">
          <cell r="D2694">
            <v>0</v>
          </cell>
        </row>
        <row r="2695">
          <cell r="D2695">
            <v>0</v>
          </cell>
        </row>
        <row r="2696">
          <cell r="D2696">
            <v>0</v>
          </cell>
        </row>
        <row r="2697">
          <cell r="D2697">
            <v>0</v>
          </cell>
        </row>
        <row r="2698">
          <cell r="D2698">
            <v>0</v>
          </cell>
        </row>
        <row r="2699">
          <cell r="D2699">
            <v>0</v>
          </cell>
        </row>
        <row r="2700">
          <cell r="D2700">
            <v>0</v>
          </cell>
        </row>
        <row r="2701">
          <cell r="D2701">
            <v>0</v>
          </cell>
        </row>
        <row r="2702">
          <cell r="D2702">
            <v>0</v>
          </cell>
        </row>
        <row r="2703">
          <cell r="D2703">
            <v>0</v>
          </cell>
        </row>
        <row r="2704">
          <cell r="D2704">
            <v>0</v>
          </cell>
        </row>
        <row r="2705">
          <cell r="D2705">
            <v>0</v>
          </cell>
        </row>
        <row r="2706">
          <cell r="D2706">
            <v>0</v>
          </cell>
        </row>
        <row r="2707">
          <cell r="D2707">
            <v>0</v>
          </cell>
        </row>
        <row r="2708">
          <cell r="D2708">
            <v>0</v>
          </cell>
        </row>
        <row r="2709">
          <cell r="D2709">
            <v>0</v>
          </cell>
        </row>
        <row r="2710">
          <cell r="D2710">
            <v>0</v>
          </cell>
        </row>
        <row r="2711">
          <cell r="D2711">
            <v>0</v>
          </cell>
        </row>
        <row r="2712">
          <cell r="D2712">
            <v>0</v>
          </cell>
        </row>
        <row r="2713">
          <cell r="D2713">
            <v>0</v>
          </cell>
        </row>
        <row r="2714">
          <cell r="D2714">
            <v>0</v>
          </cell>
        </row>
        <row r="2715">
          <cell r="D2715">
            <v>0</v>
          </cell>
        </row>
        <row r="2716">
          <cell r="D2716">
            <v>0</v>
          </cell>
        </row>
        <row r="2717">
          <cell r="D2717">
            <v>0</v>
          </cell>
        </row>
        <row r="2718">
          <cell r="D2718">
            <v>0</v>
          </cell>
        </row>
        <row r="2719">
          <cell r="D2719">
            <v>0</v>
          </cell>
        </row>
        <row r="2720">
          <cell r="D2720">
            <v>0</v>
          </cell>
        </row>
        <row r="2721">
          <cell r="D2721">
            <v>0</v>
          </cell>
        </row>
        <row r="2722">
          <cell r="D2722">
            <v>0</v>
          </cell>
        </row>
        <row r="2723">
          <cell r="D2723">
            <v>0</v>
          </cell>
        </row>
        <row r="2724">
          <cell r="D2724">
            <v>0</v>
          </cell>
        </row>
        <row r="2725">
          <cell r="D2725">
            <v>0</v>
          </cell>
        </row>
        <row r="2726">
          <cell r="D2726">
            <v>0</v>
          </cell>
        </row>
        <row r="2727">
          <cell r="D2727">
            <v>0</v>
          </cell>
        </row>
        <row r="2728">
          <cell r="D2728">
            <v>0</v>
          </cell>
        </row>
        <row r="2729">
          <cell r="D2729">
            <v>0</v>
          </cell>
        </row>
        <row r="2730">
          <cell r="D2730">
            <v>0</v>
          </cell>
        </row>
        <row r="2731">
          <cell r="D2731">
            <v>0</v>
          </cell>
        </row>
        <row r="2732">
          <cell r="D2732">
            <v>0</v>
          </cell>
        </row>
        <row r="2733">
          <cell r="D2733">
            <v>0</v>
          </cell>
        </row>
        <row r="2734">
          <cell r="D2734">
            <v>0</v>
          </cell>
        </row>
        <row r="2735">
          <cell r="D2735">
            <v>0</v>
          </cell>
        </row>
        <row r="2736">
          <cell r="D2736">
            <v>0</v>
          </cell>
        </row>
        <row r="2737">
          <cell r="D2737">
            <v>0</v>
          </cell>
        </row>
        <row r="2738">
          <cell r="D2738">
            <v>0</v>
          </cell>
        </row>
        <row r="2739">
          <cell r="D2739">
            <v>0</v>
          </cell>
        </row>
        <row r="2740">
          <cell r="D2740">
            <v>0</v>
          </cell>
        </row>
        <row r="2741">
          <cell r="D2741">
            <v>0</v>
          </cell>
        </row>
        <row r="2742">
          <cell r="D2742">
            <v>0</v>
          </cell>
        </row>
        <row r="2743">
          <cell r="D2743">
            <v>0</v>
          </cell>
        </row>
        <row r="2744">
          <cell r="D2744">
            <v>0</v>
          </cell>
        </row>
        <row r="2745">
          <cell r="D2745">
            <v>0</v>
          </cell>
        </row>
        <row r="2746">
          <cell r="D2746">
            <v>0</v>
          </cell>
        </row>
        <row r="2747">
          <cell r="D2747">
            <v>0</v>
          </cell>
        </row>
        <row r="2748">
          <cell r="D2748">
            <v>0</v>
          </cell>
        </row>
        <row r="2749">
          <cell r="D2749">
            <v>0</v>
          </cell>
        </row>
        <row r="2750">
          <cell r="D2750">
            <v>0</v>
          </cell>
        </row>
        <row r="2751">
          <cell r="D2751">
            <v>0</v>
          </cell>
        </row>
        <row r="2752">
          <cell r="D2752">
            <v>0</v>
          </cell>
        </row>
        <row r="2753">
          <cell r="D2753">
            <v>0</v>
          </cell>
        </row>
        <row r="2754">
          <cell r="D2754">
            <v>0</v>
          </cell>
        </row>
        <row r="2755">
          <cell r="D2755">
            <v>0</v>
          </cell>
        </row>
        <row r="2756">
          <cell r="D2756">
            <v>0</v>
          </cell>
        </row>
        <row r="2757">
          <cell r="D2757">
            <v>0</v>
          </cell>
        </row>
        <row r="2758">
          <cell r="D2758">
            <v>0</v>
          </cell>
        </row>
        <row r="2759">
          <cell r="D2759">
            <v>0</v>
          </cell>
        </row>
        <row r="2760">
          <cell r="D2760">
            <v>0</v>
          </cell>
        </row>
        <row r="2761">
          <cell r="D2761">
            <v>0</v>
          </cell>
        </row>
        <row r="2762">
          <cell r="D2762">
            <v>0</v>
          </cell>
        </row>
        <row r="2763">
          <cell r="D2763">
            <v>0</v>
          </cell>
        </row>
        <row r="2764">
          <cell r="D2764">
            <v>0</v>
          </cell>
        </row>
        <row r="2765">
          <cell r="D2765">
            <v>0</v>
          </cell>
        </row>
        <row r="2766">
          <cell r="D2766">
            <v>0</v>
          </cell>
        </row>
        <row r="2767">
          <cell r="D2767">
            <v>0</v>
          </cell>
        </row>
        <row r="2768">
          <cell r="D2768">
            <v>0</v>
          </cell>
        </row>
        <row r="2769">
          <cell r="D2769">
            <v>0</v>
          </cell>
        </row>
        <row r="2770">
          <cell r="D2770">
            <v>0</v>
          </cell>
        </row>
        <row r="2771">
          <cell r="D2771">
            <v>0</v>
          </cell>
        </row>
        <row r="2772">
          <cell r="D2772">
            <v>0</v>
          </cell>
        </row>
        <row r="2773">
          <cell r="D2773">
            <v>0</v>
          </cell>
        </row>
        <row r="2774">
          <cell r="D2774">
            <v>0</v>
          </cell>
        </row>
        <row r="2775">
          <cell r="D2775">
            <v>0</v>
          </cell>
        </row>
        <row r="2776">
          <cell r="D2776">
            <v>0</v>
          </cell>
        </row>
        <row r="2777">
          <cell r="D2777">
            <v>0</v>
          </cell>
        </row>
        <row r="2778">
          <cell r="D2778">
            <v>0</v>
          </cell>
        </row>
        <row r="2779">
          <cell r="D2779">
            <v>0</v>
          </cell>
        </row>
        <row r="2780">
          <cell r="D2780">
            <v>0</v>
          </cell>
        </row>
        <row r="2781">
          <cell r="D2781">
            <v>0</v>
          </cell>
        </row>
        <row r="2782">
          <cell r="D2782">
            <v>0</v>
          </cell>
        </row>
        <row r="2783">
          <cell r="D2783">
            <v>0</v>
          </cell>
        </row>
        <row r="2784">
          <cell r="D2784">
            <v>0</v>
          </cell>
        </row>
        <row r="2785">
          <cell r="D2785">
            <v>0</v>
          </cell>
        </row>
        <row r="2786">
          <cell r="D2786">
            <v>0</v>
          </cell>
        </row>
        <row r="2787">
          <cell r="D2787">
            <v>0</v>
          </cell>
        </row>
        <row r="2788">
          <cell r="D2788">
            <v>0</v>
          </cell>
        </row>
        <row r="2789">
          <cell r="D2789">
            <v>0</v>
          </cell>
        </row>
        <row r="2790">
          <cell r="D2790">
            <v>0</v>
          </cell>
        </row>
        <row r="2791">
          <cell r="D2791">
            <v>0</v>
          </cell>
        </row>
        <row r="2792">
          <cell r="D2792">
            <v>0</v>
          </cell>
        </row>
        <row r="2793">
          <cell r="D2793">
            <v>0</v>
          </cell>
        </row>
        <row r="2794">
          <cell r="D2794">
            <v>0</v>
          </cell>
        </row>
        <row r="2795">
          <cell r="D2795">
            <v>0</v>
          </cell>
        </row>
        <row r="2796">
          <cell r="D2796">
            <v>0</v>
          </cell>
        </row>
        <row r="2797">
          <cell r="D2797">
            <v>0</v>
          </cell>
        </row>
        <row r="2798">
          <cell r="D2798">
            <v>0</v>
          </cell>
        </row>
        <row r="2799">
          <cell r="D2799">
            <v>0</v>
          </cell>
        </row>
        <row r="2800">
          <cell r="D2800">
            <v>0</v>
          </cell>
        </row>
        <row r="2801">
          <cell r="D2801">
            <v>0</v>
          </cell>
        </row>
        <row r="2802">
          <cell r="D2802">
            <v>0</v>
          </cell>
        </row>
        <row r="2803">
          <cell r="D2803">
            <v>0</v>
          </cell>
        </row>
        <row r="2804">
          <cell r="D2804">
            <v>0</v>
          </cell>
        </row>
        <row r="2805">
          <cell r="D2805">
            <v>0</v>
          </cell>
        </row>
        <row r="2806">
          <cell r="D2806">
            <v>0</v>
          </cell>
        </row>
        <row r="2807">
          <cell r="D2807">
            <v>0</v>
          </cell>
        </row>
        <row r="2808">
          <cell r="D2808">
            <v>0</v>
          </cell>
        </row>
        <row r="2809">
          <cell r="D2809">
            <v>0</v>
          </cell>
        </row>
        <row r="2810">
          <cell r="D2810">
            <v>0</v>
          </cell>
        </row>
        <row r="2811">
          <cell r="D2811">
            <v>0</v>
          </cell>
        </row>
        <row r="2812">
          <cell r="D2812">
            <v>0</v>
          </cell>
        </row>
        <row r="2813">
          <cell r="D2813">
            <v>0</v>
          </cell>
        </row>
        <row r="2814">
          <cell r="D2814">
            <v>0</v>
          </cell>
        </row>
        <row r="2815">
          <cell r="D2815">
            <v>0</v>
          </cell>
        </row>
        <row r="2816">
          <cell r="D2816">
            <v>0</v>
          </cell>
        </row>
        <row r="2817">
          <cell r="D2817">
            <v>0</v>
          </cell>
        </row>
        <row r="2818">
          <cell r="D2818">
            <v>0</v>
          </cell>
        </row>
        <row r="2819">
          <cell r="D2819">
            <v>0</v>
          </cell>
        </row>
        <row r="2820">
          <cell r="D2820">
            <v>0</v>
          </cell>
        </row>
        <row r="2821">
          <cell r="D2821">
            <v>0</v>
          </cell>
        </row>
        <row r="2822">
          <cell r="D2822">
            <v>0</v>
          </cell>
        </row>
        <row r="2823">
          <cell r="D2823">
            <v>0</v>
          </cell>
        </row>
        <row r="2824">
          <cell r="D2824">
            <v>0</v>
          </cell>
        </row>
        <row r="2825">
          <cell r="D2825">
            <v>0</v>
          </cell>
        </row>
        <row r="2826">
          <cell r="D2826">
            <v>0</v>
          </cell>
        </row>
        <row r="2827">
          <cell r="D2827">
            <v>0</v>
          </cell>
        </row>
        <row r="2828">
          <cell r="D2828">
            <v>0</v>
          </cell>
        </row>
        <row r="2829">
          <cell r="D2829">
            <v>0</v>
          </cell>
        </row>
        <row r="2830">
          <cell r="D2830">
            <v>0</v>
          </cell>
        </row>
        <row r="2831">
          <cell r="D2831">
            <v>0</v>
          </cell>
        </row>
        <row r="2832">
          <cell r="D2832">
            <v>0</v>
          </cell>
        </row>
        <row r="2833">
          <cell r="D2833">
            <v>0</v>
          </cell>
        </row>
        <row r="2834">
          <cell r="D2834">
            <v>0</v>
          </cell>
        </row>
        <row r="2835">
          <cell r="D2835">
            <v>0</v>
          </cell>
        </row>
        <row r="2836">
          <cell r="D2836">
            <v>0</v>
          </cell>
        </row>
        <row r="2837">
          <cell r="D2837">
            <v>0</v>
          </cell>
        </row>
        <row r="2838">
          <cell r="D2838">
            <v>0</v>
          </cell>
        </row>
        <row r="2839">
          <cell r="D2839">
            <v>0</v>
          </cell>
        </row>
        <row r="2840">
          <cell r="D2840">
            <v>0</v>
          </cell>
        </row>
        <row r="2841">
          <cell r="D2841">
            <v>0</v>
          </cell>
        </row>
        <row r="2842">
          <cell r="D2842">
            <v>0</v>
          </cell>
        </row>
        <row r="2843">
          <cell r="D2843">
            <v>0</v>
          </cell>
        </row>
        <row r="2844">
          <cell r="D2844">
            <v>0</v>
          </cell>
        </row>
        <row r="2845">
          <cell r="D2845">
            <v>0</v>
          </cell>
        </row>
        <row r="2846">
          <cell r="D2846">
            <v>0</v>
          </cell>
        </row>
        <row r="2847">
          <cell r="D2847">
            <v>0</v>
          </cell>
        </row>
        <row r="2848">
          <cell r="D2848">
            <v>0</v>
          </cell>
        </row>
        <row r="2849">
          <cell r="D2849">
            <v>0</v>
          </cell>
        </row>
        <row r="2850">
          <cell r="D2850">
            <v>0</v>
          </cell>
        </row>
        <row r="2851">
          <cell r="D2851">
            <v>0</v>
          </cell>
        </row>
        <row r="2852">
          <cell r="D2852">
            <v>0</v>
          </cell>
        </row>
        <row r="2853">
          <cell r="D2853">
            <v>0</v>
          </cell>
        </row>
        <row r="2854">
          <cell r="D2854">
            <v>0</v>
          </cell>
        </row>
        <row r="2855">
          <cell r="D2855">
            <v>0</v>
          </cell>
        </row>
        <row r="2856">
          <cell r="D2856">
            <v>0</v>
          </cell>
        </row>
        <row r="2857">
          <cell r="D2857">
            <v>0</v>
          </cell>
        </row>
        <row r="2858">
          <cell r="D2858">
            <v>0</v>
          </cell>
        </row>
        <row r="2859">
          <cell r="D2859">
            <v>0</v>
          </cell>
        </row>
        <row r="2860">
          <cell r="D2860">
            <v>0</v>
          </cell>
        </row>
        <row r="2861">
          <cell r="D2861">
            <v>0</v>
          </cell>
        </row>
        <row r="2862">
          <cell r="D2862">
            <v>0</v>
          </cell>
        </row>
        <row r="2863">
          <cell r="D2863">
            <v>0</v>
          </cell>
        </row>
        <row r="2864">
          <cell r="D2864">
            <v>0</v>
          </cell>
        </row>
        <row r="2865">
          <cell r="D2865">
            <v>0</v>
          </cell>
        </row>
        <row r="2866">
          <cell r="D2866">
            <v>0</v>
          </cell>
        </row>
        <row r="2867">
          <cell r="D2867">
            <v>0</v>
          </cell>
        </row>
        <row r="2868">
          <cell r="D2868">
            <v>0</v>
          </cell>
        </row>
        <row r="2869">
          <cell r="D2869">
            <v>0</v>
          </cell>
        </row>
        <row r="2870">
          <cell r="D2870">
            <v>0</v>
          </cell>
        </row>
        <row r="2871">
          <cell r="D2871">
            <v>0</v>
          </cell>
        </row>
        <row r="2872">
          <cell r="D2872">
            <v>0</v>
          </cell>
        </row>
        <row r="2873">
          <cell r="D2873">
            <v>0</v>
          </cell>
        </row>
        <row r="2874">
          <cell r="D2874">
            <v>0</v>
          </cell>
        </row>
        <row r="2875">
          <cell r="D2875">
            <v>0</v>
          </cell>
        </row>
        <row r="2876">
          <cell r="D2876">
            <v>0</v>
          </cell>
        </row>
        <row r="2877">
          <cell r="D2877">
            <v>0</v>
          </cell>
        </row>
        <row r="2878">
          <cell r="D2878">
            <v>0</v>
          </cell>
        </row>
        <row r="2879">
          <cell r="D2879">
            <v>0</v>
          </cell>
        </row>
        <row r="2880">
          <cell r="D2880">
            <v>0</v>
          </cell>
        </row>
        <row r="2881">
          <cell r="D2881">
            <v>0</v>
          </cell>
        </row>
        <row r="2882">
          <cell r="D2882">
            <v>0</v>
          </cell>
        </row>
        <row r="2883">
          <cell r="D2883">
            <v>0</v>
          </cell>
        </row>
        <row r="2884">
          <cell r="D2884">
            <v>0</v>
          </cell>
        </row>
        <row r="2885">
          <cell r="D2885">
            <v>0</v>
          </cell>
        </row>
        <row r="2886">
          <cell r="D2886">
            <v>0</v>
          </cell>
        </row>
        <row r="2887">
          <cell r="D2887">
            <v>0</v>
          </cell>
        </row>
        <row r="2888">
          <cell r="D2888">
            <v>0</v>
          </cell>
        </row>
        <row r="2889">
          <cell r="D2889">
            <v>0</v>
          </cell>
        </row>
        <row r="2890">
          <cell r="D2890">
            <v>0</v>
          </cell>
        </row>
        <row r="2891">
          <cell r="D2891">
            <v>0</v>
          </cell>
        </row>
        <row r="2892">
          <cell r="D2892">
            <v>0</v>
          </cell>
        </row>
        <row r="2893">
          <cell r="D2893">
            <v>0</v>
          </cell>
        </row>
        <row r="2894">
          <cell r="D2894">
            <v>0</v>
          </cell>
        </row>
        <row r="2895">
          <cell r="D2895">
            <v>0</v>
          </cell>
        </row>
        <row r="2896">
          <cell r="D2896">
            <v>0</v>
          </cell>
        </row>
        <row r="2897">
          <cell r="D2897">
            <v>0</v>
          </cell>
        </row>
        <row r="2898">
          <cell r="D2898">
            <v>0</v>
          </cell>
        </row>
        <row r="2899">
          <cell r="D2899">
            <v>0</v>
          </cell>
        </row>
        <row r="2900">
          <cell r="D2900">
            <v>0</v>
          </cell>
        </row>
        <row r="2901">
          <cell r="D2901">
            <v>0</v>
          </cell>
        </row>
        <row r="2902">
          <cell r="D2902">
            <v>0</v>
          </cell>
        </row>
        <row r="2903">
          <cell r="D2903">
            <v>0</v>
          </cell>
        </row>
        <row r="2904">
          <cell r="D2904">
            <v>0</v>
          </cell>
        </row>
        <row r="2905">
          <cell r="D2905">
            <v>0</v>
          </cell>
        </row>
        <row r="2906">
          <cell r="D2906">
            <v>0</v>
          </cell>
        </row>
        <row r="2907">
          <cell r="D2907">
            <v>0</v>
          </cell>
        </row>
        <row r="2908">
          <cell r="D2908">
            <v>0</v>
          </cell>
        </row>
        <row r="2909">
          <cell r="D2909">
            <v>0</v>
          </cell>
        </row>
        <row r="2910">
          <cell r="D2910">
            <v>0</v>
          </cell>
        </row>
        <row r="2911">
          <cell r="D2911">
            <v>0</v>
          </cell>
        </row>
        <row r="2912">
          <cell r="D2912">
            <v>0</v>
          </cell>
        </row>
        <row r="2913">
          <cell r="D2913">
            <v>0</v>
          </cell>
        </row>
        <row r="2914">
          <cell r="D2914">
            <v>0</v>
          </cell>
        </row>
        <row r="2915">
          <cell r="D2915">
            <v>0</v>
          </cell>
        </row>
        <row r="2916">
          <cell r="D2916">
            <v>0</v>
          </cell>
        </row>
        <row r="2917">
          <cell r="D2917">
            <v>0</v>
          </cell>
        </row>
        <row r="2918">
          <cell r="D2918">
            <v>0</v>
          </cell>
        </row>
        <row r="2919">
          <cell r="D2919">
            <v>0</v>
          </cell>
        </row>
        <row r="2920">
          <cell r="D2920">
            <v>0</v>
          </cell>
        </row>
        <row r="2921">
          <cell r="D2921">
            <v>0</v>
          </cell>
        </row>
        <row r="2922">
          <cell r="D2922">
            <v>0</v>
          </cell>
        </row>
        <row r="2923">
          <cell r="D2923">
            <v>0</v>
          </cell>
        </row>
        <row r="2924">
          <cell r="D2924">
            <v>0</v>
          </cell>
        </row>
        <row r="2925">
          <cell r="D2925">
            <v>0</v>
          </cell>
        </row>
        <row r="2926">
          <cell r="D2926">
            <v>0</v>
          </cell>
        </row>
        <row r="2927">
          <cell r="D2927">
            <v>0</v>
          </cell>
        </row>
        <row r="2928">
          <cell r="D2928">
            <v>0</v>
          </cell>
        </row>
        <row r="2929">
          <cell r="D2929">
            <v>0</v>
          </cell>
        </row>
        <row r="2930">
          <cell r="D2930">
            <v>0</v>
          </cell>
        </row>
        <row r="2931">
          <cell r="D2931">
            <v>0</v>
          </cell>
        </row>
        <row r="2932">
          <cell r="D2932">
            <v>0</v>
          </cell>
        </row>
        <row r="2933">
          <cell r="D2933">
            <v>0</v>
          </cell>
        </row>
        <row r="2934">
          <cell r="D2934">
            <v>0</v>
          </cell>
        </row>
        <row r="2935">
          <cell r="D2935">
            <v>0</v>
          </cell>
        </row>
        <row r="2936">
          <cell r="D2936">
            <v>0</v>
          </cell>
        </row>
        <row r="2937">
          <cell r="D2937">
            <v>0</v>
          </cell>
        </row>
        <row r="2938">
          <cell r="D2938">
            <v>0</v>
          </cell>
        </row>
        <row r="2939">
          <cell r="D2939">
            <v>0</v>
          </cell>
        </row>
        <row r="2940">
          <cell r="D2940">
            <v>0</v>
          </cell>
        </row>
        <row r="2941">
          <cell r="D2941">
            <v>0</v>
          </cell>
        </row>
        <row r="2942">
          <cell r="D2942">
            <v>0</v>
          </cell>
        </row>
        <row r="2943">
          <cell r="D2943">
            <v>0</v>
          </cell>
        </row>
        <row r="2944">
          <cell r="D2944">
            <v>0</v>
          </cell>
        </row>
        <row r="2945">
          <cell r="D2945">
            <v>0</v>
          </cell>
        </row>
        <row r="2946">
          <cell r="D2946">
            <v>0</v>
          </cell>
        </row>
        <row r="2947">
          <cell r="D2947">
            <v>0</v>
          </cell>
        </row>
        <row r="2948">
          <cell r="D2948">
            <v>0</v>
          </cell>
        </row>
        <row r="2949">
          <cell r="D2949">
            <v>0</v>
          </cell>
        </row>
        <row r="2950">
          <cell r="D2950">
            <v>0</v>
          </cell>
        </row>
        <row r="2951">
          <cell r="D2951">
            <v>0</v>
          </cell>
        </row>
        <row r="2952">
          <cell r="D2952">
            <v>0</v>
          </cell>
        </row>
        <row r="2953">
          <cell r="D2953">
            <v>0</v>
          </cell>
        </row>
        <row r="2954">
          <cell r="D2954">
            <v>0</v>
          </cell>
        </row>
        <row r="2955">
          <cell r="D2955">
            <v>0</v>
          </cell>
        </row>
        <row r="2956">
          <cell r="D2956">
            <v>0</v>
          </cell>
        </row>
        <row r="2957">
          <cell r="D2957">
            <v>0</v>
          </cell>
        </row>
        <row r="2958">
          <cell r="D2958">
            <v>0</v>
          </cell>
        </row>
        <row r="2959">
          <cell r="D2959">
            <v>0</v>
          </cell>
        </row>
        <row r="2960">
          <cell r="D2960">
            <v>0</v>
          </cell>
        </row>
        <row r="2961">
          <cell r="D2961">
            <v>0</v>
          </cell>
        </row>
        <row r="2962">
          <cell r="D2962">
            <v>0</v>
          </cell>
        </row>
        <row r="2963">
          <cell r="D2963">
            <v>0</v>
          </cell>
        </row>
        <row r="2964">
          <cell r="D2964">
            <v>0</v>
          </cell>
        </row>
        <row r="2965">
          <cell r="D2965">
            <v>0</v>
          </cell>
        </row>
        <row r="2966">
          <cell r="D2966">
            <v>0</v>
          </cell>
        </row>
        <row r="2967">
          <cell r="D2967">
            <v>0</v>
          </cell>
        </row>
        <row r="2968">
          <cell r="D2968">
            <v>0</v>
          </cell>
        </row>
        <row r="2969">
          <cell r="D2969">
            <v>0</v>
          </cell>
        </row>
        <row r="2970">
          <cell r="D2970">
            <v>0</v>
          </cell>
        </row>
        <row r="2971">
          <cell r="D2971">
            <v>0</v>
          </cell>
        </row>
        <row r="2972">
          <cell r="D2972">
            <v>0</v>
          </cell>
        </row>
        <row r="2973">
          <cell r="D2973">
            <v>0</v>
          </cell>
        </row>
        <row r="2974">
          <cell r="D2974">
            <v>0</v>
          </cell>
        </row>
        <row r="2975">
          <cell r="D2975">
            <v>0</v>
          </cell>
        </row>
        <row r="2976">
          <cell r="D2976">
            <v>0</v>
          </cell>
        </row>
        <row r="2977">
          <cell r="D2977">
            <v>0</v>
          </cell>
        </row>
        <row r="2978">
          <cell r="D2978">
            <v>0</v>
          </cell>
        </row>
        <row r="2979">
          <cell r="D2979">
            <v>0</v>
          </cell>
        </row>
        <row r="2980">
          <cell r="D2980">
            <v>0</v>
          </cell>
        </row>
        <row r="2981">
          <cell r="D2981">
            <v>0</v>
          </cell>
        </row>
        <row r="2982">
          <cell r="D2982">
            <v>0</v>
          </cell>
        </row>
        <row r="2983">
          <cell r="D2983">
            <v>0</v>
          </cell>
        </row>
        <row r="2984">
          <cell r="D2984">
            <v>0</v>
          </cell>
        </row>
        <row r="2985">
          <cell r="D2985">
            <v>0</v>
          </cell>
        </row>
        <row r="2986">
          <cell r="D2986">
            <v>0</v>
          </cell>
        </row>
        <row r="2987">
          <cell r="D2987">
            <v>0</v>
          </cell>
        </row>
        <row r="2988">
          <cell r="D2988">
            <v>0</v>
          </cell>
        </row>
        <row r="2989">
          <cell r="D2989">
            <v>0</v>
          </cell>
        </row>
        <row r="2990">
          <cell r="D2990">
            <v>0</v>
          </cell>
        </row>
        <row r="2991">
          <cell r="D2991">
            <v>0</v>
          </cell>
        </row>
        <row r="2992">
          <cell r="D2992">
            <v>0</v>
          </cell>
        </row>
        <row r="2993">
          <cell r="D2993">
            <v>0</v>
          </cell>
        </row>
        <row r="2994">
          <cell r="D2994">
            <v>0</v>
          </cell>
        </row>
        <row r="2995">
          <cell r="D2995">
            <v>0</v>
          </cell>
        </row>
        <row r="2996">
          <cell r="D2996">
            <v>0</v>
          </cell>
        </row>
        <row r="2997">
          <cell r="D2997">
            <v>0</v>
          </cell>
        </row>
        <row r="2998">
          <cell r="D2998">
            <v>0</v>
          </cell>
        </row>
        <row r="2999">
          <cell r="D2999">
            <v>0</v>
          </cell>
        </row>
        <row r="3000">
          <cell r="D3000">
            <v>0</v>
          </cell>
        </row>
        <row r="3001">
          <cell r="D3001">
            <v>0</v>
          </cell>
        </row>
        <row r="3002">
          <cell r="D3002">
            <v>0</v>
          </cell>
        </row>
        <row r="3003">
          <cell r="D3003">
            <v>0</v>
          </cell>
        </row>
        <row r="3004">
          <cell r="D3004">
            <v>0</v>
          </cell>
        </row>
        <row r="3005">
          <cell r="D3005">
            <v>0</v>
          </cell>
        </row>
        <row r="3006">
          <cell r="D3006">
            <v>0</v>
          </cell>
        </row>
        <row r="3007">
          <cell r="D3007">
            <v>0</v>
          </cell>
        </row>
        <row r="3008">
          <cell r="D3008">
            <v>0</v>
          </cell>
        </row>
        <row r="3009">
          <cell r="D3009">
            <v>0</v>
          </cell>
        </row>
        <row r="3010">
          <cell r="D3010">
            <v>0</v>
          </cell>
        </row>
        <row r="3011">
          <cell r="D3011">
            <v>0</v>
          </cell>
        </row>
        <row r="3012">
          <cell r="D3012">
            <v>0</v>
          </cell>
        </row>
        <row r="3013">
          <cell r="D3013">
            <v>0</v>
          </cell>
        </row>
        <row r="3014">
          <cell r="D3014">
            <v>0</v>
          </cell>
        </row>
        <row r="3015">
          <cell r="D3015">
            <v>0</v>
          </cell>
        </row>
        <row r="3016">
          <cell r="D3016">
            <v>0</v>
          </cell>
        </row>
        <row r="3017">
          <cell r="D3017">
            <v>0</v>
          </cell>
        </row>
        <row r="3018">
          <cell r="D3018">
            <v>0</v>
          </cell>
        </row>
        <row r="3019">
          <cell r="D3019">
            <v>0</v>
          </cell>
        </row>
        <row r="3020">
          <cell r="D3020">
            <v>0</v>
          </cell>
        </row>
        <row r="3021">
          <cell r="D3021">
            <v>0</v>
          </cell>
        </row>
        <row r="3022">
          <cell r="D3022">
            <v>0</v>
          </cell>
        </row>
        <row r="3023">
          <cell r="D3023">
            <v>0</v>
          </cell>
        </row>
        <row r="3024">
          <cell r="D3024">
            <v>0</v>
          </cell>
        </row>
        <row r="3025">
          <cell r="D3025">
            <v>0</v>
          </cell>
        </row>
        <row r="3026">
          <cell r="D3026">
            <v>0</v>
          </cell>
        </row>
        <row r="3027">
          <cell r="D3027">
            <v>0</v>
          </cell>
        </row>
        <row r="3028">
          <cell r="D3028">
            <v>0</v>
          </cell>
        </row>
        <row r="3029">
          <cell r="D3029">
            <v>0</v>
          </cell>
        </row>
        <row r="3030">
          <cell r="D3030">
            <v>0</v>
          </cell>
        </row>
        <row r="3031">
          <cell r="D3031">
            <v>0</v>
          </cell>
        </row>
        <row r="3032">
          <cell r="D3032">
            <v>0</v>
          </cell>
        </row>
        <row r="3033">
          <cell r="D3033">
            <v>0</v>
          </cell>
        </row>
        <row r="3034">
          <cell r="D3034">
            <v>0</v>
          </cell>
        </row>
        <row r="3035">
          <cell r="D3035">
            <v>0</v>
          </cell>
        </row>
        <row r="3036">
          <cell r="D3036">
            <v>0</v>
          </cell>
        </row>
        <row r="3037">
          <cell r="D3037">
            <v>0</v>
          </cell>
        </row>
        <row r="3038">
          <cell r="D3038">
            <v>0</v>
          </cell>
        </row>
        <row r="3039">
          <cell r="D3039">
            <v>0</v>
          </cell>
        </row>
        <row r="3040">
          <cell r="D3040">
            <v>0</v>
          </cell>
        </row>
        <row r="3041">
          <cell r="D3041">
            <v>0</v>
          </cell>
        </row>
        <row r="3042">
          <cell r="D3042">
            <v>0</v>
          </cell>
        </row>
        <row r="3043">
          <cell r="D3043">
            <v>0</v>
          </cell>
        </row>
        <row r="3044">
          <cell r="D3044">
            <v>0</v>
          </cell>
        </row>
        <row r="3045">
          <cell r="D3045">
            <v>0</v>
          </cell>
        </row>
        <row r="3046">
          <cell r="D3046">
            <v>0</v>
          </cell>
        </row>
        <row r="3047">
          <cell r="D3047">
            <v>0</v>
          </cell>
        </row>
        <row r="3048">
          <cell r="D3048">
            <v>0</v>
          </cell>
        </row>
        <row r="3049">
          <cell r="D3049">
            <v>0</v>
          </cell>
        </row>
        <row r="3050">
          <cell r="D3050">
            <v>0</v>
          </cell>
        </row>
        <row r="3051">
          <cell r="D3051">
            <v>0</v>
          </cell>
        </row>
        <row r="3052">
          <cell r="D3052">
            <v>0</v>
          </cell>
        </row>
        <row r="3053">
          <cell r="D3053">
            <v>0</v>
          </cell>
        </row>
        <row r="3054">
          <cell r="D3054">
            <v>0</v>
          </cell>
        </row>
        <row r="3055">
          <cell r="D3055">
            <v>0</v>
          </cell>
        </row>
        <row r="3056">
          <cell r="D3056">
            <v>0</v>
          </cell>
        </row>
        <row r="3057">
          <cell r="D3057">
            <v>0</v>
          </cell>
        </row>
        <row r="3058">
          <cell r="D3058">
            <v>0</v>
          </cell>
        </row>
        <row r="3059">
          <cell r="D3059">
            <v>0</v>
          </cell>
        </row>
        <row r="3060">
          <cell r="D3060">
            <v>0</v>
          </cell>
        </row>
        <row r="3061">
          <cell r="D3061">
            <v>0</v>
          </cell>
        </row>
        <row r="3062">
          <cell r="D3062">
            <v>0</v>
          </cell>
        </row>
        <row r="3063">
          <cell r="D3063">
            <v>0</v>
          </cell>
        </row>
        <row r="3064">
          <cell r="D3064">
            <v>0</v>
          </cell>
        </row>
        <row r="3065">
          <cell r="D3065">
            <v>0</v>
          </cell>
        </row>
        <row r="3066">
          <cell r="D3066">
            <v>0</v>
          </cell>
        </row>
        <row r="3067">
          <cell r="D3067">
            <v>0</v>
          </cell>
        </row>
        <row r="3068">
          <cell r="D3068">
            <v>0</v>
          </cell>
        </row>
        <row r="3069">
          <cell r="D3069">
            <v>0</v>
          </cell>
        </row>
        <row r="3070">
          <cell r="D3070">
            <v>0</v>
          </cell>
        </row>
        <row r="3071">
          <cell r="D3071">
            <v>0</v>
          </cell>
        </row>
        <row r="3072">
          <cell r="D3072">
            <v>0</v>
          </cell>
        </row>
        <row r="3073">
          <cell r="D3073">
            <v>0</v>
          </cell>
        </row>
        <row r="3074">
          <cell r="D3074">
            <v>0</v>
          </cell>
        </row>
        <row r="3075">
          <cell r="D3075">
            <v>0</v>
          </cell>
        </row>
        <row r="3076">
          <cell r="D3076">
            <v>0</v>
          </cell>
        </row>
        <row r="3077">
          <cell r="D3077">
            <v>0</v>
          </cell>
        </row>
        <row r="3078">
          <cell r="D3078">
            <v>0</v>
          </cell>
        </row>
        <row r="3079">
          <cell r="D3079">
            <v>0</v>
          </cell>
        </row>
        <row r="3080">
          <cell r="D3080">
            <v>0</v>
          </cell>
        </row>
        <row r="3081">
          <cell r="D3081">
            <v>0</v>
          </cell>
        </row>
        <row r="3082">
          <cell r="D3082">
            <v>0</v>
          </cell>
        </row>
        <row r="3083">
          <cell r="D3083">
            <v>0</v>
          </cell>
        </row>
        <row r="3084">
          <cell r="D3084">
            <v>0</v>
          </cell>
        </row>
        <row r="3085">
          <cell r="D3085">
            <v>0</v>
          </cell>
        </row>
        <row r="3086">
          <cell r="D3086">
            <v>0</v>
          </cell>
        </row>
        <row r="3087">
          <cell r="D3087">
            <v>0</v>
          </cell>
        </row>
        <row r="3088">
          <cell r="D3088">
            <v>0</v>
          </cell>
        </row>
        <row r="3089">
          <cell r="D3089">
            <v>0</v>
          </cell>
        </row>
        <row r="3090">
          <cell r="D3090">
            <v>0</v>
          </cell>
        </row>
        <row r="3091">
          <cell r="D3091">
            <v>0</v>
          </cell>
        </row>
        <row r="3092">
          <cell r="D3092">
            <v>0</v>
          </cell>
        </row>
        <row r="3093">
          <cell r="D3093">
            <v>0</v>
          </cell>
        </row>
        <row r="3094">
          <cell r="D3094">
            <v>0</v>
          </cell>
        </row>
        <row r="3095">
          <cell r="D3095">
            <v>0</v>
          </cell>
        </row>
        <row r="3096">
          <cell r="D3096">
            <v>0</v>
          </cell>
        </row>
        <row r="3097">
          <cell r="D3097">
            <v>0</v>
          </cell>
        </row>
        <row r="3098">
          <cell r="D3098">
            <v>0</v>
          </cell>
        </row>
        <row r="3099">
          <cell r="D3099">
            <v>0</v>
          </cell>
        </row>
        <row r="3100">
          <cell r="D3100">
            <v>0</v>
          </cell>
        </row>
        <row r="3101">
          <cell r="D3101">
            <v>0</v>
          </cell>
        </row>
        <row r="3102">
          <cell r="D3102">
            <v>0</v>
          </cell>
        </row>
        <row r="3103">
          <cell r="D3103">
            <v>0</v>
          </cell>
        </row>
        <row r="3104">
          <cell r="D3104">
            <v>0</v>
          </cell>
        </row>
        <row r="3105">
          <cell r="D3105">
            <v>0</v>
          </cell>
        </row>
        <row r="3106">
          <cell r="D3106">
            <v>0</v>
          </cell>
        </row>
        <row r="3107">
          <cell r="D3107">
            <v>0</v>
          </cell>
        </row>
        <row r="3108">
          <cell r="D3108">
            <v>0</v>
          </cell>
        </row>
        <row r="3109">
          <cell r="D3109">
            <v>0</v>
          </cell>
        </row>
        <row r="3110">
          <cell r="D3110">
            <v>0</v>
          </cell>
        </row>
        <row r="3111">
          <cell r="D3111">
            <v>0</v>
          </cell>
        </row>
        <row r="3112">
          <cell r="D3112">
            <v>0</v>
          </cell>
        </row>
        <row r="3113">
          <cell r="D3113">
            <v>0</v>
          </cell>
        </row>
        <row r="3114">
          <cell r="D3114">
            <v>0</v>
          </cell>
        </row>
        <row r="3115">
          <cell r="D3115">
            <v>0</v>
          </cell>
        </row>
        <row r="3116">
          <cell r="D3116">
            <v>0</v>
          </cell>
        </row>
        <row r="3117">
          <cell r="D3117">
            <v>0</v>
          </cell>
        </row>
        <row r="3118">
          <cell r="D3118">
            <v>0</v>
          </cell>
        </row>
        <row r="3119">
          <cell r="D3119">
            <v>0</v>
          </cell>
        </row>
        <row r="3120">
          <cell r="D3120">
            <v>0</v>
          </cell>
        </row>
        <row r="3121">
          <cell r="D3121">
            <v>0</v>
          </cell>
        </row>
        <row r="3122">
          <cell r="D3122">
            <v>0</v>
          </cell>
        </row>
        <row r="3123">
          <cell r="D3123">
            <v>0</v>
          </cell>
        </row>
        <row r="3124">
          <cell r="D3124">
            <v>0</v>
          </cell>
        </row>
        <row r="3125">
          <cell r="D3125">
            <v>0</v>
          </cell>
        </row>
        <row r="3126">
          <cell r="D3126">
            <v>0</v>
          </cell>
        </row>
        <row r="3127">
          <cell r="D3127">
            <v>0</v>
          </cell>
        </row>
        <row r="3128">
          <cell r="D3128">
            <v>0</v>
          </cell>
        </row>
        <row r="3129">
          <cell r="D3129">
            <v>0</v>
          </cell>
        </row>
        <row r="3130">
          <cell r="D3130">
            <v>0</v>
          </cell>
        </row>
        <row r="3131">
          <cell r="D3131">
            <v>0</v>
          </cell>
        </row>
        <row r="3132">
          <cell r="D3132">
            <v>0</v>
          </cell>
        </row>
        <row r="3133">
          <cell r="D3133">
            <v>0</v>
          </cell>
        </row>
        <row r="3134">
          <cell r="D3134">
            <v>0</v>
          </cell>
        </row>
        <row r="3135">
          <cell r="D3135">
            <v>0</v>
          </cell>
        </row>
        <row r="3136">
          <cell r="D3136">
            <v>0</v>
          </cell>
        </row>
        <row r="3137">
          <cell r="D3137">
            <v>0</v>
          </cell>
        </row>
        <row r="3138">
          <cell r="D3138">
            <v>0</v>
          </cell>
        </row>
        <row r="3139">
          <cell r="D3139">
            <v>0</v>
          </cell>
        </row>
        <row r="3140">
          <cell r="D3140">
            <v>0</v>
          </cell>
        </row>
        <row r="3141">
          <cell r="D3141">
            <v>0</v>
          </cell>
        </row>
        <row r="3142">
          <cell r="D3142">
            <v>0</v>
          </cell>
        </row>
        <row r="3143">
          <cell r="D3143">
            <v>0</v>
          </cell>
        </row>
        <row r="3144">
          <cell r="D3144">
            <v>0</v>
          </cell>
        </row>
        <row r="3145">
          <cell r="D3145">
            <v>0</v>
          </cell>
        </row>
        <row r="3146">
          <cell r="D3146">
            <v>0</v>
          </cell>
        </row>
        <row r="3147">
          <cell r="D3147">
            <v>0</v>
          </cell>
        </row>
        <row r="3148">
          <cell r="D3148">
            <v>0</v>
          </cell>
        </row>
        <row r="3149">
          <cell r="D3149">
            <v>0</v>
          </cell>
        </row>
        <row r="3150">
          <cell r="D3150">
            <v>0</v>
          </cell>
        </row>
        <row r="3151">
          <cell r="D3151">
            <v>0</v>
          </cell>
        </row>
        <row r="3152">
          <cell r="D3152">
            <v>0</v>
          </cell>
        </row>
        <row r="3153">
          <cell r="D3153">
            <v>0</v>
          </cell>
        </row>
        <row r="3154">
          <cell r="D3154">
            <v>0</v>
          </cell>
        </row>
        <row r="3155">
          <cell r="D3155">
            <v>0</v>
          </cell>
        </row>
        <row r="3156">
          <cell r="D3156">
            <v>0</v>
          </cell>
        </row>
        <row r="3157">
          <cell r="D3157">
            <v>0</v>
          </cell>
        </row>
        <row r="3158">
          <cell r="D3158">
            <v>0</v>
          </cell>
        </row>
        <row r="3159">
          <cell r="D3159">
            <v>0</v>
          </cell>
        </row>
        <row r="3160">
          <cell r="D3160">
            <v>0</v>
          </cell>
        </row>
        <row r="3161">
          <cell r="D3161">
            <v>0</v>
          </cell>
        </row>
        <row r="3162">
          <cell r="D3162">
            <v>0</v>
          </cell>
        </row>
        <row r="3163">
          <cell r="D3163">
            <v>0</v>
          </cell>
        </row>
        <row r="3164">
          <cell r="D3164">
            <v>0</v>
          </cell>
        </row>
        <row r="3165">
          <cell r="D3165">
            <v>0</v>
          </cell>
        </row>
        <row r="3166">
          <cell r="D3166">
            <v>0</v>
          </cell>
        </row>
        <row r="3167">
          <cell r="D3167">
            <v>0</v>
          </cell>
        </row>
        <row r="3168">
          <cell r="D3168">
            <v>0</v>
          </cell>
        </row>
        <row r="3169">
          <cell r="D3169">
            <v>0</v>
          </cell>
        </row>
        <row r="3170">
          <cell r="D3170">
            <v>0</v>
          </cell>
        </row>
        <row r="3171">
          <cell r="D3171">
            <v>0</v>
          </cell>
        </row>
        <row r="3172">
          <cell r="D3172">
            <v>0</v>
          </cell>
        </row>
        <row r="3173">
          <cell r="D3173">
            <v>0</v>
          </cell>
        </row>
        <row r="3174">
          <cell r="D3174">
            <v>0</v>
          </cell>
        </row>
        <row r="3175">
          <cell r="D3175">
            <v>0</v>
          </cell>
        </row>
        <row r="3176">
          <cell r="D3176">
            <v>0</v>
          </cell>
        </row>
        <row r="3177">
          <cell r="D3177">
            <v>0</v>
          </cell>
        </row>
        <row r="3178">
          <cell r="D3178">
            <v>0</v>
          </cell>
        </row>
        <row r="3179">
          <cell r="D3179">
            <v>0</v>
          </cell>
        </row>
        <row r="3180">
          <cell r="D3180">
            <v>0</v>
          </cell>
        </row>
        <row r="3181">
          <cell r="D3181">
            <v>0</v>
          </cell>
        </row>
        <row r="3182">
          <cell r="D3182">
            <v>0</v>
          </cell>
        </row>
        <row r="3183">
          <cell r="D3183">
            <v>0</v>
          </cell>
        </row>
        <row r="3184">
          <cell r="D3184">
            <v>0</v>
          </cell>
        </row>
        <row r="3185">
          <cell r="D3185">
            <v>0</v>
          </cell>
        </row>
        <row r="3186">
          <cell r="D3186">
            <v>0</v>
          </cell>
        </row>
        <row r="3187">
          <cell r="D3187">
            <v>0</v>
          </cell>
        </row>
        <row r="3188">
          <cell r="D3188">
            <v>0</v>
          </cell>
        </row>
        <row r="3189">
          <cell r="D3189">
            <v>0</v>
          </cell>
        </row>
        <row r="3190">
          <cell r="D3190">
            <v>0</v>
          </cell>
        </row>
        <row r="3191">
          <cell r="D3191">
            <v>0</v>
          </cell>
        </row>
        <row r="3192">
          <cell r="D3192">
            <v>0</v>
          </cell>
        </row>
        <row r="3193">
          <cell r="D3193">
            <v>0</v>
          </cell>
        </row>
        <row r="3194">
          <cell r="D3194">
            <v>0</v>
          </cell>
        </row>
        <row r="3195">
          <cell r="D3195">
            <v>0</v>
          </cell>
        </row>
        <row r="3196">
          <cell r="D3196">
            <v>0</v>
          </cell>
        </row>
        <row r="3197">
          <cell r="D3197">
            <v>0</v>
          </cell>
        </row>
        <row r="3198">
          <cell r="D3198">
            <v>0</v>
          </cell>
        </row>
        <row r="3199">
          <cell r="D3199">
            <v>0</v>
          </cell>
        </row>
        <row r="3200">
          <cell r="D3200">
            <v>0</v>
          </cell>
        </row>
        <row r="3201">
          <cell r="D3201">
            <v>0</v>
          </cell>
        </row>
        <row r="3202">
          <cell r="D3202">
            <v>0</v>
          </cell>
        </row>
        <row r="3203">
          <cell r="D3203">
            <v>0</v>
          </cell>
        </row>
        <row r="3204">
          <cell r="D3204">
            <v>0</v>
          </cell>
        </row>
        <row r="3205">
          <cell r="D3205">
            <v>0</v>
          </cell>
        </row>
        <row r="3206">
          <cell r="D3206">
            <v>0</v>
          </cell>
        </row>
        <row r="3207">
          <cell r="D3207">
            <v>0</v>
          </cell>
        </row>
        <row r="3208">
          <cell r="D3208">
            <v>0</v>
          </cell>
        </row>
        <row r="3209">
          <cell r="D3209">
            <v>0</v>
          </cell>
        </row>
        <row r="3210">
          <cell r="D3210">
            <v>0</v>
          </cell>
        </row>
        <row r="3211">
          <cell r="D3211">
            <v>0</v>
          </cell>
        </row>
        <row r="3212">
          <cell r="D3212">
            <v>0</v>
          </cell>
        </row>
        <row r="3213">
          <cell r="D3213">
            <v>0</v>
          </cell>
        </row>
        <row r="3214">
          <cell r="D3214">
            <v>0</v>
          </cell>
        </row>
        <row r="3215">
          <cell r="D3215">
            <v>0</v>
          </cell>
        </row>
        <row r="3216">
          <cell r="D3216">
            <v>0</v>
          </cell>
        </row>
        <row r="3217">
          <cell r="D3217">
            <v>0</v>
          </cell>
        </row>
        <row r="3218">
          <cell r="D3218">
            <v>0</v>
          </cell>
        </row>
        <row r="3219">
          <cell r="D3219">
            <v>0</v>
          </cell>
        </row>
        <row r="3220">
          <cell r="D3220">
            <v>0</v>
          </cell>
        </row>
        <row r="3221">
          <cell r="D3221">
            <v>0</v>
          </cell>
        </row>
        <row r="3222">
          <cell r="D3222">
            <v>0</v>
          </cell>
        </row>
        <row r="3223">
          <cell r="D3223">
            <v>0</v>
          </cell>
        </row>
        <row r="3224">
          <cell r="D3224">
            <v>0</v>
          </cell>
        </row>
        <row r="3225">
          <cell r="D3225">
            <v>0</v>
          </cell>
        </row>
        <row r="3226">
          <cell r="D3226">
            <v>0</v>
          </cell>
        </row>
        <row r="3227">
          <cell r="D3227">
            <v>0</v>
          </cell>
        </row>
        <row r="3228">
          <cell r="D3228">
            <v>0</v>
          </cell>
        </row>
        <row r="3229">
          <cell r="D3229">
            <v>0</v>
          </cell>
        </row>
        <row r="3230">
          <cell r="D3230">
            <v>0</v>
          </cell>
        </row>
        <row r="3231">
          <cell r="D3231">
            <v>0</v>
          </cell>
        </row>
        <row r="3232">
          <cell r="D3232">
            <v>0</v>
          </cell>
        </row>
        <row r="3233">
          <cell r="D3233">
            <v>0</v>
          </cell>
        </row>
        <row r="3234">
          <cell r="D3234">
            <v>0</v>
          </cell>
        </row>
        <row r="3235">
          <cell r="D3235">
            <v>0</v>
          </cell>
        </row>
        <row r="3236">
          <cell r="D3236">
            <v>0</v>
          </cell>
        </row>
        <row r="3237">
          <cell r="D3237">
            <v>0</v>
          </cell>
        </row>
        <row r="3238">
          <cell r="D3238">
            <v>0</v>
          </cell>
        </row>
        <row r="3239">
          <cell r="D3239">
            <v>0</v>
          </cell>
        </row>
        <row r="3240">
          <cell r="D3240">
            <v>0</v>
          </cell>
        </row>
        <row r="3241">
          <cell r="D3241">
            <v>0</v>
          </cell>
        </row>
        <row r="3242">
          <cell r="D3242">
            <v>0</v>
          </cell>
        </row>
        <row r="3243">
          <cell r="D3243">
            <v>0</v>
          </cell>
        </row>
        <row r="3244">
          <cell r="D3244">
            <v>0</v>
          </cell>
        </row>
        <row r="3245">
          <cell r="D3245">
            <v>0</v>
          </cell>
        </row>
        <row r="3246">
          <cell r="D3246">
            <v>0</v>
          </cell>
        </row>
        <row r="3247">
          <cell r="D3247">
            <v>0</v>
          </cell>
        </row>
        <row r="3248">
          <cell r="D3248">
            <v>0</v>
          </cell>
        </row>
        <row r="3249">
          <cell r="D3249">
            <v>0</v>
          </cell>
        </row>
        <row r="3250">
          <cell r="D3250">
            <v>0</v>
          </cell>
        </row>
        <row r="3251">
          <cell r="D3251">
            <v>0</v>
          </cell>
        </row>
        <row r="3252">
          <cell r="D3252">
            <v>0</v>
          </cell>
        </row>
        <row r="3253">
          <cell r="D3253">
            <v>0</v>
          </cell>
        </row>
        <row r="3254">
          <cell r="D3254">
            <v>0</v>
          </cell>
        </row>
        <row r="3255">
          <cell r="D3255">
            <v>0</v>
          </cell>
        </row>
        <row r="3256">
          <cell r="D3256">
            <v>0</v>
          </cell>
        </row>
        <row r="3257">
          <cell r="D3257">
            <v>0</v>
          </cell>
        </row>
        <row r="3258">
          <cell r="D3258">
            <v>0</v>
          </cell>
        </row>
        <row r="3259">
          <cell r="D3259">
            <v>0</v>
          </cell>
        </row>
        <row r="3260">
          <cell r="D3260">
            <v>0</v>
          </cell>
        </row>
        <row r="3261">
          <cell r="D3261">
            <v>0</v>
          </cell>
        </row>
        <row r="3262">
          <cell r="D3262">
            <v>0</v>
          </cell>
        </row>
        <row r="3263">
          <cell r="D3263">
            <v>0</v>
          </cell>
        </row>
        <row r="3264">
          <cell r="D3264">
            <v>0</v>
          </cell>
        </row>
        <row r="3265">
          <cell r="D3265">
            <v>0</v>
          </cell>
        </row>
        <row r="3266">
          <cell r="D3266">
            <v>0</v>
          </cell>
        </row>
        <row r="3267">
          <cell r="D3267">
            <v>0</v>
          </cell>
        </row>
        <row r="3268">
          <cell r="D3268">
            <v>0</v>
          </cell>
        </row>
        <row r="3269">
          <cell r="D3269">
            <v>0</v>
          </cell>
        </row>
        <row r="3270">
          <cell r="D3270">
            <v>0</v>
          </cell>
        </row>
        <row r="3271">
          <cell r="D3271">
            <v>0</v>
          </cell>
        </row>
        <row r="3272">
          <cell r="D3272">
            <v>0</v>
          </cell>
        </row>
        <row r="3273">
          <cell r="D3273">
            <v>0</v>
          </cell>
        </row>
        <row r="3274">
          <cell r="D3274">
            <v>0</v>
          </cell>
        </row>
        <row r="3275">
          <cell r="D3275">
            <v>0</v>
          </cell>
        </row>
        <row r="3276">
          <cell r="D3276">
            <v>0</v>
          </cell>
        </row>
        <row r="3277">
          <cell r="D3277">
            <v>0</v>
          </cell>
        </row>
        <row r="3278">
          <cell r="D3278">
            <v>0</v>
          </cell>
        </row>
        <row r="3279">
          <cell r="D3279">
            <v>0</v>
          </cell>
        </row>
        <row r="3280">
          <cell r="D3280">
            <v>0</v>
          </cell>
        </row>
        <row r="3281">
          <cell r="D3281">
            <v>0</v>
          </cell>
        </row>
        <row r="3282">
          <cell r="D3282">
            <v>0</v>
          </cell>
        </row>
        <row r="3283">
          <cell r="D3283">
            <v>0</v>
          </cell>
        </row>
        <row r="3284">
          <cell r="D3284">
            <v>0</v>
          </cell>
        </row>
        <row r="3285">
          <cell r="D3285">
            <v>0</v>
          </cell>
        </row>
        <row r="3286">
          <cell r="D3286">
            <v>0</v>
          </cell>
        </row>
        <row r="3287">
          <cell r="D3287">
            <v>0</v>
          </cell>
        </row>
        <row r="3288">
          <cell r="D3288">
            <v>0</v>
          </cell>
        </row>
        <row r="3289">
          <cell r="D3289">
            <v>0</v>
          </cell>
        </row>
        <row r="3290">
          <cell r="D3290">
            <v>0</v>
          </cell>
        </row>
        <row r="3291">
          <cell r="D3291">
            <v>0</v>
          </cell>
        </row>
        <row r="3292">
          <cell r="D3292">
            <v>0</v>
          </cell>
        </row>
        <row r="3293">
          <cell r="D3293">
            <v>0</v>
          </cell>
        </row>
        <row r="3294">
          <cell r="D3294">
            <v>0</v>
          </cell>
        </row>
        <row r="3295">
          <cell r="D3295">
            <v>0</v>
          </cell>
        </row>
        <row r="3296">
          <cell r="D3296">
            <v>0</v>
          </cell>
        </row>
        <row r="3297">
          <cell r="D3297">
            <v>0</v>
          </cell>
        </row>
        <row r="3298">
          <cell r="D3298">
            <v>0</v>
          </cell>
        </row>
        <row r="3299">
          <cell r="D3299">
            <v>0</v>
          </cell>
        </row>
        <row r="3300">
          <cell r="D3300">
            <v>0</v>
          </cell>
        </row>
        <row r="3301">
          <cell r="D3301">
            <v>0</v>
          </cell>
        </row>
        <row r="3302">
          <cell r="D3302">
            <v>0</v>
          </cell>
        </row>
        <row r="3303">
          <cell r="D3303">
            <v>0</v>
          </cell>
        </row>
        <row r="3304">
          <cell r="D3304">
            <v>0</v>
          </cell>
        </row>
        <row r="3305">
          <cell r="D3305">
            <v>0</v>
          </cell>
        </row>
        <row r="3306">
          <cell r="D3306">
            <v>0</v>
          </cell>
        </row>
        <row r="3307">
          <cell r="D3307">
            <v>0</v>
          </cell>
        </row>
        <row r="3308">
          <cell r="D3308">
            <v>0</v>
          </cell>
        </row>
        <row r="3309">
          <cell r="D3309">
            <v>0</v>
          </cell>
        </row>
        <row r="3310">
          <cell r="D3310">
            <v>0</v>
          </cell>
        </row>
        <row r="3311">
          <cell r="D3311">
            <v>0</v>
          </cell>
        </row>
        <row r="3312">
          <cell r="D3312">
            <v>0</v>
          </cell>
        </row>
        <row r="3313">
          <cell r="D3313">
            <v>0</v>
          </cell>
        </row>
        <row r="3314">
          <cell r="D3314">
            <v>0</v>
          </cell>
        </row>
        <row r="3315">
          <cell r="D3315">
            <v>0</v>
          </cell>
        </row>
        <row r="3316">
          <cell r="D3316">
            <v>0</v>
          </cell>
        </row>
        <row r="3317">
          <cell r="D3317">
            <v>0</v>
          </cell>
        </row>
        <row r="3318">
          <cell r="D3318">
            <v>0</v>
          </cell>
        </row>
        <row r="3319">
          <cell r="D3319">
            <v>0</v>
          </cell>
        </row>
        <row r="3320">
          <cell r="D3320">
            <v>0</v>
          </cell>
        </row>
        <row r="3321">
          <cell r="D3321">
            <v>0</v>
          </cell>
        </row>
        <row r="3322">
          <cell r="D3322">
            <v>0</v>
          </cell>
        </row>
        <row r="3323">
          <cell r="D3323">
            <v>0</v>
          </cell>
        </row>
        <row r="3324">
          <cell r="D3324">
            <v>0</v>
          </cell>
        </row>
        <row r="3325">
          <cell r="D3325">
            <v>0</v>
          </cell>
        </row>
        <row r="3326">
          <cell r="D3326">
            <v>0</v>
          </cell>
        </row>
        <row r="3327">
          <cell r="D3327">
            <v>0</v>
          </cell>
        </row>
        <row r="3328">
          <cell r="D3328">
            <v>0</v>
          </cell>
        </row>
        <row r="3329">
          <cell r="D3329">
            <v>0</v>
          </cell>
        </row>
        <row r="3330">
          <cell r="D3330">
            <v>0</v>
          </cell>
        </row>
        <row r="3331">
          <cell r="D3331">
            <v>0</v>
          </cell>
        </row>
        <row r="3332">
          <cell r="D3332">
            <v>0</v>
          </cell>
        </row>
        <row r="3333">
          <cell r="D3333">
            <v>0</v>
          </cell>
        </row>
        <row r="3334">
          <cell r="D3334">
            <v>0</v>
          </cell>
        </row>
        <row r="3335">
          <cell r="D3335">
            <v>0</v>
          </cell>
        </row>
        <row r="3336">
          <cell r="D3336">
            <v>0</v>
          </cell>
        </row>
        <row r="3337">
          <cell r="D3337">
            <v>0</v>
          </cell>
        </row>
        <row r="3338">
          <cell r="D3338">
            <v>0</v>
          </cell>
        </row>
        <row r="3339">
          <cell r="D3339">
            <v>0</v>
          </cell>
        </row>
        <row r="3340">
          <cell r="D3340">
            <v>0</v>
          </cell>
        </row>
        <row r="3341">
          <cell r="D3341">
            <v>0</v>
          </cell>
        </row>
        <row r="3342">
          <cell r="D3342">
            <v>0</v>
          </cell>
        </row>
        <row r="3343">
          <cell r="D3343">
            <v>0</v>
          </cell>
        </row>
        <row r="3344">
          <cell r="D3344">
            <v>0</v>
          </cell>
        </row>
        <row r="3345">
          <cell r="D3345">
            <v>0</v>
          </cell>
        </row>
        <row r="3346">
          <cell r="D3346">
            <v>0</v>
          </cell>
        </row>
        <row r="3347">
          <cell r="D3347">
            <v>0</v>
          </cell>
        </row>
        <row r="3348">
          <cell r="D3348">
            <v>0</v>
          </cell>
        </row>
        <row r="3349">
          <cell r="D3349">
            <v>0</v>
          </cell>
        </row>
        <row r="3350">
          <cell r="D3350">
            <v>0</v>
          </cell>
        </row>
        <row r="3351">
          <cell r="D3351">
            <v>0</v>
          </cell>
        </row>
        <row r="3352">
          <cell r="D3352">
            <v>0</v>
          </cell>
        </row>
        <row r="3353">
          <cell r="D3353">
            <v>0</v>
          </cell>
        </row>
        <row r="3354">
          <cell r="D3354">
            <v>0</v>
          </cell>
        </row>
        <row r="3355">
          <cell r="D3355">
            <v>0</v>
          </cell>
        </row>
        <row r="3356">
          <cell r="D3356">
            <v>0</v>
          </cell>
        </row>
        <row r="3357">
          <cell r="D3357">
            <v>0</v>
          </cell>
        </row>
        <row r="3358">
          <cell r="D3358">
            <v>0</v>
          </cell>
        </row>
        <row r="3359">
          <cell r="D3359">
            <v>0</v>
          </cell>
        </row>
        <row r="3360">
          <cell r="D3360">
            <v>0</v>
          </cell>
        </row>
        <row r="3361">
          <cell r="D3361">
            <v>0</v>
          </cell>
        </row>
        <row r="3362">
          <cell r="D3362">
            <v>0</v>
          </cell>
        </row>
        <row r="3363">
          <cell r="D3363">
            <v>0</v>
          </cell>
        </row>
        <row r="3364">
          <cell r="D3364">
            <v>0</v>
          </cell>
        </row>
        <row r="3365">
          <cell r="D3365">
            <v>0</v>
          </cell>
        </row>
        <row r="3366">
          <cell r="D3366">
            <v>0</v>
          </cell>
        </row>
        <row r="3367">
          <cell r="D3367">
            <v>0</v>
          </cell>
        </row>
        <row r="3368">
          <cell r="D3368">
            <v>0</v>
          </cell>
        </row>
        <row r="3369">
          <cell r="D3369">
            <v>0</v>
          </cell>
        </row>
        <row r="3370">
          <cell r="D3370">
            <v>0</v>
          </cell>
        </row>
        <row r="3371">
          <cell r="D3371">
            <v>0</v>
          </cell>
        </row>
        <row r="3372">
          <cell r="D3372">
            <v>0</v>
          </cell>
        </row>
        <row r="3373">
          <cell r="D3373">
            <v>0</v>
          </cell>
        </row>
        <row r="3374">
          <cell r="D3374">
            <v>0</v>
          </cell>
        </row>
        <row r="3375">
          <cell r="D3375">
            <v>0</v>
          </cell>
        </row>
        <row r="3376">
          <cell r="D3376">
            <v>0</v>
          </cell>
        </row>
        <row r="3377">
          <cell r="D3377">
            <v>0</v>
          </cell>
        </row>
        <row r="3378">
          <cell r="D3378">
            <v>0</v>
          </cell>
        </row>
        <row r="3379">
          <cell r="D3379">
            <v>0</v>
          </cell>
        </row>
        <row r="3380">
          <cell r="D3380">
            <v>0</v>
          </cell>
        </row>
        <row r="3381">
          <cell r="D3381">
            <v>0</v>
          </cell>
        </row>
        <row r="3382">
          <cell r="D3382">
            <v>0</v>
          </cell>
        </row>
        <row r="3383">
          <cell r="D3383">
            <v>0</v>
          </cell>
        </row>
        <row r="3384">
          <cell r="D3384">
            <v>0</v>
          </cell>
        </row>
        <row r="3385">
          <cell r="D3385">
            <v>0</v>
          </cell>
        </row>
        <row r="3386">
          <cell r="D3386">
            <v>0</v>
          </cell>
        </row>
        <row r="3387">
          <cell r="D3387">
            <v>0</v>
          </cell>
        </row>
        <row r="3388">
          <cell r="D3388">
            <v>0</v>
          </cell>
        </row>
        <row r="3389">
          <cell r="D3389">
            <v>0</v>
          </cell>
        </row>
        <row r="3390">
          <cell r="D3390">
            <v>0</v>
          </cell>
        </row>
        <row r="3391">
          <cell r="D3391">
            <v>0</v>
          </cell>
        </row>
        <row r="3392">
          <cell r="D3392">
            <v>0</v>
          </cell>
        </row>
        <row r="3393">
          <cell r="D3393">
            <v>0</v>
          </cell>
        </row>
        <row r="3394">
          <cell r="D3394">
            <v>0</v>
          </cell>
        </row>
        <row r="3395">
          <cell r="D3395">
            <v>0</v>
          </cell>
        </row>
        <row r="3396">
          <cell r="D3396">
            <v>0</v>
          </cell>
        </row>
        <row r="3397">
          <cell r="D3397">
            <v>0</v>
          </cell>
        </row>
        <row r="3398">
          <cell r="D3398">
            <v>0</v>
          </cell>
        </row>
        <row r="3399">
          <cell r="D3399">
            <v>0</v>
          </cell>
        </row>
        <row r="3400">
          <cell r="D3400">
            <v>0</v>
          </cell>
        </row>
        <row r="3401">
          <cell r="D3401">
            <v>0</v>
          </cell>
        </row>
        <row r="3402">
          <cell r="D3402">
            <v>0</v>
          </cell>
        </row>
        <row r="3403">
          <cell r="D3403">
            <v>0</v>
          </cell>
        </row>
        <row r="3404">
          <cell r="D3404">
            <v>0</v>
          </cell>
        </row>
        <row r="3405">
          <cell r="D3405">
            <v>0</v>
          </cell>
        </row>
        <row r="3406">
          <cell r="D3406">
            <v>0</v>
          </cell>
        </row>
        <row r="3407">
          <cell r="D3407">
            <v>0</v>
          </cell>
        </row>
        <row r="3408">
          <cell r="D3408">
            <v>0</v>
          </cell>
        </row>
        <row r="3409">
          <cell r="D3409">
            <v>0</v>
          </cell>
        </row>
        <row r="3410">
          <cell r="D3410">
            <v>0</v>
          </cell>
        </row>
        <row r="3411">
          <cell r="D3411">
            <v>0</v>
          </cell>
        </row>
        <row r="3412">
          <cell r="D3412">
            <v>0</v>
          </cell>
        </row>
        <row r="3413">
          <cell r="D3413">
            <v>0</v>
          </cell>
        </row>
        <row r="3414">
          <cell r="D3414">
            <v>0</v>
          </cell>
        </row>
        <row r="3415">
          <cell r="D3415">
            <v>0</v>
          </cell>
        </row>
        <row r="3416">
          <cell r="D3416">
            <v>0</v>
          </cell>
        </row>
        <row r="3417">
          <cell r="D3417">
            <v>0</v>
          </cell>
        </row>
        <row r="3418">
          <cell r="D3418">
            <v>0</v>
          </cell>
        </row>
        <row r="3419">
          <cell r="D3419">
            <v>0</v>
          </cell>
        </row>
        <row r="3420">
          <cell r="D3420">
            <v>0</v>
          </cell>
        </row>
        <row r="3421">
          <cell r="D3421">
            <v>0</v>
          </cell>
        </row>
        <row r="3422">
          <cell r="D3422">
            <v>0</v>
          </cell>
        </row>
        <row r="3423">
          <cell r="D3423">
            <v>0</v>
          </cell>
        </row>
        <row r="3424">
          <cell r="D3424">
            <v>0</v>
          </cell>
        </row>
        <row r="3425">
          <cell r="D3425">
            <v>0</v>
          </cell>
        </row>
        <row r="3426">
          <cell r="D3426">
            <v>0</v>
          </cell>
        </row>
        <row r="3427">
          <cell r="D3427">
            <v>0</v>
          </cell>
        </row>
        <row r="3428">
          <cell r="D3428">
            <v>0</v>
          </cell>
        </row>
        <row r="3429">
          <cell r="D3429">
            <v>0</v>
          </cell>
        </row>
        <row r="3430">
          <cell r="D3430">
            <v>0</v>
          </cell>
        </row>
        <row r="3431">
          <cell r="D3431">
            <v>0</v>
          </cell>
        </row>
        <row r="3432">
          <cell r="D3432">
            <v>0</v>
          </cell>
        </row>
        <row r="3433">
          <cell r="D3433">
            <v>0</v>
          </cell>
        </row>
        <row r="3434">
          <cell r="D3434">
            <v>0</v>
          </cell>
        </row>
        <row r="3435">
          <cell r="D3435">
            <v>0</v>
          </cell>
        </row>
        <row r="3436">
          <cell r="D3436">
            <v>0</v>
          </cell>
        </row>
        <row r="3437">
          <cell r="D3437">
            <v>0</v>
          </cell>
        </row>
        <row r="3438">
          <cell r="D3438">
            <v>0</v>
          </cell>
        </row>
        <row r="3439">
          <cell r="D3439">
            <v>0</v>
          </cell>
        </row>
        <row r="3440">
          <cell r="D3440">
            <v>0</v>
          </cell>
        </row>
        <row r="3441">
          <cell r="D3441">
            <v>0</v>
          </cell>
        </row>
        <row r="3442">
          <cell r="D3442">
            <v>0</v>
          </cell>
        </row>
        <row r="3443">
          <cell r="D3443">
            <v>0</v>
          </cell>
        </row>
        <row r="3444">
          <cell r="D3444">
            <v>0</v>
          </cell>
        </row>
        <row r="3445">
          <cell r="D3445">
            <v>0</v>
          </cell>
        </row>
        <row r="3446">
          <cell r="D3446">
            <v>0</v>
          </cell>
        </row>
        <row r="3447">
          <cell r="D3447">
            <v>0</v>
          </cell>
        </row>
        <row r="3448">
          <cell r="D3448">
            <v>0</v>
          </cell>
        </row>
        <row r="3449">
          <cell r="D3449">
            <v>0</v>
          </cell>
        </row>
        <row r="3450">
          <cell r="D3450">
            <v>0</v>
          </cell>
        </row>
        <row r="3451">
          <cell r="D3451">
            <v>0</v>
          </cell>
        </row>
        <row r="3452">
          <cell r="D3452">
            <v>0</v>
          </cell>
        </row>
        <row r="3453">
          <cell r="D3453">
            <v>0</v>
          </cell>
        </row>
        <row r="3454">
          <cell r="D3454">
            <v>0</v>
          </cell>
        </row>
        <row r="3455">
          <cell r="D3455">
            <v>0</v>
          </cell>
        </row>
        <row r="3456">
          <cell r="D3456">
            <v>0</v>
          </cell>
        </row>
        <row r="3457">
          <cell r="D3457">
            <v>0</v>
          </cell>
        </row>
        <row r="3458">
          <cell r="D3458">
            <v>0</v>
          </cell>
        </row>
        <row r="3459">
          <cell r="D3459">
            <v>0</v>
          </cell>
        </row>
        <row r="3460">
          <cell r="D3460">
            <v>0</v>
          </cell>
        </row>
        <row r="3461">
          <cell r="D3461">
            <v>0</v>
          </cell>
        </row>
        <row r="3462">
          <cell r="D3462">
            <v>0</v>
          </cell>
        </row>
        <row r="3463">
          <cell r="D3463">
            <v>0</v>
          </cell>
        </row>
        <row r="3464">
          <cell r="D3464">
            <v>0</v>
          </cell>
        </row>
        <row r="3465">
          <cell r="D3465">
            <v>0</v>
          </cell>
        </row>
        <row r="3466">
          <cell r="D3466">
            <v>0</v>
          </cell>
        </row>
        <row r="3467">
          <cell r="D3467">
            <v>0</v>
          </cell>
        </row>
        <row r="3468">
          <cell r="D3468">
            <v>0</v>
          </cell>
        </row>
        <row r="3469">
          <cell r="D3469">
            <v>0</v>
          </cell>
        </row>
        <row r="3470">
          <cell r="D3470">
            <v>0</v>
          </cell>
        </row>
        <row r="3471">
          <cell r="D3471">
            <v>0</v>
          </cell>
        </row>
        <row r="3472">
          <cell r="D3472">
            <v>0</v>
          </cell>
        </row>
        <row r="3473">
          <cell r="D3473">
            <v>0</v>
          </cell>
        </row>
        <row r="3474">
          <cell r="D3474">
            <v>0</v>
          </cell>
        </row>
        <row r="3475">
          <cell r="D3475">
            <v>0</v>
          </cell>
        </row>
        <row r="3476">
          <cell r="D3476">
            <v>0</v>
          </cell>
        </row>
        <row r="3477">
          <cell r="D3477">
            <v>0</v>
          </cell>
        </row>
        <row r="3478">
          <cell r="D3478">
            <v>0</v>
          </cell>
        </row>
        <row r="3479">
          <cell r="D3479">
            <v>0</v>
          </cell>
        </row>
        <row r="3480">
          <cell r="D3480">
            <v>0</v>
          </cell>
        </row>
        <row r="3481">
          <cell r="D3481">
            <v>0</v>
          </cell>
        </row>
        <row r="3482">
          <cell r="D3482">
            <v>0</v>
          </cell>
        </row>
        <row r="3483">
          <cell r="D3483">
            <v>0</v>
          </cell>
        </row>
        <row r="3484">
          <cell r="D3484">
            <v>0</v>
          </cell>
        </row>
        <row r="3485">
          <cell r="D3485">
            <v>0</v>
          </cell>
        </row>
        <row r="3486">
          <cell r="D3486">
            <v>0</v>
          </cell>
        </row>
        <row r="3487">
          <cell r="D3487">
            <v>0</v>
          </cell>
        </row>
        <row r="3488">
          <cell r="D3488">
            <v>0</v>
          </cell>
        </row>
        <row r="3489">
          <cell r="D3489">
            <v>0</v>
          </cell>
        </row>
        <row r="3490">
          <cell r="D3490">
            <v>0</v>
          </cell>
        </row>
        <row r="3491">
          <cell r="D3491">
            <v>0</v>
          </cell>
        </row>
        <row r="3492">
          <cell r="D3492">
            <v>0</v>
          </cell>
        </row>
        <row r="3493">
          <cell r="D3493">
            <v>0</v>
          </cell>
        </row>
        <row r="3494">
          <cell r="D3494">
            <v>0</v>
          </cell>
        </row>
        <row r="3495">
          <cell r="D3495">
            <v>0</v>
          </cell>
        </row>
        <row r="3496">
          <cell r="D3496">
            <v>0</v>
          </cell>
        </row>
        <row r="3497">
          <cell r="D3497">
            <v>0</v>
          </cell>
        </row>
        <row r="3498">
          <cell r="D3498">
            <v>0</v>
          </cell>
        </row>
        <row r="3499">
          <cell r="D3499">
            <v>0</v>
          </cell>
        </row>
        <row r="3500">
          <cell r="D3500">
            <v>0</v>
          </cell>
        </row>
        <row r="3501">
          <cell r="D3501">
            <v>0</v>
          </cell>
        </row>
        <row r="3502">
          <cell r="D3502">
            <v>0</v>
          </cell>
        </row>
        <row r="3503">
          <cell r="D3503">
            <v>0</v>
          </cell>
        </row>
        <row r="3504">
          <cell r="D3504">
            <v>0</v>
          </cell>
        </row>
        <row r="3505">
          <cell r="D3505">
            <v>0</v>
          </cell>
        </row>
        <row r="3506">
          <cell r="D3506">
            <v>0</v>
          </cell>
        </row>
        <row r="3507">
          <cell r="D3507">
            <v>0</v>
          </cell>
        </row>
        <row r="3508">
          <cell r="D3508">
            <v>0</v>
          </cell>
        </row>
        <row r="3509">
          <cell r="D3509">
            <v>0</v>
          </cell>
        </row>
        <row r="3510">
          <cell r="D3510">
            <v>0</v>
          </cell>
        </row>
        <row r="3511">
          <cell r="D3511">
            <v>0</v>
          </cell>
        </row>
        <row r="3512">
          <cell r="D3512">
            <v>0</v>
          </cell>
        </row>
        <row r="3513">
          <cell r="D3513">
            <v>0</v>
          </cell>
        </row>
        <row r="3514">
          <cell r="D3514">
            <v>0</v>
          </cell>
        </row>
        <row r="3515">
          <cell r="D3515">
            <v>0</v>
          </cell>
        </row>
        <row r="3516">
          <cell r="D3516">
            <v>0</v>
          </cell>
        </row>
        <row r="3517">
          <cell r="D3517">
            <v>0</v>
          </cell>
        </row>
        <row r="3518">
          <cell r="D3518">
            <v>0</v>
          </cell>
        </row>
        <row r="3519">
          <cell r="D3519">
            <v>0</v>
          </cell>
        </row>
        <row r="3520">
          <cell r="D3520">
            <v>0</v>
          </cell>
        </row>
        <row r="3521">
          <cell r="D3521">
            <v>0</v>
          </cell>
        </row>
        <row r="3522">
          <cell r="D3522">
            <v>0</v>
          </cell>
        </row>
        <row r="3523">
          <cell r="D3523">
            <v>0</v>
          </cell>
        </row>
        <row r="3524">
          <cell r="D3524">
            <v>0</v>
          </cell>
        </row>
        <row r="3525">
          <cell r="D3525">
            <v>0</v>
          </cell>
        </row>
        <row r="3526">
          <cell r="D3526">
            <v>0</v>
          </cell>
        </row>
        <row r="3527">
          <cell r="D3527">
            <v>0</v>
          </cell>
        </row>
        <row r="3528">
          <cell r="D3528">
            <v>0</v>
          </cell>
        </row>
        <row r="3529">
          <cell r="D3529">
            <v>0</v>
          </cell>
        </row>
        <row r="3530">
          <cell r="D3530">
            <v>0</v>
          </cell>
        </row>
        <row r="3531">
          <cell r="D3531">
            <v>0</v>
          </cell>
        </row>
        <row r="3532">
          <cell r="D3532">
            <v>0</v>
          </cell>
        </row>
        <row r="3533">
          <cell r="D3533">
            <v>0</v>
          </cell>
        </row>
        <row r="3534">
          <cell r="D3534">
            <v>0</v>
          </cell>
        </row>
        <row r="3535">
          <cell r="D3535">
            <v>0</v>
          </cell>
        </row>
        <row r="3536">
          <cell r="D3536">
            <v>0</v>
          </cell>
        </row>
        <row r="3537">
          <cell r="D3537">
            <v>0</v>
          </cell>
        </row>
        <row r="3538">
          <cell r="D3538">
            <v>0</v>
          </cell>
        </row>
        <row r="3539">
          <cell r="D3539">
            <v>0</v>
          </cell>
        </row>
        <row r="3540">
          <cell r="D3540">
            <v>0</v>
          </cell>
        </row>
        <row r="3541">
          <cell r="D3541">
            <v>0</v>
          </cell>
        </row>
        <row r="3542">
          <cell r="D3542">
            <v>0</v>
          </cell>
        </row>
        <row r="3543">
          <cell r="D3543">
            <v>0</v>
          </cell>
        </row>
        <row r="3544">
          <cell r="D3544">
            <v>0</v>
          </cell>
        </row>
        <row r="3545">
          <cell r="D3545">
            <v>0</v>
          </cell>
        </row>
        <row r="3546">
          <cell r="D3546">
            <v>0</v>
          </cell>
        </row>
        <row r="3547">
          <cell r="D3547">
            <v>0</v>
          </cell>
        </row>
        <row r="3548">
          <cell r="D3548">
            <v>0</v>
          </cell>
        </row>
        <row r="3549">
          <cell r="D3549">
            <v>0</v>
          </cell>
        </row>
        <row r="3550">
          <cell r="D3550">
            <v>0</v>
          </cell>
        </row>
        <row r="3551">
          <cell r="D3551">
            <v>0</v>
          </cell>
        </row>
        <row r="3552">
          <cell r="D3552">
            <v>0</v>
          </cell>
        </row>
        <row r="3553">
          <cell r="D3553">
            <v>0</v>
          </cell>
        </row>
        <row r="3554">
          <cell r="D3554">
            <v>0</v>
          </cell>
        </row>
        <row r="3555">
          <cell r="D3555">
            <v>0</v>
          </cell>
        </row>
        <row r="3556">
          <cell r="D3556">
            <v>0</v>
          </cell>
        </row>
        <row r="3557">
          <cell r="D3557">
            <v>0</v>
          </cell>
        </row>
        <row r="3558">
          <cell r="D3558">
            <v>0</v>
          </cell>
        </row>
        <row r="3559">
          <cell r="D3559">
            <v>0</v>
          </cell>
        </row>
        <row r="3560">
          <cell r="D3560">
            <v>0</v>
          </cell>
        </row>
        <row r="3561">
          <cell r="D3561">
            <v>0</v>
          </cell>
        </row>
        <row r="3562">
          <cell r="D3562">
            <v>0</v>
          </cell>
        </row>
        <row r="3563">
          <cell r="D3563">
            <v>0</v>
          </cell>
        </row>
        <row r="3564">
          <cell r="D3564">
            <v>0</v>
          </cell>
        </row>
        <row r="3565">
          <cell r="D3565">
            <v>0</v>
          </cell>
        </row>
        <row r="3566">
          <cell r="D3566">
            <v>0</v>
          </cell>
        </row>
        <row r="3567">
          <cell r="D3567">
            <v>0</v>
          </cell>
        </row>
        <row r="3568">
          <cell r="D3568">
            <v>0</v>
          </cell>
        </row>
        <row r="3569">
          <cell r="D3569">
            <v>0</v>
          </cell>
        </row>
        <row r="3570">
          <cell r="D3570">
            <v>0</v>
          </cell>
        </row>
        <row r="3571">
          <cell r="D3571">
            <v>0</v>
          </cell>
        </row>
        <row r="3572">
          <cell r="D3572">
            <v>0</v>
          </cell>
        </row>
        <row r="3573">
          <cell r="D3573">
            <v>0</v>
          </cell>
        </row>
        <row r="3574">
          <cell r="D3574">
            <v>0</v>
          </cell>
        </row>
        <row r="3575">
          <cell r="D3575">
            <v>0</v>
          </cell>
        </row>
        <row r="3576">
          <cell r="D3576">
            <v>0</v>
          </cell>
        </row>
        <row r="3577">
          <cell r="D3577">
            <v>0</v>
          </cell>
        </row>
        <row r="3578">
          <cell r="D3578">
            <v>0</v>
          </cell>
        </row>
        <row r="3579">
          <cell r="D3579">
            <v>0</v>
          </cell>
        </row>
        <row r="3580">
          <cell r="D3580">
            <v>0</v>
          </cell>
        </row>
        <row r="3581">
          <cell r="D3581">
            <v>0</v>
          </cell>
        </row>
        <row r="3582">
          <cell r="D3582">
            <v>0</v>
          </cell>
        </row>
        <row r="3583">
          <cell r="D3583">
            <v>0</v>
          </cell>
        </row>
        <row r="3584">
          <cell r="D3584">
            <v>0</v>
          </cell>
        </row>
        <row r="3585">
          <cell r="D3585">
            <v>0</v>
          </cell>
        </row>
        <row r="3586">
          <cell r="D3586">
            <v>0</v>
          </cell>
        </row>
        <row r="3587">
          <cell r="D3587">
            <v>0</v>
          </cell>
        </row>
        <row r="3588">
          <cell r="D3588">
            <v>0</v>
          </cell>
        </row>
        <row r="3589">
          <cell r="D3589">
            <v>0</v>
          </cell>
        </row>
        <row r="3590">
          <cell r="D3590">
            <v>0</v>
          </cell>
        </row>
        <row r="3591">
          <cell r="D3591">
            <v>0</v>
          </cell>
        </row>
        <row r="3592">
          <cell r="D3592">
            <v>0</v>
          </cell>
        </row>
        <row r="3593">
          <cell r="D3593">
            <v>0</v>
          </cell>
        </row>
        <row r="3594">
          <cell r="D3594">
            <v>0</v>
          </cell>
        </row>
        <row r="3595">
          <cell r="D3595">
            <v>0</v>
          </cell>
        </row>
        <row r="3596">
          <cell r="D3596">
            <v>0</v>
          </cell>
        </row>
        <row r="3597">
          <cell r="D3597">
            <v>0</v>
          </cell>
        </row>
        <row r="3598">
          <cell r="D3598">
            <v>0</v>
          </cell>
        </row>
        <row r="3599">
          <cell r="D3599">
            <v>0</v>
          </cell>
        </row>
        <row r="3600">
          <cell r="D3600">
            <v>0</v>
          </cell>
        </row>
        <row r="3601">
          <cell r="D3601">
            <v>0</v>
          </cell>
        </row>
        <row r="3602">
          <cell r="D3602">
            <v>0</v>
          </cell>
        </row>
        <row r="3603">
          <cell r="D3603">
            <v>0</v>
          </cell>
        </row>
        <row r="3604">
          <cell r="D3604">
            <v>0</v>
          </cell>
        </row>
        <row r="3605">
          <cell r="D3605">
            <v>0</v>
          </cell>
        </row>
        <row r="3606">
          <cell r="D3606">
            <v>0</v>
          </cell>
        </row>
        <row r="3607">
          <cell r="D3607">
            <v>0</v>
          </cell>
        </row>
        <row r="3608">
          <cell r="D3608">
            <v>0</v>
          </cell>
        </row>
        <row r="3609">
          <cell r="D3609">
            <v>0</v>
          </cell>
        </row>
        <row r="3610">
          <cell r="D3610">
            <v>0</v>
          </cell>
        </row>
        <row r="3611">
          <cell r="D3611">
            <v>0</v>
          </cell>
        </row>
        <row r="3612">
          <cell r="D3612">
            <v>0</v>
          </cell>
        </row>
        <row r="3613">
          <cell r="D3613">
            <v>0</v>
          </cell>
        </row>
        <row r="3614">
          <cell r="D3614">
            <v>0</v>
          </cell>
        </row>
        <row r="3615">
          <cell r="D3615">
            <v>0</v>
          </cell>
        </row>
        <row r="3616">
          <cell r="D3616">
            <v>0</v>
          </cell>
        </row>
        <row r="3617">
          <cell r="D3617">
            <v>0</v>
          </cell>
        </row>
        <row r="3618">
          <cell r="D3618">
            <v>0</v>
          </cell>
        </row>
        <row r="3619">
          <cell r="D3619">
            <v>0</v>
          </cell>
        </row>
        <row r="3620">
          <cell r="D3620">
            <v>0</v>
          </cell>
        </row>
        <row r="3621">
          <cell r="D3621">
            <v>0</v>
          </cell>
        </row>
        <row r="3622">
          <cell r="D3622">
            <v>0</v>
          </cell>
        </row>
        <row r="3623">
          <cell r="D3623">
            <v>0</v>
          </cell>
        </row>
        <row r="3624">
          <cell r="D3624">
            <v>0</v>
          </cell>
        </row>
        <row r="3625">
          <cell r="D3625">
            <v>0</v>
          </cell>
        </row>
        <row r="3626">
          <cell r="D3626">
            <v>0</v>
          </cell>
        </row>
        <row r="3627">
          <cell r="D3627">
            <v>0</v>
          </cell>
        </row>
        <row r="3628">
          <cell r="D3628">
            <v>0</v>
          </cell>
        </row>
        <row r="3629">
          <cell r="D3629">
            <v>0</v>
          </cell>
        </row>
        <row r="3630">
          <cell r="D3630">
            <v>0</v>
          </cell>
        </row>
        <row r="3631">
          <cell r="D3631">
            <v>0</v>
          </cell>
        </row>
        <row r="3632">
          <cell r="D3632">
            <v>0</v>
          </cell>
        </row>
        <row r="3633">
          <cell r="D3633">
            <v>0</v>
          </cell>
        </row>
        <row r="3634">
          <cell r="D3634">
            <v>0</v>
          </cell>
        </row>
        <row r="3635">
          <cell r="D3635">
            <v>0</v>
          </cell>
        </row>
        <row r="3636">
          <cell r="D3636">
            <v>0</v>
          </cell>
        </row>
        <row r="3637">
          <cell r="D3637">
            <v>0</v>
          </cell>
        </row>
        <row r="3638">
          <cell r="D3638">
            <v>0</v>
          </cell>
        </row>
        <row r="3639">
          <cell r="D3639">
            <v>0</v>
          </cell>
        </row>
        <row r="3640">
          <cell r="D3640">
            <v>0</v>
          </cell>
        </row>
        <row r="3641">
          <cell r="D3641">
            <v>0</v>
          </cell>
        </row>
        <row r="3642">
          <cell r="D3642">
            <v>0</v>
          </cell>
        </row>
        <row r="3643">
          <cell r="D3643">
            <v>0</v>
          </cell>
        </row>
        <row r="3644">
          <cell r="D3644">
            <v>0</v>
          </cell>
        </row>
        <row r="3645">
          <cell r="D3645">
            <v>0</v>
          </cell>
        </row>
        <row r="3646">
          <cell r="D3646">
            <v>0</v>
          </cell>
        </row>
        <row r="3647">
          <cell r="D3647">
            <v>0</v>
          </cell>
        </row>
        <row r="3648">
          <cell r="D3648">
            <v>0</v>
          </cell>
        </row>
        <row r="3649">
          <cell r="D3649">
            <v>0</v>
          </cell>
        </row>
        <row r="3650">
          <cell r="D3650">
            <v>0</v>
          </cell>
        </row>
        <row r="3651">
          <cell r="D3651">
            <v>0</v>
          </cell>
        </row>
        <row r="3652">
          <cell r="D3652">
            <v>0</v>
          </cell>
        </row>
        <row r="3653">
          <cell r="D3653">
            <v>0</v>
          </cell>
        </row>
        <row r="3654">
          <cell r="D3654">
            <v>0</v>
          </cell>
        </row>
        <row r="3655">
          <cell r="D3655">
            <v>0</v>
          </cell>
        </row>
        <row r="3656">
          <cell r="D3656">
            <v>0</v>
          </cell>
        </row>
        <row r="3657">
          <cell r="D3657">
            <v>0</v>
          </cell>
        </row>
        <row r="3658">
          <cell r="D3658">
            <v>0</v>
          </cell>
        </row>
        <row r="3659">
          <cell r="D3659">
            <v>0</v>
          </cell>
        </row>
        <row r="3660">
          <cell r="D3660">
            <v>0</v>
          </cell>
        </row>
        <row r="3661">
          <cell r="D3661">
            <v>0</v>
          </cell>
        </row>
        <row r="3662">
          <cell r="D3662">
            <v>0</v>
          </cell>
        </row>
        <row r="3663">
          <cell r="D3663">
            <v>0</v>
          </cell>
        </row>
        <row r="3664">
          <cell r="D3664">
            <v>0</v>
          </cell>
        </row>
        <row r="3665">
          <cell r="D3665">
            <v>0</v>
          </cell>
        </row>
        <row r="3666">
          <cell r="D3666">
            <v>0</v>
          </cell>
        </row>
        <row r="3667">
          <cell r="D3667">
            <v>0</v>
          </cell>
        </row>
        <row r="3668">
          <cell r="D3668">
            <v>0</v>
          </cell>
        </row>
        <row r="3669">
          <cell r="D3669">
            <v>0</v>
          </cell>
        </row>
        <row r="3670">
          <cell r="D3670">
            <v>0</v>
          </cell>
        </row>
        <row r="3671">
          <cell r="D3671">
            <v>0</v>
          </cell>
        </row>
        <row r="3672">
          <cell r="D3672">
            <v>0</v>
          </cell>
        </row>
        <row r="3673">
          <cell r="D3673">
            <v>0</v>
          </cell>
        </row>
        <row r="3674">
          <cell r="D3674">
            <v>0</v>
          </cell>
        </row>
        <row r="3675">
          <cell r="D3675">
            <v>0</v>
          </cell>
        </row>
        <row r="3676">
          <cell r="D3676">
            <v>0</v>
          </cell>
        </row>
        <row r="3677">
          <cell r="D3677">
            <v>0</v>
          </cell>
        </row>
        <row r="3678">
          <cell r="D3678">
            <v>0</v>
          </cell>
        </row>
        <row r="3679">
          <cell r="D3679">
            <v>0</v>
          </cell>
        </row>
        <row r="3680">
          <cell r="D3680">
            <v>0</v>
          </cell>
        </row>
        <row r="3681">
          <cell r="D3681">
            <v>0</v>
          </cell>
        </row>
        <row r="3682">
          <cell r="D3682">
            <v>0</v>
          </cell>
        </row>
        <row r="3683">
          <cell r="D3683">
            <v>0</v>
          </cell>
        </row>
        <row r="3684">
          <cell r="D3684">
            <v>0</v>
          </cell>
        </row>
        <row r="3685">
          <cell r="D3685">
            <v>0</v>
          </cell>
        </row>
        <row r="3686">
          <cell r="D3686">
            <v>0</v>
          </cell>
        </row>
        <row r="3687">
          <cell r="D3687">
            <v>0</v>
          </cell>
        </row>
        <row r="3688">
          <cell r="D3688">
            <v>0</v>
          </cell>
        </row>
        <row r="3689">
          <cell r="D3689">
            <v>0</v>
          </cell>
        </row>
        <row r="3690">
          <cell r="D3690">
            <v>0</v>
          </cell>
        </row>
        <row r="3691">
          <cell r="D3691">
            <v>0</v>
          </cell>
        </row>
        <row r="3692">
          <cell r="D3692">
            <v>0</v>
          </cell>
        </row>
        <row r="3693">
          <cell r="D3693">
            <v>0</v>
          </cell>
        </row>
        <row r="3694">
          <cell r="D3694">
            <v>0</v>
          </cell>
        </row>
        <row r="3695">
          <cell r="D3695">
            <v>0</v>
          </cell>
        </row>
        <row r="3696">
          <cell r="D3696">
            <v>0</v>
          </cell>
        </row>
        <row r="3697">
          <cell r="D3697">
            <v>0</v>
          </cell>
        </row>
        <row r="3698">
          <cell r="D3698">
            <v>0</v>
          </cell>
        </row>
        <row r="3699">
          <cell r="D3699">
            <v>0</v>
          </cell>
        </row>
        <row r="3700">
          <cell r="D3700">
            <v>0</v>
          </cell>
        </row>
        <row r="3701">
          <cell r="D3701">
            <v>0</v>
          </cell>
        </row>
        <row r="3702">
          <cell r="D3702">
            <v>0</v>
          </cell>
        </row>
        <row r="3703">
          <cell r="D3703">
            <v>0</v>
          </cell>
        </row>
        <row r="3704">
          <cell r="D3704">
            <v>0</v>
          </cell>
        </row>
        <row r="3705">
          <cell r="D3705">
            <v>0</v>
          </cell>
        </row>
        <row r="3706">
          <cell r="D3706">
            <v>0</v>
          </cell>
        </row>
        <row r="3707">
          <cell r="D3707">
            <v>0</v>
          </cell>
        </row>
        <row r="3708">
          <cell r="D3708">
            <v>0</v>
          </cell>
        </row>
        <row r="3709">
          <cell r="D3709">
            <v>0</v>
          </cell>
        </row>
        <row r="3710">
          <cell r="D3710">
            <v>0</v>
          </cell>
        </row>
        <row r="3711">
          <cell r="D3711">
            <v>0</v>
          </cell>
        </row>
        <row r="3712">
          <cell r="D3712">
            <v>0</v>
          </cell>
        </row>
        <row r="3713">
          <cell r="D3713">
            <v>0</v>
          </cell>
        </row>
        <row r="3714">
          <cell r="D3714">
            <v>0</v>
          </cell>
        </row>
        <row r="3715">
          <cell r="D3715">
            <v>0</v>
          </cell>
        </row>
        <row r="3716">
          <cell r="D3716">
            <v>0</v>
          </cell>
        </row>
        <row r="3717">
          <cell r="D3717">
            <v>0</v>
          </cell>
        </row>
        <row r="3718">
          <cell r="D3718">
            <v>0</v>
          </cell>
        </row>
        <row r="3719">
          <cell r="D3719">
            <v>0</v>
          </cell>
        </row>
        <row r="3720">
          <cell r="D3720">
            <v>0</v>
          </cell>
        </row>
        <row r="3721">
          <cell r="D3721">
            <v>0</v>
          </cell>
        </row>
        <row r="3722">
          <cell r="D3722">
            <v>0</v>
          </cell>
        </row>
        <row r="3723">
          <cell r="D3723">
            <v>0</v>
          </cell>
        </row>
        <row r="3724">
          <cell r="D3724">
            <v>0</v>
          </cell>
        </row>
        <row r="3725">
          <cell r="D3725">
            <v>0</v>
          </cell>
        </row>
        <row r="3726">
          <cell r="D3726">
            <v>0</v>
          </cell>
        </row>
        <row r="3727">
          <cell r="D3727">
            <v>0</v>
          </cell>
        </row>
        <row r="3728">
          <cell r="D3728">
            <v>0</v>
          </cell>
        </row>
        <row r="3729">
          <cell r="D3729">
            <v>0</v>
          </cell>
        </row>
        <row r="3730">
          <cell r="D3730">
            <v>0</v>
          </cell>
        </row>
        <row r="3731">
          <cell r="D3731">
            <v>0</v>
          </cell>
        </row>
        <row r="3732">
          <cell r="D3732">
            <v>0</v>
          </cell>
        </row>
        <row r="3733">
          <cell r="D3733">
            <v>0</v>
          </cell>
        </row>
        <row r="3734">
          <cell r="D3734">
            <v>0</v>
          </cell>
        </row>
        <row r="3735">
          <cell r="D3735">
            <v>0</v>
          </cell>
        </row>
        <row r="3736">
          <cell r="D3736">
            <v>0</v>
          </cell>
        </row>
        <row r="3737">
          <cell r="D3737">
            <v>0</v>
          </cell>
        </row>
        <row r="3738">
          <cell r="D3738">
            <v>0</v>
          </cell>
        </row>
        <row r="3739">
          <cell r="D3739">
            <v>0</v>
          </cell>
        </row>
        <row r="3740">
          <cell r="D3740">
            <v>0</v>
          </cell>
        </row>
        <row r="3741">
          <cell r="D3741">
            <v>0</v>
          </cell>
        </row>
        <row r="3742">
          <cell r="D3742">
            <v>0</v>
          </cell>
        </row>
        <row r="3743">
          <cell r="D3743">
            <v>0</v>
          </cell>
        </row>
        <row r="3744">
          <cell r="D3744">
            <v>0</v>
          </cell>
        </row>
        <row r="3745">
          <cell r="D3745">
            <v>0</v>
          </cell>
        </row>
        <row r="3746">
          <cell r="D3746">
            <v>0</v>
          </cell>
        </row>
        <row r="3747">
          <cell r="D3747">
            <v>0</v>
          </cell>
        </row>
        <row r="3748">
          <cell r="D3748">
            <v>0</v>
          </cell>
        </row>
        <row r="3749">
          <cell r="D3749">
            <v>0</v>
          </cell>
        </row>
        <row r="3750">
          <cell r="D3750">
            <v>0</v>
          </cell>
        </row>
        <row r="3751">
          <cell r="D3751">
            <v>0</v>
          </cell>
        </row>
        <row r="3752">
          <cell r="D3752">
            <v>0</v>
          </cell>
        </row>
        <row r="3753">
          <cell r="D3753">
            <v>0</v>
          </cell>
        </row>
        <row r="3754">
          <cell r="D3754">
            <v>0</v>
          </cell>
        </row>
        <row r="3755">
          <cell r="D3755">
            <v>0</v>
          </cell>
        </row>
        <row r="3756">
          <cell r="D3756">
            <v>0</v>
          </cell>
        </row>
        <row r="3757">
          <cell r="D3757">
            <v>0</v>
          </cell>
        </row>
        <row r="3758">
          <cell r="D3758">
            <v>0</v>
          </cell>
        </row>
        <row r="3759">
          <cell r="D3759">
            <v>0</v>
          </cell>
        </row>
        <row r="3760">
          <cell r="D3760">
            <v>0</v>
          </cell>
        </row>
        <row r="3761">
          <cell r="D3761">
            <v>0</v>
          </cell>
        </row>
        <row r="3762">
          <cell r="D3762">
            <v>0</v>
          </cell>
        </row>
        <row r="3763">
          <cell r="D3763">
            <v>0</v>
          </cell>
        </row>
        <row r="3764">
          <cell r="D3764">
            <v>0</v>
          </cell>
        </row>
        <row r="3765">
          <cell r="D3765">
            <v>0</v>
          </cell>
        </row>
        <row r="3766">
          <cell r="D3766">
            <v>0</v>
          </cell>
        </row>
        <row r="3767">
          <cell r="D3767">
            <v>0</v>
          </cell>
        </row>
        <row r="3768">
          <cell r="D3768">
            <v>0</v>
          </cell>
        </row>
        <row r="3769">
          <cell r="D3769">
            <v>0</v>
          </cell>
        </row>
        <row r="3770">
          <cell r="D3770">
            <v>0</v>
          </cell>
        </row>
        <row r="3771">
          <cell r="D3771">
            <v>0</v>
          </cell>
        </row>
        <row r="3772">
          <cell r="D3772">
            <v>0</v>
          </cell>
        </row>
        <row r="3773">
          <cell r="D3773">
            <v>0</v>
          </cell>
        </row>
        <row r="3774">
          <cell r="D3774">
            <v>0</v>
          </cell>
        </row>
        <row r="3775">
          <cell r="D3775">
            <v>0</v>
          </cell>
        </row>
        <row r="3776">
          <cell r="D3776">
            <v>0</v>
          </cell>
        </row>
        <row r="3777">
          <cell r="D3777">
            <v>0</v>
          </cell>
        </row>
        <row r="3778">
          <cell r="D3778">
            <v>0</v>
          </cell>
        </row>
        <row r="3779">
          <cell r="D3779">
            <v>0</v>
          </cell>
        </row>
        <row r="3780">
          <cell r="D3780">
            <v>0</v>
          </cell>
        </row>
        <row r="3781">
          <cell r="D3781">
            <v>0</v>
          </cell>
        </row>
        <row r="3782">
          <cell r="D3782">
            <v>0</v>
          </cell>
        </row>
        <row r="3783">
          <cell r="D3783">
            <v>0</v>
          </cell>
        </row>
        <row r="3784">
          <cell r="D3784">
            <v>0</v>
          </cell>
        </row>
        <row r="3785">
          <cell r="D3785">
            <v>0</v>
          </cell>
        </row>
        <row r="3786">
          <cell r="D3786">
            <v>0</v>
          </cell>
        </row>
        <row r="3787">
          <cell r="D3787">
            <v>0</v>
          </cell>
        </row>
        <row r="3788">
          <cell r="D3788">
            <v>0</v>
          </cell>
        </row>
        <row r="3789">
          <cell r="D3789">
            <v>0</v>
          </cell>
        </row>
        <row r="3790">
          <cell r="D3790">
            <v>0</v>
          </cell>
        </row>
        <row r="3791">
          <cell r="D3791">
            <v>0</v>
          </cell>
        </row>
        <row r="3792">
          <cell r="D3792">
            <v>0</v>
          </cell>
        </row>
        <row r="3793">
          <cell r="D3793">
            <v>0</v>
          </cell>
        </row>
        <row r="3794">
          <cell r="D3794">
            <v>0</v>
          </cell>
        </row>
        <row r="3795">
          <cell r="D3795">
            <v>0</v>
          </cell>
        </row>
        <row r="3796">
          <cell r="D3796">
            <v>0</v>
          </cell>
        </row>
        <row r="3797">
          <cell r="D3797">
            <v>0</v>
          </cell>
        </row>
        <row r="3798">
          <cell r="D3798">
            <v>0</v>
          </cell>
        </row>
        <row r="3799">
          <cell r="D3799">
            <v>0</v>
          </cell>
        </row>
        <row r="3800">
          <cell r="D3800">
            <v>0</v>
          </cell>
        </row>
        <row r="3801">
          <cell r="D3801">
            <v>0</v>
          </cell>
        </row>
        <row r="3802">
          <cell r="D3802">
            <v>0</v>
          </cell>
        </row>
        <row r="3803">
          <cell r="D3803">
            <v>0</v>
          </cell>
        </row>
        <row r="3804">
          <cell r="D3804">
            <v>0</v>
          </cell>
        </row>
        <row r="3805">
          <cell r="D3805">
            <v>0</v>
          </cell>
        </row>
        <row r="3806">
          <cell r="D3806">
            <v>0</v>
          </cell>
        </row>
        <row r="3807">
          <cell r="D3807">
            <v>0</v>
          </cell>
        </row>
        <row r="3808">
          <cell r="D3808">
            <v>0</v>
          </cell>
        </row>
        <row r="3809">
          <cell r="D3809">
            <v>0</v>
          </cell>
        </row>
        <row r="3810">
          <cell r="D3810">
            <v>0</v>
          </cell>
        </row>
        <row r="3811">
          <cell r="D3811">
            <v>0</v>
          </cell>
        </row>
        <row r="3812">
          <cell r="D3812">
            <v>0</v>
          </cell>
        </row>
        <row r="3813">
          <cell r="D3813">
            <v>0</v>
          </cell>
        </row>
        <row r="3814">
          <cell r="D3814">
            <v>0</v>
          </cell>
        </row>
        <row r="3815">
          <cell r="D3815">
            <v>0</v>
          </cell>
        </row>
        <row r="3816">
          <cell r="D3816">
            <v>0</v>
          </cell>
        </row>
        <row r="3817">
          <cell r="D3817">
            <v>0</v>
          </cell>
        </row>
        <row r="3818">
          <cell r="D3818">
            <v>0</v>
          </cell>
        </row>
        <row r="3819">
          <cell r="D3819">
            <v>0</v>
          </cell>
        </row>
        <row r="3820">
          <cell r="D3820">
            <v>0</v>
          </cell>
        </row>
        <row r="3821">
          <cell r="D3821">
            <v>0</v>
          </cell>
        </row>
        <row r="3822">
          <cell r="D3822">
            <v>0</v>
          </cell>
        </row>
        <row r="3823">
          <cell r="D3823">
            <v>0</v>
          </cell>
        </row>
        <row r="3824">
          <cell r="D3824">
            <v>0</v>
          </cell>
        </row>
        <row r="3825">
          <cell r="D3825">
            <v>0</v>
          </cell>
        </row>
        <row r="3826">
          <cell r="D3826">
            <v>0</v>
          </cell>
        </row>
        <row r="3827">
          <cell r="D3827">
            <v>0</v>
          </cell>
        </row>
        <row r="3828">
          <cell r="D3828">
            <v>0</v>
          </cell>
        </row>
        <row r="3829">
          <cell r="D3829">
            <v>0</v>
          </cell>
        </row>
        <row r="3830">
          <cell r="D3830">
            <v>0</v>
          </cell>
        </row>
        <row r="3831">
          <cell r="D3831">
            <v>0</v>
          </cell>
        </row>
        <row r="3832">
          <cell r="D3832">
            <v>0</v>
          </cell>
        </row>
        <row r="3833">
          <cell r="D3833">
            <v>0</v>
          </cell>
        </row>
        <row r="3834">
          <cell r="D3834">
            <v>0</v>
          </cell>
        </row>
        <row r="3835">
          <cell r="D3835">
            <v>0</v>
          </cell>
        </row>
        <row r="3836">
          <cell r="D3836">
            <v>0</v>
          </cell>
        </row>
        <row r="3837">
          <cell r="D3837">
            <v>0</v>
          </cell>
        </row>
        <row r="3838">
          <cell r="D3838">
            <v>0</v>
          </cell>
        </row>
        <row r="3839">
          <cell r="D3839">
            <v>0</v>
          </cell>
        </row>
        <row r="3840">
          <cell r="D3840">
            <v>0</v>
          </cell>
        </row>
        <row r="3841">
          <cell r="D3841">
            <v>0</v>
          </cell>
        </row>
        <row r="3842">
          <cell r="D3842">
            <v>0</v>
          </cell>
        </row>
        <row r="3843">
          <cell r="D3843">
            <v>0</v>
          </cell>
        </row>
        <row r="3844">
          <cell r="D3844">
            <v>0</v>
          </cell>
        </row>
        <row r="3845">
          <cell r="D3845">
            <v>0</v>
          </cell>
        </row>
        <row r="3846">
          <cell r="D3846">
            <v>0</v>
          </cell>
        </row>
        <row r="3847">
          <cell r="D3847">
            <v>0</v>
          </cell>
        </row>
        <row r="3848">
          <cell r="D3848">
            <v>0</v>
          </cell>
        </row>
        <row r="3849">
          <cell r="D3849">
            <v>0</v>
          </cell>
        </row>
        <row r="3850">
          <cell r="D3850">
            <v>0</v>
          </cell>
        </row>
        <row r="3851">
          <cell r="D3851">
            <v>0</v>
          </cell>
        </row>
        <row r="3852">
          <cell r="D3852">
            <v>0</v>
          </cell>
        </row>
        <row r="3853">
          <cell r="D3853">
            <v>0</v>
          </cell>
        </row>
        <row r="3854">
          <cell r="D3854">
            <v>0</v>
          </cell>
        </row>
        <row r="3855">
          <cell r="D3855">
            <v>0</v>
          </cell>
        </row>
        <row r="3856">
          <cell r="D3856">
            <v>0</v>
          </cell>
        </row>
        <row r="3857">
          <cell r="D3857">
            <v>0</v>
          </cell>
        </row>
        <row r="3858">
          <cell r="D3858">
            <v>0</v>
          </cell>
        </row>
        <row r="3859">
          <cell r="D3859">
            <v>0</v>
          </cell>
        </row>
        <row r="3860">
          <cell r="D3860">
            <v>0</v>
          </cell>
        </row>
        <row r="3861">
          <cell r="D3861">
            <v>0</v>
          </cell>
        </row>
        <row r="3862">
          <cell r="D3862">
            <v>0</v>
          </cell>
        </row>
        <row r="3863">
          <cell r="D3863">
            <v>0</v>
          </cell>
        </row>
        <row r="3864">
          <cell r="D3864">
            <v>0</v>
          </cell>
        </row>
        <row r="3865">
          <cell r="D3865">
            <v>0</v>
          </cell>
        </row>
        <row r="3866">
          <cell r="D3866">
            <v>0</v>
          </cell>
        </row>
        <row r="3867">
          <cell r="D3867">
            <v>0</v>
          </cell>
        </row>
        <row r="3868">
          <cell r="D3868">
            <v>0</v>
          </cell>
        </row>
        <row r="3869">
          <cell r="D3869">
            <v>0</v>
          </cell>
        </row>
        <row r="3870">
          <cell r="D3870">
            <v>0</v>
          </cell>
        </row>
        <row r="3871">
          <cell r="D3871">
            <v>0</v>
          </cell>
        </row>
        <row r="3872">
          <cell r="D3872">
            <v>0</v>
          </cell>
        </row>
        <row r="3873">
          <cell r="D3873">
            <v>0</v>
          </cell>
        </row>
        <row r="3874">
          <cell r="D3874">
            <v>0</v>
          </cell>
        </row>
        <row r="3875">
          <cell r="D3875">
            <v>0</v>
          </cell>
        </row>
        <row r="3876">
          <cell r="D3876">
            <v>0</v>
          </cell>
        </row>
        <row r="3877">
          <cell r="D3877">
            <v>0</v>
          </cell>
        </row>
        <row r="3878">
          <cell r="D3878">
            <v>0</v>
          </cell>
        </row>
        <row r="3879">
          <cell r="D3879">
            <v>0</v>
          </cell>
        </row>
        <row r="3880">
          <cell r="D3880">
            <v>0</v>
          </cell>
        </row>
        <row r="3881">
          <cell r="D3881">
            <v>0</v>
          </cell>
        </row>
        <row r="3882">
          <cell r="D3882">
            <v>0</v>
          </cell>
        </row>
        <row r="3883">
          <cell r="D3883">
            <v>0</v>
          </cell>
        </row>
        <row r="3884">
          <cell r="D3884">
            <v>0</v>
          </cell>
        </row>
        <row r="3885">
          <cell r="D3885">
            <v>0</v>
          </cell>
        </row>
        <row r="3886">
          <cell r="D3886">
            <v>0</v>
          </cell>
        </row>
        <row r="3887">
          <cell r="D3887">
            <v>0</v>
          </cell>
        </row>
        <row r="3888">
          <cell r="D3888">
            <v>0</v>
          </cell>
        </row>
        <row r="3889">
          <cell r="D3889">
            <v>0</v>
          </cell>
        </row>
        <row r="3890">
          <cell r="D3890">
            <v>0</v>
          </cell>
        </row>
        <row r="3891">
          <cell r="D3891">
            <v>0</v>
          </cell>
        </row>
        <row r="3892">
          <cell r="D3892">
            <v>0</v>
          </cell>
        </row>
        <row r="3893">
          <cell r="D3893">
            <v>0</v>
          </cell>
        </row>
        <row r="3894">
          <cell r="D3894">
            <v>0</v>
          </cell>
        </row>
        <row r="3895">
          <cell r="D3895">
            <v>0</v>
          </cell>
        </row>
        <row r="3896">
          <cell r="D3896">
            <v>0</v>
          </cell>
        </row>
        <row r="3897">
          <cell r="D3897">
            <v>0</v>
          </cell>
        </row>
        <row r="3898">
          <cell r="D3898">
            <v>0</v>
          </cell>
        </row>
        <row r="3899">
          <cell r="D3899">
            <v>0</v>
          </cell>
        </row>
        <row r="3900">
          <cell r="D3900">
            <v>0</v>
          </cell>
        </row>
        <row r="3901">
          <cell r="D3901">
            <v>0</v>
          </cell>
        </row>
        <row r="3902">
          <cell r="D3902">
            <v>0</v>
          </cell>
        </row>
        <row r="3903">
          <cell r="D3903">
            <v>0</v>
          </cell>
        </row>
        <row r="3904">
          <cell r="D3904">
            <v>0</v>
          </cell>
        </row>
        <row r="3905">
          <cell r="D3905">
            <v>0</v>
          </cell>
        </row>
        <row r="3906">
          <cell r="D3906">
            <v>0</v>
          </cell>
        </row>
        <row r="3907">
          <cell r="D3907">
            <v>0</v>
          </cell>
        </row>
        <row r="3908">
          <cell r="D3908">
            <v>0</v>
          </cell>
        </row>
        <row r="3909">
          <cell r="D3909">
            <v>0</v>
          </cell>
        </row>
        <row r="3910">
          <cell r="D3910">
            <v>0</v>
          </cell>
        </row>
        <row r="3911">
          <cell r="D3911">
            <v>0</v>
          </cell>
        </row>
        <row r="3912">
          <cell r="D3912">
            <v>0</v>
          </cell>
        </row>
        <row r="3913">
          <cell r="D3913">
            <v>0</v>
          </cell>
        </row>
        <row r="3914">
          <cell r="D3914">
            <v>0</v>
          </cell>
        </row>
        <row r="3915">
          <cell r="D3915">
            <v>0</v>
          </cell>
        </row>
        <row r="3916">
          <cell r="D3916">
            <v>0</v>
          </cell>
        </row>
        <row r="3917">
          <cell r="D3917">
            <v>0</v>
          </cell>
        </row>
        <row r="3918">
          <cell r="D3918">
            <v>0</v>
          </cell>
        </row>
        <row r="3919">
          <cell r="D3919">
            <v>0</v>
          </cell>
        </row>
        <row r="3920">
          <cell r="D3920">
            <v>0</v>
          </cell>
        </row>
        <row r="3921">
          <cell r="D3921">
            <v>0</v>
          </cell>
        </row>
        <row r="3922">
          <cell r="D3922">
            <v>0</v>
          </cell>
        </row>
        <row r="3923">
          <cell r="D3923">
            <v>0</v>
          </cell>
        </row>
        <row r="3924">
          <cell r="D3924">
            <v>0</v>
          </cell>
        </row>
        <row r="3925">
          <cell r="D3925">
            <v>0</v>
          </cell>
        </row>
        <row r="3926">
          <cell r="D3926">
            <v>0</v>
          </cell>
        </row>
        <row r="3927">
          <cell r="D3927">
            <v>0</v>
          </cell>
        </row>
        <row r="3928">
          <cell r="D3928">
            <v>0</v>
          </cell>
        </row>
        <row r="3929">
          <cell r="D3929">
            <v>0</v>
          </cell>
        </row>
        <row r="3930">
          <cell r="D3930">
            <v>0</v>
          </cell>
        </row>
        <row r="3931">
          <cell r="D3931">
            <v>0</v>
          </cell>
        </row>
        <row r="3932">
          <cell r="D3932">
            <v>0</v>
          </cell>
        </row>
        <row r="3933">
          <cell r="D3933">
            <v>0</v>
          </cell>
        </row>
        <row r="3934">
          <cell r="D3934">
            <v>0</v>
          </cell>
        </row>
        <row r="3935">
          <cell r="D3935">
            <v>0</v>
          </cell>
        </row>
        <row r="3936">
          <cell r="D3936">
            <v>0</v>
          </cell>
        </row>
        <row r="3937">
          <cell r="D3937">
            <v>0</v>
          </cell>
        </row>
        <row r="3938">
          <cell r="D3938">
            <v>0</v>
          </cell>
        </row>
        <row r="3939">
          <cell r="D3939">
            <v>0</v>
          </cell>
        </row>
        <row r="3940">
          <cell r="D3940">
            <v>0</v>
          </cell>
        </row>
        <row r="3941">
          <cell r="D3941">
            <v>0</v>
          </cell>
        </row>
        <row r="3942">
          <cell r="D3942">
            <v>0</v>
          </cell>
        </row>
        <row r="3943">
          <cell r="D3943">
            <v>0</v>
          </cell>
        </row>
        <row r="3944">
          <cell r="D3944">
            <v>0</v>
          </cell>
        </row>
        <row r="3945">
          <cell r="D3945">
            <v>0</v>
          </cell>
        </row>
        <row r="3946">
          <cell r="D3946">
            <v>0</v>
          </cell>
        </row>
        <row r="3947">
          <cell r="D3947">
            <v>0</v>
          </cell>
        </row>
        <row r="3948">
          <cell r="D3948">
            <v>0</v>
          </cell>
        </row>
        <row r="3949">
          <cell r="D3949">
            <v>0</v>
          </cell>
        </row>
        <row r="3950">
          <cell r="D3950">
            <v>0</v>
          </cell>
        </row>
        <row r="3951">
          <cell r="D3951">
            <v>0</v>
          </cell>
        </row>
        <row r="3952">
          <cell r="D3952">
            <v>0</v>
          </cell>
        </row>
        <row r="3953">
          <cell r="D3953">
            <v>0</v>
          </cell>
        </row>
        <row r="3954">
          <cell r="D3954">
            <v>0</v>
          </cell>
        </row>
        <row r="3955">
          <cell r="D3955">
            <v>0</v>
          </cell>
        </row>
        <row r="3956">
          <cell r="D3956">
            <v>0</v>
          </cell>
        </row>
        <row r="3957">
          <cell r="D3957">
            <v>0</v>
          </cell>
        </row>
        <row r="3958">
          <cell r="D3958">
            <v>0</v>
          </cell>
        </row>
        <row r="3959">
          <cell r="D3959">
            <v>0</v>
          </cell>
        </row>
        <row r="3960">
          <cell r="D3960">
            <v>0</v>
          </cell>
        </row>
        <row r="3961">
          <cell r="D3961">
            <v>0</v>
          </cell>
        </row>
        <row r="3962">
          <cell r="D3962">
            <v>0</v>
          </cell>
        </row>
        <row r="3963">
          <cell r="D3963">
            <v>0</v>
          </cell>
        </row>
        <row r="3964">
          <cell r="D3964">
            <v>0</v>
          </cell>
        </row>
        <row r="3965">
          <cell r="D3965">
            <v>0</v>
          </cell>
        </row>
        <row r="3966">
          <cell r="D3966">
            <v>0</v>
          </cell>
        </row>
        <row r="3967">
          <cell r="D3967">
            <v>0</v>
          </cell>
        </row>
        <row r="3968">
          <cell r="D3968">
            <v>0</v>
          </cell>
        </row>
        <row r="3969">
          <cell r="D3969">
            <v>0</v>
          </cell>
        </row>
        <row r="3970">
          <cell r="D3970">
            <v>0</v>
          </cell>
        </row>
        <row r="3971">
          <cell r="D3971">
            <v>0</v>
          </cell>
        </row>
        <row r="3972">
          <cell r="D3972">
            <v>0</v>
          </cell>
        </row>
        <row r="3973">
          <cell r="D3973">
            <v>0</v>
          </cell>
        </row>
        <row r="3974">
          <cell r="D3974">
            <v>0</v>
          </cell>
        </row>
        <row r="3975">
          <cell r="D3975">
            <v>0</v>
          </cell>
        </row>
        <row r="3976">
          <cell r="D3976">
            <v>0</v>
          </cell>
        </row>
        <row r="3977">
          <cell r="D3977">
            <v>0</v>
          </cell>
        </row>
        <row r="3978">
          <cell r="D3978">
            <v>0</v>
          </cell>
        </row>
        <row r="3979">
          <cell r="D3979">
            <v>0</v>
          </cell>
        </row>
        <row r="3980">
          <cell r="D3980">
            <v>0</v>
          </cell>
        </row>
        <row r="3981">
          <cell r="D3981">
            <v>0</v>
          </cell>
        </row>
        <row r="3982">
          <cell r="D3982">
            <v>0</v>
          </cell>
        </row>
        <row r="3983">
          <cell r="D3983">
            <v>0</v>
          </cell>
        </row>
        <row r="3984">
          <cell r="D3984">
            <v>0</v>
          </cell>
        </row>
        <row r="3985">
          <cell r="D3985">
            <v>0</v>
          </cell>
        </row>
        <row r="3986">
          <cell r="D3986">
            <v>0</v>
          </cell>
        </row>
        <row r="3987">
          <cell r="D3987">
            <v>0</v>
          </cell>
        </row>
        <row r="3988">
          <cell r="D3988">
            <v>0</v>
          </cell>
        </row>
        <row r="3989">
          <cell r="D3989">
            <v>0</v>
          </cell>
        </row>
        <row r="3990">
          <cell r="D3990">
            <v>0</v>
          </cell>
        </row>
        <row r="3991">
          <cell r="D3991">
            <v>0</v>
          </cell>
        </row>
        <row r="3992">
          <cell r="D3992">
            <v>0</v>
          </cell>
        </row>
        <row r="3993">
          <cell r="D3993">
            <v>0</v>
          </cell>
        </row>
        <row r="3994">
          <cell r="D3994">
            <v>0</v>
          </cell>
        </row>
        <row r="3995">
          <cell r="D3995">
            <v>0</v>
          </cell>
        </row>
        <row r="3996">
          <cell r="D3996">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BS"/>
      <sheetName val="PL"/>
      <sheetName val="CF Revised"/>
      <sheetName val="CF"/>
      <sheetName val="ERF"/>
      <sheetName val="CF-W"/>
      <sheetName val="Consol"/>
      <sheetName val="FN-LLC"/>
      <sheetName val="GP-LLC"/>
      <sheetName val="TB-LLC"/>
      <sheetName val="FN-IND-C"/>
      <sheetName val="FN-IND"/>
      <sheetName val="GP-IND"/>
      <sheetName val="TB-IND"/>
      <sheetName val="FN-MEC"/>
      <sheetName val="GP-MEC"/>
      <sheetName val="TB-MEC"/>
      <sheetName val="FN-GER"/>
      <sheetName val="TB-GER"/>
      <sheetName val="FN-ITL"/>
      <sheetName val="TB-ITL"/>
      <sheetName val="FN-UKL-C"/>
      <sheetName val="FN-UKL"/>
      <sheetName val="GP-UKL"/>
      <sheetName val="TB-UKL"/>
      <sheetName val="FN-ITB"/>
      <sheetName val="GP-ITB"/>
      <sheetName val="TB-ITB"/>
      <sheetName val="FN-CHN"/>
      <sheetName val="TB-CHN"/>
      <sheetName val="TB-INC"/>
      <sheetName val="NOTES"/>
    </sheetNames>
    <sheetDataSet>
      <sheetData sheetId="0">
        <row r="4">
          <cell r="D4">
            <v>1.2644277515471045</v>
          </cell>
        </row>
        <row r="5">
          <cell r="D5">
            <v>0.1210060273972605</v>
          </cell>
        </row>
      </sheetData>
      <sheetData sheetId="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refreshError="1"/>
      <sheetData sheetId="13"/>
      <sheetData sheetId="14"/>
      <sheetData sheetId="15" refreshError="1"/>
      <sheetData sheetId="16" refreshError="1"/>
      <sheetData sheetId="17" refreshError="1"/>
      <sheetData sheetId="18"/>
      <sheetData sheetId="19" refreshError="1"/>
      <sheetData sheetId="20"/>
      <sheetData sheetId="21" refreshError="1"/>
      <sheetData sheetId="22" refreshError="1"/>
      <sheetData sheetId="23"/>
      <sheetData sheetId="24" refreshError="1"/>
      <sheetData sheetId="25" refreshError="1"/>
      <sheetData sheetId="26"/>
      <sheetData sheetId="27" refreshError="1"/>
      <sheetData sheetId="28" refreshError="1"/>
      <sheetData sheetId="29"/>
      <sheetData sheetId="30" refreshError="1"/>
      <sheetData sheetId="31" refreshError="1"/>
      <sheetData sheetId="32"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and Estimate - SFSO"/>
      <sheetName val="Revenue model"/>
      <sheetName val="Capex plan"/>
      <sheetName val="Costs"/>
      <sheetName val="Mktg"/>
      <sheetName val="Assumptions"/>
    </sheetNames>
    <sheetDataSet>
      <sheetData sheetId="0"/>
      <sheetData sheetId="1"/>
      <sheetData sheetId="2"/>
      <sheetData sheetId="3"/>
      <sheetData sheetId="4"/>
      <sheetData sheetId="5"/>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PLANTS"/>
      <sheetName val="TALSTOCKVAL"/>
      <sheetName val="BKCSTOCKVAL"/>
      <sheetName val="MAHSTOCKVAL"/>
    </sheetNames>
    <sheetDataSet>
      <sheetData sheetId="0"/>
      <sheetData sheetId="1"/>
      <sheetData sheetId="2"/>
      <sheetData sheetId="3"/>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mbai"/>
      <sheetName val="MUTIL&amp;BUILD-SECURE"/>
      <sheetName val="MUTIL&amp;BUILD-ELEC"/>
      <sheetName val="MUTIL&amp;BUILDCIV-BUILD"/>
      <sheetName val="MUTIL&amp;BUILD-HVAC"/>
      <sheetName val="MELECTRONICS"/>
      <sheetName val="MRACKS"/>
      <sheetName val="MKNOWHOW"/>
      <sheetName val="MMFA"/>
      <sheetName val="Bangalore"/>
      <sheetName val="Cover"/>
      <sheetName val="Index"/>
      <sheetName val="Ex summary"/>
      <sheetName val="Level 0"/>
      <sheetName val="Level2-PoP"/>
      <sheetName val="Level2-B'lore,Mum(2)"/>
      <sheetName val="Level3-Mumbai 11111111111111111"/>
      <sheetName val="Level 3 PoP22222222222222222222"/>
      <sheetName val="backup3333333333333333333333333"/>
      <sheetName val="Level 3-B'lore44444444444444444"/>
      <sheetName val="Assmpns555555555555555555555555"/>
      <sheetName val="IDC computation6666666666666666"/>
      <sheetName val="Employee costs77777777777777777"/>
      <sheetName val="Prelim and preops88888888888888"/>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refreshError="1"/>
      <sheetData sheetId="19"/>
      <sheetData sheetId="20"/>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Compt"/>
      <sheetName val="BS"/>
      <sheetName val="PL"/>
      <sheetName val="Schedules -BS "/>
      <sheetName val="Schedule-PL"/>
      <sheetName val="FA"/>
      <sheetName val="AJE"/>
      <sheetName val="T"/>
      <sheetName val="RJE"/>
      <sheetName val="Group Summary"/>
      <sheetName val="MAT"/>
      <sheetName val="GT_Custom"/>
      <sheetName val="EPS"/>
      <sheetName val="Tax Provisioning"/>
      <sheetName val="IT Depp"/>
      <sheetName val="Advance Tax Paid"/>
      <sheetName val="Lead Sheet"/>
      <sheetName val="Deff Tax"/>
      <sheetName val="IVFinancials(3)"/>
    </sheetNames>
    <definedNames>
      <definedName name="_xlbgnm.bs1"/>
      <definedName name="Group4"/>
      <definedName name="HR"/>
      <definedName name="SaveWorkbookNo"/>
      <definedName name="SaveWorkbookYe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for Memo1"/>
      <sheetName val="Summary for Memo2"/>
      <sheetName val="Summary for Memo 2"/>
      <sheetName val="Summary for Memo3"/>
      <sheetName val="Summary for Memo 4"/>
      <sheetName val="Promote Alt1"/>
      <sheetName val="Promote Alt2"/>
      <sheetName val="Case Selection"/>
      <sheetName val="Closing Costs"/>
      <sheetName val="Asset Mgmt Fees"/>
      <sheetName val="Asset Basis Allocation"/>
      <sheetName val="Summary for CALSTRS"/>
      <sheetName val="Allocation"/>
      <sheetName val="Summary"/>
      <sheetName val="Summary (2)"/>
      <sheetName val="Rollup Summary"/>
      <sheetName val="Rollup CFs"/>
      <sheetName val="Hurdles"/>
      <sheetName val="PrintManagerCode"/>
      <sheetName val="1440 Broadway Summary"/>
      <sheetName val="1440 Broadway CFs"/>
      <sheetName val="350 Madison Summary"/>
      <sheetName val="350 Madison CFs"/>
      <sheetName val="1 N Dearborn Summary"/>
      <sheetName val="1 N Dearborn CFs"/>
      <sheetName val="1 N LaSalle Summary"/>
      <sheetName val="1 N LaSalle CFs"/>
      <sheetName val="360 N Michigan Summary"/>
      <sheetName val="360 N Michigan CFs"/>
      <sheetName val="W Jefferson Summary"/>
      <sheetName val="W Jefferson CFs"/>
      <sheetName val="First National Summary"/>
      <sheetName val="First National CFs"/>
      <sheetName val="Penobscot Summary"/>
      <sheetName val="Penobscot CFs"/>
      <sheetName val="B of A Tower Summary"/>
      <sheetName val="B of A Tower CFs"/>
      <sheetName val="Northlake Summary"/>
      <sheetName val="Northlake CFs"/>
      <sheetName val="Argus Cases-----&gt;"/>
      <sheetName val="1440 Broadway Argus - Base"/>
      <sheetName val="1440 Broadway Argus - Max "/>
      <sheetName val="1440 Broadway Argus - MS"/>
      <sheetName val="350 Madison Argus - Base"/>
      <sheetName val="350 Madison Argus - MAx"/>
      <sheetName val="350 Madison Argus - MS"/>
      <sheetName val="1 N Dearborn Argus - Base"/>
      <sheetName val="One North Dearborn Argus - Max"/>
      <sheetName val="1 N Dearborn Argus - MS"/>
      <sheetName val="1 N LaSalle Argus - Base"/>
      <sheetName val="One North LaSalle Argus - Max"/>
      <sheetName val="1 N LaSalle Argus - MS"/>
      <sheetName val="360 N Michigan Argus - Base"/>
      <sheetName val="360 Michigan Argus - Max"/>
      <sheetName val="360 N Michigan Argus - MS"/>
      <sheetName val="W Jefferson Argus - Base"/>
      <sheetName val="150 W Jefferson Argus - Max"/>
      <sheetName val="W Jefferson Argus - MS"/>
      <sheetName val="First National Argus -Base"/>
      <sheetName val="1st National Argus - Max"/>
      <sheetName val="First National Argus -MS"/>
      <sheetName val="Penobscot Argus - Base"/>
      <sheetName val="Penobscot Argus - Max"/>
      <sheetName val="Penobscot Argus - MS"/>
      <sheetName val="B of A Tower Argus - Base"/>
      <sheetName val="B of A Tower Argus - Max"/>
      <sheetName val="B of A Tower Argus - MS"/>
      <sheetName val="Northlake Argus - Base"/>
      <sheetName val="Northlake Argus - Max"/>
      <sheetName val="Northlake Argus - MS"/>
      <sheetName val="Level 0"/>
      <sheetName val="Rock Model 06-12-02"/>
      <sheetName val="Summary_for_Memo1"/>
      <sheetName val="Summary_for_Memo2"/>
      <sheetName val="Summary_for_Memo_2"/>
      <sheetName val="Summary_for_Memo3"/>
      <sheetName val="Summary_for_Memo_4"/>
      <sheetName val="Promote_Alt1"/>
      <sheetName val="Promote_Alt2"/>
      <sheetName val="Case_Selection"/>
      <sheetName val="Closing_Costs"/>
      <sheetName val="Asset_Mgmt_Fees"/>
      <sheetName val="Asset_Basis_Allocation"/>
      <sheetName val="Summary_for_CALSTRS"/>
      <sheetName val="Summary_(2)"/>
      <sheetName val="Rollup_Summary"/>
      <sheetName val="Rollup_CFs"/>
      <sheetName val="1440_Broadway_Summary"/>
      <sheetName val="1440_Broadway_CFs"/>
      <sheetName val="350_Madison_Summary"/>
      <sheetName val="350_Madison_CFs"/>
      <sheetName val="1_N_Dearborn_Summary"/>
      <sheetName val="1_N_Dearborn_CFs"/>
      <sheetName val="1_N_LaSalle_Summary"/>
      <sheetName val="1_N_LaSalle_CFs"/>
      <sheetName val="360_N_Michigan_Summary"/>
      <sheetName val="360_N_Michigan_CFs"/>
      <sheetName val="W_Jefferson_Summary"/>
      <sheetName val="W_Jefferson_CFs"/>
      <sheetName val="First_National_Summary"/>
      <sheetName val="First_National_CFs"/>
      <sheetName val="Penobscot_Summary"/>
      <sheetName val="Penobscot_CFs"/>
      <sheetName val="B_of_A_Tower_Summary"/>
      <sheetName val="B_of_A_Tower_CFs"/>
      <sheetName val="Northlake_Summary"/>
      <sheetName val="Northlake_CFs"/>
      <sheetName val="Argus_Cases-----&gt;"/>
      <sheetName val="1440_Broadway_Argus_-_Base"/>
      <sheetName val="1440_Broadway_Argus_-_Max_"/>
      <sheetName val="1440_Broadway_Argus_-_MS"/>
      <sheetName val="350_Madison_Argus_-_Base"/>
      <sheetName val="350_Madison_Argus_-_MAx"/>
      <sheetName val="350_Madison_Argus_-_MS"/>
      <sheetName val="1_N_Dearborn_Argus_-_Base"/>
      <sheetName val="One_North_Dearborn_Argus_-_Max"/>
      <sheetName val="1_N_Dearborn_Argus_-_MS"/>
      <sheetName val="1_N_LaSalle_Argus_-_Base"/>
      <sheetName val="One_North_LaSalle_Argus_-_Max"/>
      <sheetName val="1_N_LaSalle_Argus_-_MS"/>
      <sheetName val="360_N_Michigan_Argus_-_Base"/>
      <sheetName val="360_Michigan_Argus_-_Max"/>
      <sheetName val="360_N_Michigan_Argus_-_MS"/>
      <sheetName val="W_Jefferson_Argus_-_Base"/>
      <sheetName val="150_W_Jefferson_Argus_-_Max"/>
      <sheetName val="W_Jefferson_Argus_-_MS"/>
      <sheetName val="First_National_Argus_-Base"/>
      <sheetName val="1st_National_Argus_-_Max"/>
      <sheetName val="First_National_Argus_-MS"/>
      <sheetName val="Penobscot_Argus_-_Base"/>
      <sheetName val="Penobscot_Argus_-_Max"/>
      <sheetName val="Penobscot_Argus_-_MS"/>
      <sheetName val="B_of_A_Tower_Argus_-_Base"/>
      <sheetName val="B_of_A_Tower_Argus_-_Max"/>
      <sheetName val="B_of_A_Tower_Argus_-_MS"/>
      <sheetName val="Northlake_Argus_-_Base"/>
      <sheetName val="Northlake_Argus_-_Max"/>
      <sheetName val="Northlake_Argus_-_MS"/>
      <sheetName val="Assumptions"/>
      <sheetName val="Sheet3 (2)"/>
      <sheetName val="目录"/>
    </sheetNames>
    <sheetDataSet>
      <sheetData sheetId="0">
        <row r="26">
          <cell r="H26">
            <v>800000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6">
          <cell r="H26">
            <v>800000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Summary"/>
      <sheetName val="Industry Snapshot"/>
      <sheetName val="Sheet1"/>
      <sheetName val="Data Sheet"/>
      <sheetName val="Growth"/>
    </sheetNames>
    <sheetDataSet>
      <sheetData sheetId="0"/>
      <sheetData sheetId="1" refreshError="1"/>
      <sheetData sheetId="2"/>
      <sheetData sheetId="3" refreshError="1"/>
      <sheetData sheetId="4" refreshError="1"/>
      <sheetData sheetId="5"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JV"/>
      <sheetName val="Opening Balance"/>
      <sheetName val="Depre on OP"/>
      <sheetName val="Additions 1998-99"/>
      <sheetName val="JV"/>
      <sheetName val="Depre Schedule"/>
      <sheetName val="Depre Schedule Land"/>
      <sheetName val="Depre Schedule Policy"/>
      <sheetName val="Land &amp; Cap WIP"/>
      <sheetName val="Land Sale"/>
      <sheetName val="Road Construction"/>
      <sheetName val="Sheet1"/>
      <sheetName val="Furniture"/>
      <sheetName val="Annex 1 &amp;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afety"/>
      <sheetName val="CommCrv"/>
      <sheetName val="Sulphur"/>
      <sheetName val="451S"/>
      <sheetName val="452S"/>
      <sheetName val="453S"/>
      <sheetName val="Wkly-Analysis"/>
      <sheetName val="Manpower"/>
      <sheetName val="Front Analysis"/>
      <sheetName val="R-EQPT"/>
      <sheetName val="UG"/>
      <sheetName val="P&amp;M"/>
      <sheetName val="old file for cuml.plan"/>
      <sheetName val="hydrotesting"/>
      <sheetName val="Sysloops-451"/>
      <sheetName val="Sysloops-452"/>
      <sheetName val="forecast plan"/>
      <sheetName val="Concrete"/>
      <sheetName val="CONCRETE1"/>
      <sheetName val="CONCRETE2"/>
      <sheetName val="S-Curve"/>
      <sheetName val="Piping_fab"/>
      <sheetName val="UG piping"/>
      <sheetName val="Piping_instln"/>
      <sheetName val="Str_steel fab"/>
      <sheetName val="Str_steel"/>
      <sheetName val="Equipment"/>
      <sheetName val="F_heaters, Boilers"/>
      <sheetName val="Electrical"/>
      <sheetName val="Refractory"/>
      <sheetName val="Insulation"/>
      <sheetName val="Instruments"/>
      <sheetName val="Painting"/>
      <sheetName val="critical issues"/>
      <sheetName val="Wkly_Analysis"/>
    </sheetNames>
    <sheetDataSet>
      <sheetData sheetId="0"/>
      <sheetData sheetId="1"/>
      <sheetData sheetId="2"/>
      <sheetData sheetId="3"/>
      <sheetData sheetId="4"/>
      <sheetData sheetId="5"/>
      <sheetData sheetId="6"/>
      <sheetData sheetId="7" refreshError="1">
        <row r="2">
          <cell r="B2" t="str">
            <v>Weekly Report - Sulphur Complex ( 451,452,453 )</v>
          </cell>
        </row>
        <row r="3">
          <cell r="B3" t="str">
            <v>Progress Analysis for the week ending</v>
          </cell>
          <cell r="H3">
            <v>36301</v>
          </cell>
        </row>
        <row r="4">
          <cell r="B4" t="str">
            <v>Jamnagar Refinery Complex</v>
          </cell>
        </row>
        <row r="5">
          <cell r="B5" t="str">
            <v xml:space="preserve">Sl. </v>
          </cell>
          <cell r="C5" t="str">
            <v>Discipline / Commodity</v>
          </cell>
          <cell r="D5" t="str">
            <v>Resp.</v>
          </cell>
          <cell r="E5" t="str">
            <v>Uom</v>
          </cell>
          <cell r="F5" t="str">
            <v xml:space="preserve">Total </v>
          </cell>
          <cell r="G5" t="str">
            <v>Cumm.</v>
          </cell>
          <cell r="H5" t="str">
            <v xml:space="preserve">Balance </v>
          </cell>
          <cell r="I5" t="str">
            <v>Plan</v>
          </cell>
          <cell r="J5" t="str">
            <v>Actual</v>
          </cell>
          <cell r="K5" t="str">
            <v>Plan %</v>
          </cell>
          <cell r="L5" t="str">
            <v>Act. %</v>
          </cell>
          <cell r="M5" t="str">
            <v>Variance</v>
          </cell>
          <cell r="N5" t="str">
            <v>Reason for Variance.</v>
          </cell>
          <cell r="O5" t="str">
            <v>Gross</v>
          </cell>
          <cell r="P5" t="str">
            <v>Net</v>
          </cell>
          <cell r="Q5" t="str">
            <v>Plan</v>
          </cell>
        </row>
        <row r="6">
          <cell r="B6" t="str">
            <v>no.</v>
          </cell>
          <cell r="F6" t="str">
            <v>Scope</v>
          </cell>
          <cell r="G6" t="str">
            <v>Comp.</v>
          </cell>
          <cell r="H6" t="str">
            <v>Qty.</v>
          </cell>
          <cell r="K6" t="str">
            <v>Contri.</v>
          </cell>
          <cell r="L6" t="str">
            <v>Contri.</v>
          </cell>
          <cell r="O6" t="str">
            <v>Front</v>
          </cell>
          <cell r="P6" t="str">
            <v>Front</v>
          </cell>
          <cell r="Q6" t="str">
            <v>next wk</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eral"/>
      <sheetName val="Sen"/>
      <sheetName val="Returns (Q)"/>
      <sheetName val="Debt (Q)"/>
      <sheetName val="Dividends"/>
      <sheetName val="Sum 1"/>
      <sheetName val="Sum 2"/>
      <sheetName val="Sum 3"/>
      <sheetName val="Sum 4"/>
      <sheetName val="Comps 1"/>
      <sheetName val="Comps 2"/>
      <sheetName val="Comps 3"/>
      <sheetName val="Returns (A)"/>
      <sheetName val="Tax"/>
      <sheetName val="A-EF&amp;B"/>
      <sheetName val="EF&amp;B (Q)"/>
      <sheetName val="EF&amp;B (A)"/>
      <sheetName val="EF&amp;B (Dep)"/>
      <sheetName val="A-Multiplex"/>
      <sheetName val="Multiplex (Q)"/>
      <sheetName val="Multiplex (A)"/>
      <sheetName val="Multiplex (Dep)"/>
      <sheetName val="A-Office"/>
      <sheetName val="Office (Q)"/>
      <sheetName val="Office (A)"/>
      <sheetName val="Office (Dep)"/>
      <sheetName val="A-Retail"/>
      <sheetName val="Retail (Q)"/>
      <sheetName val="Retail (A)"/>
      <sheetName val="Retail (Dep)"/>
      <sheetName val="A-Club"/>
      <sheetName val="Club (Q)"/>
      <sheetName val="Club (A)"/>
      <sheetName val="Club (Dep)"/>
      <sheetName val="A-Hotel"/>
      <sheetName val="Hotel (Q)"/>
      <sheetName val="Hotel (A)"/>
      <sheetName val="Hotel Backup"/>
      <sheetName val="Hotel (Dep)"/>
      <sheetName val="A-Svc Apt"/>
      <sheetName val="Svc Apt (Q)"/>
      <sheetName val="O- Svc Apt (A)"/>
      <sheetName val="Svc Apt Backup"/>
      <sheetName val="Svc Apt (Dep)"/>
      <sheetName val="A-Condo"/>
      <sheetName val="Condo (Q)"/>
      <sheetName val="Condo (A)"/>
      <sheetName val="Calc-Schedule"/>
      <sheetName val="Cost Breakdown"/>
      <sheetName val="Wkly-Analysis"/>
      <sheetName val="Rollup Summary"/>
      <sheetName val="A_General"/>
      <sheetName val="Project Magic Model_29-July-05"/>
      <sheetName val="Returns_(Q)"/>
      <sheetName val="Debt_(Q)"/>
      <sheetName val="Sum_1"/>
      <sheetName val="Sum_2"/>
      <sheetName val="Sum_3"/>
      <sheetName val="Sum_4"/>
      <sheetName val="Comps_1"/>
      <sheetName val="Comps_2"/>
      <sheetName val="Comps_3"/>
      <sheetName val="Returns_(A)"/>
      <sheetName val="EF&amp;B_(Q)"/>
      <sheetName val="EF&amp;B_(A)"/>
      <sheetName val="EF&amp;B_(Dep)"/>
      <sheetName val="Multiplex_(Q)"/>
      <sheetName val="Multiplex_(A)"/>
      <sheetName val="Multiplex_(Dep)"/>
      <sheetName val="Office_(Q)"/>
      <sheetName val="Office_(A)"/>
      <sheetName val="Office_(Dep)"/>
      <sheetName val="Retail_(Q)"/>
      <sheetName val="Retail_(A)"/>
      <sheetName val="Retail_(Dep)"/>
      <sheetName val="Club_(Q)"/>
      <sheetName val="Club_(A)"/>
      <sheetName val="Club_(Dep)"/>
      <sheetName val="Hotel_(Q)"/>
      <sheetName val="Hotel_(A)"/>
      <sheetName val="Hotel_Backup"/>
      <sheetName val="Hotel_(Dep)"/>
      <sheetName val="A-Svc_Apt"/>
      <sheetName val="Svc_Apt_(Q)"/>
      <sheetName val="O-_Svc_Apt_(A)"/>
      <sheetName val="Svc_Apt_Backup"/>
      <sheetName val="Svc_Apt_(Dep)"/>
      <sheetName val="Condo_(Q)"/>
      <sheetName val="Condo_(A)"/>
      <sheetName val="Cost_Breakdown"/>
      <sheetName val="Project_Magic_Model_29-July-05"/>
    </sheetNames>
    <sheetDataSet>
      <sheetData sheetId="0" refreshError="1">
        <row r="9">
          <cell r="J9" t="str">
            <v>Project Magic</v>
          </cell>
        </row>
      </sheetData>
      <sheetData sheetId="1">
        <row r="9">
          <cell r="J9" t="str">
            <v>Project Magic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10"/>
      <sheetName val="SCH 11A"/>
      <sheetName val="SCH 11B"/>
      <sheetName val="SCH 11C"/>
      <sheetName val="SCH 11D"/>
      <sheetName val="SCH 11E"/>
      <sheetName val="SCH 11F"/>
      <sheetName val="SCH 11G"/>
      <sheetName val="SCH 11H"/>
      <sheetName val="SCH 11 I"/>
      <sheetName val="SCH 11J"/>
      <sheetName val="SCH 12"/>
      <sheetName val="SCH 12A"/>
      <sheetName val="SCH 12B"/>
      <sheetName val="SCHD 12C"/>
      <sheetName val="SCH 12D"/>
      <sheetName val="SCH 12E"/>
      <sheetName val="SCH 13"/>
      <sheetName val="Tit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nce Analysis "/>
      <sheetName val="Revenue Summary"/>
      <sheetName val="Revenue Template"/>
      <sheetName val="SVBTC"/>
      <sheetName val="Consultant"/>
      <sheetName val="VHRP O&amp;M"/>
      <sheetName val="APEL working"/>
      <sheetName val="East Hyberabad"/>
      <sheetName val="WGEL Status"/>
      <sheetName val="WGEL O&amp;M"/>
      <sheetName val="Wgel extra work"/>
      <sheetName val="TRDCL schedule"/>
      <sheetName val="TRDCL extra work"/>
      <sheetName val="NKEL O&amp;M"/>
      <sheetName val="AMRP Oper and maint"/>
      <sheetName val="AMRP Toll"/>
      <sheetName val="Tickmarks"/>
      <sheetName val="SCH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epn Sch"/>
      <sheetName val="Rates"/>
      <sheetName val="Asset Card"/>
      <sheetName val="Sheet3"/>
      <sheetName val="Sheet1"/>
      <sheetName val="slab01"/>
      <sheetName val="Invoices for February 2003"/>
      <sheetName val="Depn day basis - SoCrates - Co"/>
      <sheetName val="#REF"/>
      <sheetName val="Consolidation _Rs"/>
      <sheetName val="CRITERIA1"/>
      <sheetName val="Parameters&amp;Notes"/>
      <sheetName val="WNS NA 31.03.04"/>
      <sheetName val="WNS UK 31.03.04"/>
      <sheetName val="Discounted Cash Flow"/>
      <sheetName val="Interim NWA converted Dec02~Bal"/>
      <sheetName val="entitlements"/>
      <sheetName val="fa"/>
      <sheetName val="SCH4"/>
      <sheetName val="Ann I"/>
      <sheetName val="Other"/>
      <sheetName val="Summary"/>
      <sheetName val="30.09.00"/>
      <sheetName val="INV"/>
      <sheetName val="R.1.5_GL Dump"/>
      <sheetName val="3A - Segment Calculation"/>
      <sheetName val="Schedules"/>
      <sheetName val="BS Rec Control Sheet"/>
      <sheetName val="PayReg_Master"/>
      <sheetName val="inputs"/>
      <sheetName val="Biz_case"/>
      <sheetName val="Insert"/>
      <sheetName val="Annual"/>
      <sheetName val="nglrpt042964858"/>
      <sheetName val="INPUT"/>
      <sheetName val="10W"/>
      <sheetName val="months"/>
      <sheetName val="Consolidated Budget Worksheet"/>
      <sheetName val="OCT"/>
      <sheetName val="NOV"/>
      <sheetName val="APRIL"/>
      <sheetName val="MAI"/>
      <sheetName val="JUNE"/>
      <sheetName val="JUL"/>
      <sheetName val="SEPT"/>
      <sheetName val="master"/>
      <sheetName val="Parameter_sheet"/>
      <sheetName val="Balance Sheet "/>
      <sheetName val="wdr bldg"/>
      <sheetName val="Index Calculation"/>
      <sheetName val="OneSource Data (2)"/>
      <sheetName val="Balance sheet"/>
      <sheetName val="P&amp;L"/>
      <sheetName val="SCH-A,B,C"/>
      <sheetName val="gen ledger data"/>
      <sheetName val="LE-FTE-Nos"/>
      <sheetName val="CRA Calculator"/>
      <sheetName val="Assumptions"/>
      <sheetName val="FINAL"/>
      <sheetName val="BS-203"/>
      <sheetName val="tb31-03-03"/>
      <sheetName val="Break up Sheet"/>
      <sheetName val="Grpng Dtls"/>
      <sheetName val="G"/>
      <sheetName val="Schedule"/>
      <sheetName val="India Mapping"/>
      <sheetName val="NOTES"/>
      <sheetName val="Index"/>
      <sheetName val="BSPL"/>
      <sheetName val="BS and P&amp;L"/>
      <sheetName val="wip FG"/>
      <sheetName val="97-98"/>
      <sheetName val="inst"/>
      <sheetName val="Hub Inputs"/>
      <sheetName val="Depn_Sch"/>
      <sheetName val="Asset_Card"/>
      <sheetName val="Invoices_for_February_2003"/>
      <sheetName val="Depn_day_basis_-_SoCrates_-_Co"/>
      <sheetName val="Consolidation__Rs"/>
      <sheetName val="WNS_NA_31_03_04"/>
      <sheetName val="WNS_UK_31_03_04"/>
      <sheetName val="Discounted_Cash_Flow"/>
      <sheetName val="Interim_NWA_converted_Dec02~Bal"/>
      <sheetName val="BS_Rec_Control_Sheet"/>
      <sheetName val="Consolidated_Budget_Worksheet"/>
      <sheetName val="30_09_00"/>
      <sheetName val="R_1_5_GL_Dump"/>
      <sheetName val="3A_-_Segment_Calculation"/>
      <sheetName val="wdr_bldg"/>
      <sheetName val="Index_Calculation"/>
      <sheetName val="OneSource_Data_(2)"/>
      <sheetName val="gen_ledger_data"/>
      <sheetName val="Ann_I"/>
      <sheetName val="Balance_sheet"/>
      <sheetName val="Balance_Sheet_"/>
      <sheetName val="Break_up_Sheet"/>
      <sheetName val="CRA_Calculator"/>
      <sheetName val="BS_and_P&amp;L"/>
      <sheetName val="Grpng_Dtls"/>
      <sheetName val="wip_FG"/>
      <sheetName val="Depn_Sch1"/>
      <sheetName val="Asset_Card1"/>
      <sheetName val="Invoices_for_February_20031"/>
      <sheetName val="Depn_day_basis_-_SoCrates_-_Co1"/>
      <sheetName val="Consolidation__Rs1"/>
      <sheetName val="WNS_NA_31_03_041"/>
      <sheetName val="WNS_UK_31_03_041"/>
      <sheetName val="Discounted_Cash_Flow1"/>
      <sheetName val="Interim_NWA_converted_Dec02~Ba1"/>
      <sheetName val="BS_Rec_Control_Sheet1"/>
      <sheetName val="Consolidated_Budget_Worksheet1"/>
      <sheetName val="30_09_001"/>
      <sheetName val="R_1_5_GL_Dump1"/>
      <sheetName val="3A_-_Segment_Calculation1"/>
      <sheetName val="wdr_bldg1"/>
      <sheetName val="Index_Calculation1"/>
      <sheetName val="OneSource_Data_(2)1"/>
      <sheetName val="gen_ledger_data1"/>
      <sheetName val="Ann_I1"/>
      <sheetName val="Balance_sheet1"/>
      <sheetName val="Balance_Sheet_1"/>
      <sheetName val="Break_up_Sheet1"/>
      <sheetName val="CRA_Calculator1"/>
      <sheetName val="BS_and_P&amp;L1"/>
      <sheetName val="Grpng_Dtls1"/>
      <sheetName val="wip_FG1"/>
      <sheetName val="Part A General"/>
      <sheetName val="trial (2)"/>
      <sheetName val="Comp"/>
      <sheetName val="STD2001"/>
      <sheetName val="mar04bs"/>
      <sheetName val="spl-sch"/>
      <sheetName val="Sep 2013"/>
      <sheetName val="CF"/>
      <sheetName val="Contribution"/>
      <sheetName val="Rx"/>
      <sheetName val="Summary Sales"/>
      <sheetName val="Lists"/>
      <sheetName val="Pg.1 Marketing Info"/>
      <sheetName val="Arrear Salary Sheet"/>
      <sheetName val="Control"/>
      <sheetName val="accounts"/>
      <sheetName val="INCOME CAP APPROACH SUM"/>
      <sheetName val="LANGUAGE"/>
      <sheetName val="FORM-16"/>
      <sheetName val="Sch 1-11"/>
      <sheetName val="Challan"/>
      <sheetName val="Lists &amp; Tables"/>
      <sheetName val="PCRPT01"/>
      <sheetName val="VLOOK"/>
      <sheetName val="Key Indicators no allocations"/>
      <sheetName val="2008 P&amp;L without allocations"/>
      <sheetName val="Ledger Reco_311008"/>
      <sheetName val="UK"/>
      <sheetName val="May 09"/>
      <sheetName val="for challans"/>
      <sheetName val="Data Input for MTD SAles"/>
      <sheetName val="P&amp;L February"/>
      <sheetName val="P&amp;L Feb 2001 cumulative"/>
      <sheetName val="Depn_Sch2"/>
      <sheetName val="Asset_Card2"/>
      <sheetName val="Invoices_for_February_20032"/>
      <sheetName val="WNS_NA_31_03_042"/>
      <sheetName val="WNS_UK_31_03_042"/>
      <sheetName val="Discounted_Cash_Flow2"/>
      <sheetName val="Interim_NWA_converted_Dec02~Ba2"/>
      <sheetName val="Consolidation__Rs2"/>
      <sheetName val="BS_Rec_Control_Sheet2"/>
      <sheetName val="Depn_day_basis_-_SoCrates_-_Co2"/>
      <sheetName val="wdr_bldg2"/>
      <sheetName val="Index_Calculation2"/>
      <sheetName val="OneSource_Data_(2)2"/>
      <sheetName val="Balance_sheet2"/>
      <sheetName val="Consolidated_Budget_Worksheet2"/>
      <sheetName val="30_09_002"/>
      <sheetName val="R_1_5_GL_Dump2"/>
      <sheetName val="3A_-_Segment_Calculation2"/>
      <sheetName val="gen_ledger_data2"/>
      <sheetName val="Balance_Sheet_2"/>
      <sheetName val="Ann_I2"/>
      <sheetName val="Break_up_Sheet2"/>
      <sheetName val="CRA_Calculator2"/>
      <sheetName val="BS_and_P&amp;L2"/>
      <sheetName val="Grpng_Dtls2"/>
      <sheetName val="wip_FG2"/>
      <sheetName val="Part_A_General"/>
      <sheetName val="Hub_Inputs"/>
      <sheetName val="trial_(2)"/>
      <sheetName val="India_Mapping"/>
      <sheetName val="Sep_2013"/>
      <sheetName val="Pg_1_Marketing_Info"/>
      <sheetName val="Arrear_Salary_Sheet"/>
      <sheetName val="Summary_Sales"/>
      <sheetName val="Depn_Sch3"/>
      <sheetName val="Asset_Card3"/>
      <sheetName val="Invoices_for_February_20033"/>
      <sheetName val="WNS_NA_31_03_043"/>
      <sheetName val="WNS_UK_31_03_043"/>
      <sheetName val="Discounted_Cash_Flow3"/>
      <sheetName val="Interim_NWA_converted_Dec02~Ba3"/>
      <sheetName val="Consolidation__Rs3"/>
      <sheetName val="BS_Rec_Control_Sheet3"/>
      <sheetName val="Depn_day_basis_-_SoCrates_-_Co3"/>
      <sheetName val="wdr_bldg3"/>
      <sheetName val="Index_Calculation3"/>
      <sheetName val="OneSource_Data_(2)3"/>
      <sheetName val="Balance_sheet3"/>
      <sheetName val="Consolidated_Budget_Worksheet3"/>
      <sheetName val="30_09_003"/>
      <sheetName val="R_1_5_GL_Dump3"/>
      <sheetName val="3A_-_Segment_Calculation3"/>
      <sheetName val="gen_ledger_data3"/>
      <sheetName val="Balance_Sheet_3"/>
      <sheetName val="Ann_I3"/>
      <sheetName val="Break_up_Sheet3"/>
      <sheetName val="CRA_Calculator3"/>
      <sheetName val="BS_and_P&amp;L3"/>
      <sheetName val="Grpng_Dtls3"/>
      <sheetName val="wip_FG3"/>
      <sheetName val="Part_A_General1"/>
      <sheetName val="Hub_Inputs1"/>
      <sheetName val="trial_(2)1"/>
      <sheetName val="India_Mapping1"/>
      <sheetName val="Sep_20131"/>
      <sheetName val="Pg_1_Marketing_Info1"/>
      <sheetName val="Arrear_Salary_Sheet1"/>
      <sheetName val="Summary_Sales1"/>
      <sheetName val="Data_Input_for_MTD_SAles"/>
      <sheetName val="INCOME_CAP_APPROACH_SUM"/>
      <sheetName val="Sch_1-11"/>
      <sheetName val="Lists_&amp;_Tables"/>
      <sheetName val="Ledger_Reco_311008"/>
      <sheetName val="May_09"/>
      <sheetName val="for_challans"/>
      <sheetName val="P&amp;L_February"/>
      <sheetName val="P&amp;L_Feb_2001_cumulative"/>
      <sheetName val="Depn_Sch4"/>
      <sheetName val="Asset_Card4"/>
      <sheetName val="Invoices_for_February_20034"/>
      <sheetName val="WNS_NA_31_03_044"/>
      <sheetName val="WNS_UK_31_03_044"/>
      <sheetName val="Discounted_Cash_Flow4"/>
      <sheetName val="Interim_NWA_converted_Dec02~Ba4"/>
      <sheetName val="Consolidation__Rs4"/>
      <sheetName val="BS_Rec_Control_Sheet4"/>
      <sheetName val="Depn_day_basis_-_SoCrates_-_Co4"/>
      <sheetName val="wdr_bldg4"/>
      <sheetName val="Index_Calculation4"/>
      <sheetName val="OneSource_Data_(2)4"/>
      <sheetName val="Balance_sheet4"/>
      <sheetName val="Consolidated_Budget_Worksheet4"/>
      <sheetName val="30_09_004"/>
      <sheetName val="R_1_5_GL_Dump4"/>
      <sheetName val="3A_-_Segment_Calculation4"/>
      <sheetName val="gen_ledger_data4"/>
      <sheetName val="Balance_Sheet_4"/>
      <sheetName val="Ann_I4"/>
      <sheetName val="Break_up_Sheet4"/>
      <sheetName val="CRA_Calculator4"/>
      <sheetName val="BS_and_P&amp;L4"/>
      <sheetName val="Grpng_Dtls4"/>
      <sheetName val="wip_FG4"/>
      <sheetName val="Hub_Inputs2"/>
      <sheetName val="Part_A_General2"/>
      <sheetName val="trial_(2)2"/>
      <sheetName val="India_Mapping2"/>
      <sheetName val="Sep_20132"/>
      <sheetName val="Pg_1_Marketing_Info2"/>
      <sheetName val="Arrear_Salary_Sheet2"/>
      <sheetName val="Summary_Sales2"/>
      <sheetName val="Data_Input_for_MTD_SAles1"/>
      <sheetName val="INCOME_CAP_APPROACH_SUM1"/>
      <sheetName val="Sch_1-111"/>
      <sheetName val="Lists_&amp;_Tables1"/>
      <sheetName val="Ledger_Reco_3110081"/>
      <sheetName val="May_091"/>
      <sheetName val="for_challans1"/>
      <sheetName val="P&amp;L_February1"/>
      <sheetName val="P&amp;L_Feb_2001_cumulative1"/>
      <sheetName val="Key_Indicators_no_allocations"/>
      <sheetName val="2008_P&amp;L_without_allocations"/>
      <sheetName val="Q-Mtr"/>
      <sheetName val="Asset Consolidated"/>
      <sheetName val="Depn_Sch5"/>
      <sheetName val="Asset_Card5"/>
      <sheetName val="Invoices_for_February_20035"/>
      <sheetName val="WNS_NA_31_03_045"/>
      <sheetName val="WNS_UK_31_03_045"/>
      <sheetName val="Discounted_Cash_Flow5"/>
      <sheetName val="Interim_NWA_converted_Dec02~Ba5"/>
      <sheetName val="Consolidation__Rs5"/>
      <sheetName val="BS_Rec_Control_Sheet5"/>
      <sheetName val="Depn_day_basis_-_SoCrates_-_Co5"/>
      <sheetName val="wdr_bldg5"/>
      <sheetName val="Index_Calculation5"/>
      <sheetName val="OneSource_Data_(2)5"/>
      <sheetName val="Balance_sheet5"/>
      <sheetName val="Consolidated_Budget_Worksheet5"/>
      <sheetName val="30_09_005"/>
      <sheetName val="R_1_5_GL_Dump5"/>
      <sheetName val="3A_-_Segment_Calculation5"/>
      <sheetName val="gen_ledger_data5"/>
      <sheetName val="Balance_Sheet_5"/>
      <sheetName val="Ann_I5"/>
      <sheetName val="Break_up_Sheet5"/>
      <sheetName val="CRA_Calculator5"/>
      <sheetName val="BS_and_P&amp;L5"/>
      <sheetName val="Grpng_Dtls5"/>
      <sheetName val="wip_FG5"/>
      <sheetName val="Part_A_General3"/>
      <sheetName val="Hub_Inputs3"/>
      <sheetName val="trial_(2)3"/>
      <sheetName val="India_Mapping3"/>
      <sheetName val="Sep_20133"/>
      <sheetName val="Pg_1_Marketing_Info3"/>
      <sheetName val="Arrear_Salary_Sheet3"/>
      <sheetName val="Summary_Sales3"/>
      <sheetName val="Data_Input_for_MTD_SAles2"/>
      <sheetName val="INCOME_CAP_APPROACH_SUM2"/>
      <sheetName val="Sch_1-112"/>
      <sheetName val="Lists_&amp;_Tables2"/>
      <sheetName val="Ledger_Reco_3110082"/>
      <sheetName val="May_092"/>
      <sheetName val="for_challans2"/>
      <sheetName val="P&amp;L_February2"/>
      <sheetName val="P&amp;L_Feb_2001_cumulative2"/>
      <sheetName val="Key_Indicators_no_allocations1"/>
      <sheetName val="2008_P&amp;L_without_allocations1"/>
      <sheetName val="SCH- 2"/>
      <sheetName val="OG-EP"/>
      <sheetName val="SCH-A"/>
      <sheetName val="ic"/>
      <sheetName val="Initialisation"/>
      <sheetName val="Companywise Net Inv + Valn"/>
      <sheetName val="sEP2003"/>
      <sheetName val="Inc. Stat from Tral balance"/>
      <sheetName val="March Analysts"/>
      <sheetName val="AN - H"/>
      <sheetName val="PRODUCT LINE"/>
      <sheetName val="tb"/>
      <sheetName val="Results PL"/>
      <sheetName val="NAGAR"/>
      <sheetName val="ANNEX-XXIII"/>
      <sheetName val="BillofMaterials"/>
      <sheetName val="CAs"/>
      <sheetName val="B&amp;S31-03-08"/>
      <sheetName val="Depn_Sch6"/>
      <sheetName val="Asset_Card6"/>
      <sheetName val="Invoices_for_February_20036"/>
      <sheetName val="WNS_NA_31_03_046"/>
      <sheetName val="WNS_UK_31_03_046"/>
      <sheetName val="Discounted_Cash_Flow6"/>
      <sheetName val="Interim_NWA_converted_Dec02~Ba6"/>
      <sheetName val="Consolidation__Rs6"/>
      <sheetName val="BS_Rec_Control_Sheet6"/>
      <sheetName val="Depn_day_basis_-_SoCrates_-_Co6"/>
      <sheetName val="Balance_Sheet_6"/>
      <sheetName val="Ann_I6"/>
      <sheetName val="30_09_006"/>
      <sheetName val="R_1_5_GL_Dump6"/>
      <sheetName val="3A_-_Segment_Calculation6"/>
      <sheetName val="Consolidated_Budget_Worksheet6"/>
      <sheetName val="Index_Calculation6"/>
      <sheetName val="OneSource_Data_(2)6"/>
      <sheetName val="wdr_bldg6"/>
      <sheetName val="gen_ledger_data6"/>
      <sheetName val="Break_up_Sheet6"/>
      <sheetName val="CRA_Calculator6"/>
      <sheetName val="Balance_sheet6"/>
      <sheetName val="BS_and_P&amp;L6"/>
      <sheetName val="Grpng_Dtls6"/>
      <sheetName val="wip_FG6"/>
      <sheetName val="Hub_Inputs4"/>
      <sheetName val="Part_A_General4"/>
      <sheetName val="trial_(2)4"/>
      <sheetName val="India_Mapping4"/>
      <sheetName val="Pg_1_Marketing_Info4"/>
      <sheetName val="Arrear_Salary_Sheet4"/>
      <sheetName val="Sep_20134"/>
      <sheetName val="INCOME_CAP_APPROACH_SUM3"/>
      <sheetName val="Sch_1-113"/>
      <sheetName val="Lists_&amp;_Tables3"/>
      <sheetName val="Ledger_Reco_3110083"/>
      <sheetName val="May_093"/>
      <sheetName val="for_challans3"/>
      <sheetName val="Summary_Sales4"/>
      <sheetName val="Data_Input_for_MTD_SAles3"/>
      <sheetName val="P&amp;L_February3"/>
      <sheetName val="P&amp;L_Feb_2001_cumulative3"/>
      <sheetName val="Key_Indicators_no_allocations2"/>
      <sheetName val="2008_P&amp;L_without_allocations2"/>
      <sheetName val="Depn_Sch7"/>
      <sheetName val="Asset_Card7"/>
      <sheetName val="Invoices_for_February_20037"/>
      <sheetName val="WNS_NA_31_03_047"/>
      <sheetName val="WNS_UK_31_03_047"/>
      <sheetName val="Discounted_Cash_Flow7"/>
      <sheetName val="Interim_NWA_converted_Dec02~Ba7"/>
      <sheetName val="Consolidation__Rs7"/>
      <sheetName val="BS_Rec_Control_Sheet7"/>
      <sheetName val="Depn_day_basis_-_SoCrates_-_Co7"/>
      <sheetName val="Balance_Sheet_7"/>
      <sheetName val="Ann_I7"/>
      <sheetName val="30_09_007"/>
      <sheetName val="R_1_5_GL_Dump7"/>
      <sheetName val="3A_-_Segment_Calculation7"/>
      <sheetName val="Consolidated_Budget_Worksheet7"/>
      <sheetName val="Index_Calculation7"/>
      <sheetName val="OneSource_Data_(2)7"/>
      <sheetName val="wdr_bldg7"/>
      <sheetName val="gen_ledger_data7"/>
      <sheetName val="Break_up_Sheet7"/>
      <sheetName val="CRA_Calculator7"/>
      <sheetName val="Balance_sheet7"/>
      <sheetName val="BS_and_P&amp;L7"/>
      <sheetName val="Grpng_Dtls7"/>
      <sheetName val="wip_FG7"/>
      <sheetName val="Hub_Inputs5"/>
      <sheetName val="Part_A_General5"/>
      <sheetName val="trial_(2)5"/>
      <sheetName val="India_Mapping5"/>
      <sheetName val="Pg_1_Marketing_Info5"/>
      <sheetName val="Arrear_Salary_Sheet5"/>
      <sheetName val="Sep_20135"/>
      <sheetName val="INCOME_CAP_APPROACH_SUM4"/>
      <sheetName val="Sch_1-114"/>
      <sheetName val="Lists_&amp;_Tables4"/>
      <sheetName val="Ledger_Reco_3110084"/>
      <sheetName val="May_094"/>
      <sheetName val="for_challans4"/>
      <sheetName val="Summary_Sales5"/>
      <sheetName val="Data_Input_for_MTD_SAles4"/>
      <sheetName val="P&amp;L_February4"/>
      <sheetName val="P&amp;L_Feb_2001_cumulative4"/>
      <sheetName val="Key_Indicators_no_allocations3"/>
      <sheetName val="2008_P&amp;L_without_allocations3"/>
      <sheetName val="Clause16(b)_PF"/>
      <sheetName val="Table"/>
      <sheetName val="SCPC Profile"/>
      <sheetName val="IS Mo"/>
      <sheetName val="PO.Detail"/>
      <sheetName val="Q4-STDCOST"/>
      <sheetName val="lookup_Update"/>
      <sheetName val="Model"/>
      <sheetName val="Starters"/>
      <sheetName val="August2008"/>
      <sheetName val="PC.5.4 Siebel Revenue"/>
      <sheetName val="STK0731"/>
      <sheetName val="ZSD_REGIO_ADR"/>
      <sheetName val="DRS"/>
      <sheetName val="Preferred Securities"/>
      <sheetName val="BAL.SHEET"/>
      <sheetName val="885"/>
      <sheetName val="Companywise_Net_Inv_+_Valn"/>
      <sheetName val="SCH-_2"/>
      <sheetName val="March_Analysts"/>
      <sheetName val="AN_-_H"/>
      <sheetName val="Depn_Sch8"/>
      <sheetName val="Asset_Card8"/>
      <sheetName val="Invoices_for_February_20038"/>
      <sheetName val="WNS_NA_31_03_048"/>
      <sheetName val="WNS_UK_31_03_048"/>
      <sheetName val="FEDEX"/>
      <sheetName val="Options"/>
      <sheetName val="CCSC"/>
      <sheetName val="Balance"/>
      <sheetName val="Discounted_Cash_Flow8"/>
      <sheetName val="Interim_NWA_converted_Dec02~Ba8"/>
      <sheetName val="Consolidation__Rs8"/>
      <sheetName val="BS_Rec_Control_Sheet8"/>
      <sheetName val="Depn_day_basis_-_SoCrates_-_Co8"/>
      <sheetName val="wdr_bldg8"/>
      <sheetName val="Index_Calculation8"/>
      <sheetName val="OneSource_Data_(2)8"/>
      <sheetName val="Balance_sheet8"/>
      <sheetName val="Consolidated_Budget_Worksheet8"/>
      <sheetName val="30_09_008"/>
      <sheetName val="R_1_5_GL_Dump8"/>
      <sheetName val="3A_-_Segment_Calculation8"/>
      <sheetName val="gen_ledger_data8"/>
      <sheetName val="Balance_Sheet_8"/>
      <sheetName val="Ann_I8"/>
      <sheetName val="Break_up_Sheet8"/>
      <sheetName val="CRA_Calculator8"/>
      <sheetName val="BS_and_P&amp;L8"/>
      <sheetName val="Grpng_Dtls8"/>
      <sheetName val="wip_FG8"/>
      <sheetName val="Part_A_General6"/>
      <sheetName val="Hub_Inputs6"/>
      <sheetName val="trial_(2)6"/>
      <sheetName val="India_Mapping6"/>
      <sheetName val="Sep_20136"/>
      <sheetName val="Pg_1_Marketing_Info6"/>
      <sheetName val="Arrear_Salary_Sheet6"/>
      <sheetName val="Summary_Sales6"/>
      <sheetName val="Data_Input_for_MTD_SAles5"/>
      <sheetName val="INCOME_CAP_APPROACH_SUM5"/>
      <sheetName val="Sch_1-115"/>
      <sheetName val="Lists_&amp;_Tables5"/>
      <sheetName val="Ledger_Reco_3110085"/>
      <sheetName val="May_095"/>
      <sheetName val="for_challans5"/>
      <sheetName val="P&amp;L_February5"/>
      <sheetName val="P&amp;L_Feb_2001_cumulative5"/>
      <sheetName val="Key_Indicators_no_allocations4"/>
      <sheetName val="2008_P&amp;L_without_allocations4"/>
      <sheetName val="BAL_SHEET"/>
      <sheetName val="Asset_Consolidated"/>
      <sheetName val="Inc__Stat_from_Tral_balance"/>
      <sheetName val="PRODUCT_LINE"/>
      <sheetName val="Results_PL"/>
      <sheetName val="RetailExpenses-Input"/>
      <sheetName val="P&amp;L Summary"/>
      <sheetName val="Addi Jan - Dec 99"/>
      <sheetName val="Depn%20day%20basis%20-%20SoCrat"/>
      <sheetName val="Building"/>
      <sheetName val="Page1"/>
      <sheetName val="Stores"/>
      <sheetName val="tds cal"/>
      <sheetName val="Equip Codes"/>
      <sheetName val="Data for Multiple &amp; ratios"/>
      <sheetName val="PL"/>
      <sheetName val="Setup"/>
      <sheetName val="Tools Rev"/>
      <sheetName val="PO"/>
      <sheetName val="Links"/>
      <sheetName val="Base Case"/>
      <sheetName val="Macro1"/>
      <sheetName val="CMO"/>
      <sheetName val="All GL COA"/>
      <sheetName val="Variables"/>
      <sheetName val="Payroll_Statement"/>
      <sheetName val="Asset Detail"/>
      <sheetName val="OpTrack"/>
      <sheetName val="TB March 2002"/>
      <sheetName val="All"/>
      <sheetName val="TV inputs"/>
      <sheetName val="Dash"/>
      <sheetName val="TRIAL BALANCE"/>
      <sheetName val="Sotai"/>
      <sheetName val="Sept-03"/>
      <sheetName val="Masters"/>
      <sheetName val="Project Budget Worksheet"/>
      <sheetName val="Lead"/>
      <sheetName val="SORT"/>
      <sheetName val="Sub lead"/>
      <sheetName val="Share Price"/>
      <sheetName val="SCPC_Profile"/>
      <sheetName val="Data_for_Multiple_&amp;_ratios"/>
      <sheetName val="Preferred_Securities"/>
      <sheetName val="IS_Mo"/>
      <sheetName val="P&amp;L_Summary"/>
      <sheetName val="Addi_Jan_-_Dec_99"/>
      <sheetName val="PC_5_4_Siebel_Revenue"/>
      <sheetName val="Tools_Rev"/>
      <sheetName val="PO_Detail"/>
      <sheetName val="MAIN"/>
      <sheetName val="Financials_toggle"/>
      <sheetName val="Stock Cal"/>
      <sheetName val="Inter unit set off"/>
      <sheetName val="m3&amp;4"/>
      <sheetName val="rm9900"/>
      <sheetName val="Gemstar"/>
      <sheetName val="Instructions"/>
      <sheetName val="Sec Dist W1"/>
      <sheetName val="Sec Dist W2 "/>
      <sheetName val="Sec Dist W3 "/>
      <sheetName val="Sec Dist W4  "/>
      <sheetName val="MIS"/>
      <sheetName val="Telephone deposits written off"/>
      <sheetName val="UK P&amp;L"/>
      <sheetName val="MCORP USA"/>
      <sheetName val="IP Data Collection"/>
      <sheetName val="SUB11250"/>
      <sheetName val="Input-Pack Level"/>
      <sheetName val="BS &amp; Sch."/>
      <sheetName val="EXPENSES"/>
      <sheetName val="SALES-VAL"/>
      <sheetName val="Trial Bal"/>
      <sheetName val="Plan"/>
      <sheetName val="OCCUR"/>
      <sheetName val="ANALYSIS(PACKING)"/>
      <sheetName val="FMT 13-VOLUME BY MARKET"/>
      <sheetName val="FMT 14 -VOLUME BY BRANDS"/>
      <sheetName val="Input Journals"/>
      <sheetName val="Codes"/>
      <sheetName val="GK TB 310302 for OpBal Compare"/>
      <sheetName val="START PAGE"/>
      <sheetName val="Actuals"/>
      <sheetName val="tps"/>
      <sheetName val="prg"/>
      <sheetName val="Approved MTD Proj #'s"/>
      <sheetName val="ES"/>
      <sheetName val="Loan Amortization Schedule"/>
      <sheetName val="SBCM LHI FA WKSHEET"/>
      <sheetName val="vendor listing (2)"/>
      <sheetName val="Rate_dec02"/>
      <sheetName val="Bal Sheet"/>
      <sheetName val="AR_PL"/>
      <sheetName val="0"/>
      <sheetName val="Parent Main"/>
      <sheetName val="depreciation"/>
      <sheetName val="TargIS"/>
      <sheetName val="TargBSCF"/>
      <sheetName val="List"/>
      <sheetName val="#REF:Invoices for February 2003"/>
      <sheetName val="Koersen"/>
      <sheetName val="ASCTRIAL"/>
      <sheetName val="TOE - Summary Commentary"/>
      <sheetName val="Headcount"/>
      <sheetName val="QUERY"/>
      <sheetName val="PS Rates 07-31-01"/>
      <sheetName val="ISMC USA 2004-09"/>
      <sheetName val="DataSheet"/>
      <sheetName val="May TB"/>
      <sheetName val="PEOPLESOFT RATES"/>
      <sheetName val="Depn_Sch9"/>
      <sheetName val="Asset_Card9"/>
      <sheetName val="Invoices_for_February_20039"/>
      <sheetName val="BS_Rec_Control_Sheet9"/>
      <sheetName val="WNS_NA_31_03_049"/>
      <sheetName val="WNS_UK_31_03_049"/>
      <sheetName val="Discounted_Cash_Flow9"/>
      <sheetName val="Interim_NWA_converted_Dec02~Ba9"/>
      <sheetName val="Depn_day_basis_-_SoCrates_-_Co9"/>
      <sheetName val="Consolidation__Rs9"/>
      <sheetName val="Consolidated_Budget_Worksheet9"/>
      <sheetName val="Balance_Sheet_9"/>
      <sheetName val="Balance_sheet9"/>
      <sheetName val="wdr_bldg9"/>
      <sheetName val="Index_Calculation9"/>
      <sheetName val="OneSource_Data_(2)9"/>
      <sheetName val="Grpng_Dtls9"/>
      <sheetName val="Ann_I9"/>
      <sheetName val="30_09_009"/>
      <sheetName val="R_1_5_GL_Dump9"/>
      <sheetName val="3A_-_Segment_Calculation9"/>
      <sheetName val="gen_ledger_data9"/>
      <sheetName val="Break_up_Sheet9"/>
      <sheetName val="CRA_Calculator9"/>
      <sheetName val="India_Mapping7"/>
      <sheetName val="INCOME_CAP_APPROACH_SUM6"/>
      <sheetName val="Part_A_General7"/>
      <sheetName val="Sch_1-116"/>
      <sheetName val="Lists_&amp;_Tables6"/>
      <sheetName val="Arrear_Salary_Sheet7"/>
      <sheetName val="Ledger_Reco_3110086"/>
      <sheetName val="May_096"/>
      <sheetName val="SCH-_21"/>
      <sheetName val="BS_and_P&amp;L9"/>
      <sheetName val="for_challans6"/>
      <sheetName val="Key_Indicators_no_allocations5"/>
      <sheetName val="2008_P&amp;L_without_allocations5"/>
      <sheetName val="wip_FG9"/>
      <sheetName val="Hub_Inputs7"/>
      <sheetName val="Summary_Sales7"/>
      <sheetName val="Companywise_Net_Inv_+_Valn1"/>
      <sheetName val="March_Analysts1"/>
      <sheetName val="AN_-_H1"/>
      <sheetName val="Pg_1_Marketing_Info7"/>
      <sheetName val="IS_Mo1"/>
      <sheetName val="Results_PL1"/>
      <sheetName val="PRODUCT_LINE1"/>
      <sheetName val="Sep_20137"/>
      <sheetName val="trial_(2)7"/>
      <sheetName val="Data_Input_for_MTD_SAles6"/>
      <sheetName val="P&amp;L_February6"/>
      <sheetName val="P&amp;L_Feb_2001_cumulative6"/>
      <sheetName val="SCPC_Profile1"/>
      <sheetName val="Inc__Stat_from_Tral_balance1"/>
      <sheetName val="PC_5_4_Siebel_Revenue1"/>
      <sheetName val="PO_Detail1"/>
      <sheetName val="Asset_Consolidated1"/>
      <sheetName val="Preferred_Securities1"/>
      <sheetName val="P&amp;L_Summary1"/>
      <sheetName val="Addi_Jan_-_Dec_991"/>
      <sheetName val="BAL_SHEET1"/>
      <sheetName val="Tools_Rev1"/>
      <sheetName val="Asset_Detail"/>
      <sheetName val="All_GL_COA"/>
      <sheetName val="tds_cal"/>
      <sheetName val="Equip_Codes"/>
      <sheetName val="Data_for_Multiple_&amp;_ratios1"/>
      <sheetName val="TV_inputs"/>
      <sheetName val="Sub_lead"/>
      <sheetName val="Base_Case"/>
      <sheetName val="Sec_Dist_W1"/>
      <sheetName val="Sec_Dist_W2_"/>
      <sheetName val="Sec_Dist_W3_"/>
      <sheetName val="Sec_Dist_W4__"/>
      <sheetName val="TB_March_2002"/>
      <sheetName val="Share_Price"/>
      <sheetName val="Telephone_deposits_written_off"/>
      <sheetName val="UK_P&amp;L"/>
      <sheetName val="Stock_Cal"/>
      <sheetName val="Inter_unit_set_off"/>
      <sheetName val="TRIAL_BALANCE"/>
      <sheetName val="IP_Data_Collection"/>
      <sheetName val="Invoices for February 2003:#REF"/>
      <sheetName val="Ac.subAc combination"/>
      <sheetName val="Link"/>
      <sheetName val="Depn_Sch10"/>
      <sheetName val="Asset_Card10"/>
      <sheetName val="Invoices_for_February_200310"/>
      <sheetName val="BS_Rec_Control_Sheet10"/>
      <sheetName val="WNS_NA_31_03_0410"/>
      <sheetName val="WNS_UK_31_03_0410"/>
      <sheetName val="Discounted_Cash_Flow10"/>
      <sheetName val="Interim_NWA_converted_Dec02~B10"/>
      <sheetName val="Depn_day_basis_-_SoCrates_-_C10"/>
      <sheetName val="Consolidation__Rs10"/>
      <sheetName val="Consolidated_Budget_Worksheet10"/>
      <sheetName val="Balance_Sheet_10"/>
      <sheetName val="Balance_sheet10"/>
      <sheetName val="wdr_bldg10"/>
      <sheetName val="Index_Calculation10"/>
      <sheetName val="OneSource_Data_(2)10"/>
      <sheetName val="Grpng_Dtls10"/>
      <sheetName val="Ann_I10"/>
      <sheetName val="30_09_0010"/>
      <sheetName val="R_1_5_GL_Dump10"/>
      <sheetName val="3A_-_Segment_Calculation10"/>
      <sheetName val="gen_ledger_data10"/>
      <sheetName val="Break_up_Sheet10"/>
      <sheetName val="CRA_Calculator10"/>
      <sheetName val="India_Mapping8"/>
      <sheetName val="INCOME_CAP_APPROACH_SUM7"/>
      <sheetName val="Part_A_General8"/>
      <sheetName val="Sch_1-117"/>
      <sheetName val="Lists_&amp;_Tables7"/>
      <sheetName val="Arrear_Salary_Sheet8"/>
      <sheetName val="Ledger_Reco_3110087"/>
      <sheetName val="May_097"/>
      <sheetName val="SCH-_22"/>
      <sheetName val="BS_and_P&amp;L10"/>
      <sheetName val="for_challans7"/>
      <sheetName val="Key_Indicators_no_allocations6"/>
      <sheetName val="2008_P&amp;L_without_allocations6"/>
      <sheetName val="wip_FG10"/>
      <sheetName val="Hub_Inputs8"/>
      <sheetName val="Summary_Sales8"/>
      <sheetName val="Companywise_Net_Inv_+_Valn2"/>
      <sheetName val="March_Analysts2"/>
      <sheetName val="AN_-_H2"/>
      <sheetName val="Pg_1_Marketing_Info8"/>
      <sheetName val="IS_Mo2"/>
      <sheetName val="Results_PL2"/>
      <sheetName val="PRODUCT_LINE2"/>
      <sheetName val="Sep_20138"/>
      <sheetName val="trial_(2)8"/>
      <sheetName val="Data_Input_for_MTD_SAles7"/>
      <sheetName val="P&amp;L_February7"/>
      <sheetName val="P&amp;L_Feb_2001_cumulative7"/>
      <sheetName val="SCPC_Profile2"/>
      <sheetName val="Inc__Stat_from_Tral_balance2"/>
      <sheetName val="PC_5_4_Siebel_Revenue2"/>
      <sheetName val="PO_Detail2"/>
      <sheetName val="Asset_Consolidated2"/>
      <sheetName val="Preferred_Securities2"/>
      <sheetName val="P&amp;L_Summary2"/>
      <sheetName val="Addi_Jan_-_Dec_992"/>
      <sheetName val="BAL_SHEET2"/>
      <sheetName val="Tools_Rev2"/>
      <sheetName val="Asset_Detail1"/>
      <sheetName val="All_GL_COA1"/>
      <sheetName val="tds_cal1"/>
      <sheetName val="Equip_Codes1"/>
      <sheetName val="Data_for_Multiple_&amp;_ratios2"/>
      <sheetName val="TV_inputs1"/>
      <sheetName val="Sub_lead1"/>
      <sheetName val="Base_Case1"/>
      <sheetName val="Sec_Dist_W11"/>
      <sheetName val="Sec_Dist_W2_1"/>
      <sheetName val="Sec_Dist_W3_1"/>
      <sheetName val="Sec_Dist_W4__1"/>
      <sheetName val="TB_March_20021"/>
      <sheetName val="Share_Price1"/>
      <sheetName val="Telephone_deposits_written_off1"/>
      <sheetName val="UK_P&amp;L1"/>
      <sheetName val="Stock_Cal1"/>
      <sheetName val="Inter_unit_set_off1"/>
      <sheetName val="TRIAL_BALANCE1"/>
      <sheetName val="IP_Data_Collection1"/>
      <sheetName val="TNHCHINH"/>
      <sheetName val="TDTKP (2)"/>
      <sheetName val="TONGKE3p"/>
      <sheetName val="CHITIET VL-NC-DDTT3PHA "/>
      <sheetName val="CHITIET VL-NC-TT1p"/>
      <sheetName val="Master Price List"/>
      <sheetName val="LOB tree_All"/>
      <sheetName val="Labor abs-NMR"/>
      <sheetName val="Dont Alter"/>
      <sheetName val="B&amp;S31-03-04"/>
      <sheetName val="Rate for Depn"/>
      <sheetName val="F&amp;B"/>
      <sheetName val="Maint"/>
      <sheetName val="Kitchen"/>
      <sheetName val="Housek"/>
      <sheetName val="xlSVH_T"/>
      <sheetName val="Menu"/>
      <sheetName val="Assmp"/>
      <sheetName val="le_data"/>
      <sheetName val="Bsheet"/>
      <sheetName val="FG QTY"/>
      <sheetName val="Avg Rate"/>
      <sheetName val="Checklist"/>
      <sheetName val="GOPI'S UPLOAD"/>
      <sheetName val="New C PM"/>
      <sheetName val="sbu"/>
      <sheetName val="Revenue"/>
      <sheetName val="Tables"/>
      <sheetName val="PGTV P&amp;L"/>
      <sheetName val="TPM Tot"/>
      <sheetName val="StdMarginRegQtr"/>
      <sheetName val="BS-P&amp;L"/>
      <sheetName val="E-7 - Stores &amp; Spares"/>
      <sheetName val="Federal Total"/>
      <sheetName val="Master Support 3"/>
      <sheetName val="Material"/>
      <sheetName val="deb"/>
      <sheetName val="RCC,Ret. Wall"/>
      <sheetName val="vb 9&amp;10"/>
      <sheetName val="MultipleSecurities"/>
      <sheetName val="SACA-NT2"/>
      <sheetName val="14"/>
      <sheetName val="IO LIST"/>
      <sheetName val="Companywise_Net_Inv_+_Valn3"/>
      <sheetName val="SCH-_23"/>
      <sheetName val="March_Analysts3"/>
      <sheetName val="AN_-_H3"/>
      <sheetName val="Companywise_Net_Inv_+_Valn5"/>
      <sheetName val="SCH-_25"/>
      <sheetName val="PRODUCT_LINE4"/>
      <sheetName val="March_Analysts5"/>
      <sheetName val="AN_-_H5"/>
      <sheetName val="Results_PL4"/>
      <sheetName val="Inc__Stat_from_Tral_balance4"/>
      <sheetName val="IS_Mo4"/>
      <sheetName val="PC_5_4_Siebel_Revenue4"/>
      <sheetName val="SCPC_Profile4"/>
      <sheetName val="BAL_SHEET4"/>
      <sheetName val="Preferred_Securities4"/>
      <sheetName val="Asset_Consolidated4"/>
      <sheetName val="P&amp;L_Summary4"/>
      <sheetName val="Addi_Jan_-_Dec_994"/>
      <sheetName val="Tools_Rev4"/>
      <sheetName val="PO_Detail4"/>
      <sheetName val="Companywise_Net_Inv_+_Valn4"/>
      <sheetName val="SCH-_24"/>
      <sheetName val="PRODUCT_LINE3"/>
      <sheetName val="March_Analysts4"/>
      <sheetName val="AN_-_H4"/>
      <sheetName val="Results_PL3"/>
      <sheetName val="Inc__Stat_from_Tral_balance3"/>
      <sheetName val="IS_Mo3"/>
      <sheetName val="PC_5_4_Siebel_Revenue3"/>
      <sheetName val="SCPC_Profile3"/>
      <sheetName val="BAL_SHEET3"/>
      <sheetName val="Preferred_Securities3"/>
      <sheetName val="Asset_Consolidated3"/>
      <sheetName val="P&amp;L_Summary3"/>
      <sheetName val="Addi_Jan_-_Dec_993"/>
      <sheetName val="Tools_Rev3"/>
      <sheetName val="PO_Detail3"/>
      <sheetName val="Pile cap"/>
      <sheetName val="00 Income Statement"/>
      <sheetName val="Corporate"/>
      <sheetName val="Prodn Report"/>
      <sheetName val="storico"/>
      <sheetName val="Bal Sht"/>
      <sheetName val="3.Grouping - Profit &amp; Loss(mio)"/>
      <sheetName val="NOPAT MAR'01"/>
      <sheetName val="P &amp; l "/>
      <sheetName val="N 1 B"/>
      <sheetName val="N 1 R"/>
      <sheetName val="GuVMt06"/>
      <sheetName val="June'02"/>
      <sheetName val="STOCK FILE"/>
      <sheetName val="AN_Input"/>
      <sheetName val="LCGRAPH"/>
      <sheetName val="DI-ESTI"/>
      <sheetName val="Cash Flow Working"/>
      <sheetName val="GK_TB_310302_for_OpBal_Compare"/>
      <sheetName val="MCORP_USA"/>
      <sheetName val="Input-Pack_Level"/>
      <sheetName val="Loan_Amortization_Schedule"/>
      <sheetName val="Approved_MTD_Proj_#'s"/>
      <sheetName val="BS_&amp;_Sch_"/>
      <sheetName val="Trial_Bal"/>
      <sheetName val="TPM_Tot"/>
      <sheetName val="Project_Budget_Worksheet"/>
      <sheetName val="PLAN-Malad"/>
      <sheetName val="BS Schdl- 1 &amp; 2"/>
      <sheetName val="vendor_listing_(2)"/>
      <sheetName val="vb_9&amp;10"/>
      <sheetName val="Input_Journals"/>
      <sheetName val="Ac_subAc_combination"/>
      <sheetName val="Invoices_for_February_2003:#REF"/>
      <sheetName val="PGTV_P&amp;L"/>
      <sheetName val="RCC,Ret__Wall"/>
      <sheetName val="Federal_Total"/>
      <sheetName val="START_PAGE"/>
      <sheetName val="Master_Support_3"/>
      <sheetName val="E-7_-_Stores_&amp;_Spares"/>
      <sheetName val="Validation"/>
      <sheetName val="CC &amp; PC"/>
      <sheetName val="Ravika"/>
      <sheetName val="Exchange"/>
    </sheetNames>
    <sheetDataSet>
      <sheetData sheetId="0">
        <row r="18">
          <cell r="B18" t="str">
            <v>Hardware &amp; Software</v>
          </cell>
        </row>
      </sheetData>
      <sheetData sheetId="1">
        <row r="18">
          <cell r="B18" t="str">
            <v>Hardware &amp; Software</v>
          </cell>
        </row>
      </sheetData>
      <sheetData sheetId="2" refreshError="1"/>
      <sheetData sheetId="3">
        <row r="18">
          <cell r="B18" t="str">
            <v>Hardware &amp; Software</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18">
          <cell r="B18" t="str">
            <v>Hardware &amp; Software</v>
          </cell>
        </row>
      </sheetData>
      <sheetData sheetId="103">
        <row r="18">
          <cell r="B18" t="str">
            <v>Hardware &amp; Software</v>
          </cell>
        </row>
      </sheetData>
      <sheetData sheetId="104">
        <row r="18">
          <cell r="B18" t="str">
            <v>Hardware &amp; Software</v>
          </cell>
        </row>
      </sheetData>
      <sheetData sheetId="105">
        <row r="18">
          <cell r="B18" t="str">
            <v>Hardware &amp; Software</v>
          </cell>
        </row>
      </sheetData>
      <sheetData sheetId="106">
        <row r="18">
          <cell r="B18" t="str">
            <v>Hardware &amp; Software</v>
          </cell>
        </row>
      </sheetData>
      <sheetData sheetId="107">
        <row r="18">
          <cell r="B18" t="str">
            <v>Hardware &amp; Software</v>
          </cell>
        </row>
      </sheetData>
      <sheetData sheetId="108"/>
      <sheetData sheetId="109"/>
      <sheetData sheetId="110"/>
      <sheetData sheetId="111"/>
      <sheetData sheetId="112">
        <row r="18">
          <cell r="B18" t="str">
            <v>Hardware &amp; Software</v>
          </cell>
        </row>
      </sheetData>
      <sheetData sheetId="113">
        <row r="18">
          <cell r="B18" t="str">
            <v>Hardware &amp; Software</v>
          </cell>
        </row>
      </sheetData>
      <sheetData sheetId="114">
        <row r="18">
          <cell r="B18" t="str">
            <v>Hardware &amp; Software</v>
          </cell>
        </row>
      </sheetData>
      <sheetData sheetId="115">
        <row r="18">
          <cell r="B18" t="str">
            <v>Hardware &amp; Software</v>
          </cell>
        </row>
      </sheetData>
      <sheetData sheetId="116">
        <row r="18">
          <cell r="B18" t="str">
            <v>Hardware &amp; Software</v>
          </cell>
        </row>
      </sheetData>
      <sheetData sheetId="117">
        <row r="18">
          <cell r="B18" t="str">
            <v>Hardware &amp; Software</v>
          </cell>
        </row>
      </sheetData>
      <sheetData sheetId="118">
        <row r="18">
          <cell r="B18" t="str">
            <v>Hardware &amp; Software</v>
          </cell>
        </row>
      </sheetData>
      <sheetData sheetId="119">
        <row r="18">
          <cell r="B18" t="str">
            <v>Hardware &amp; Software</v>
          </cell>
        </row>
      </sheetData>
      <sheetData sheetId="120">
        <row r="18">
          <cell r="B18" t="str">
            <v>Hardware &amp; Software</v>
          </cell>
        </row>
      </sheetData>
      <sheetData sheetId="121">
        <row r="18">
          <cell r="B18" t="str">
            <v>Hardware &amp; Software</v>
          </cell>
        </row>
      </sheetData>
      <sheetData sheetId="122">
        <row r="18">
          <cell r="B18" t="str">
            <v>Hardware &amp; Software</v>
          </cell>
        </row>
      </sheetData>
      <sheetData sheetId="123">
        <row r="18">
          <cell r="B18" t="str">
            <v>Hardware &amp; Software</v>
          </cell>
        </row>
      </sheetData>
      <sheetData sheetId="124">
        <row r="18">
          <cell r="B18" t="str">
            <v>Hardware &amp; Software</v>
          </cell>
        </row>
      </sheetData>
      <sheetData sheetId="125">
        <row r="18">
          <cell r="B18" t="str">
            <v>Hardware &amp; Software</v>
          </cell>
        </row>
      </sheetData>
      <sheetData sheetId="126">
        <row r="18">
          <cell r="B18" t="str">
            <v>Hardware &amp; Software</v>
          </cell>
        </row>
      </sheetData>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ow r="18">
          <cell r="B18" t="str">
            <v>Hardware &amp; Software</v>
          </cell>
        </row>
      </sheetData>
      <sheetData sheetId="161">
        <row r="18">
          <cell r="B18" t="str">
            <v>Hardware &amp; Software</v>
          </cell>
        </row>
      </sheetData>
      <sheetData sheetId="162">
        <row r="18">
          <cell r="B18" t="str">
            <v>Hardware &amp; Software</v>
          </cell>
        </row>
      </sheetData>
      <sheetData sheetId="163">
        <row r="18">
          <cell r="B18" t="str">
            <v>Hardware &amp; Software</v>
          </cell>
        </row>
      </sheetData>
      <sheetData sheetId="164">
        <row r="18">
          <cell r="B18" t="str">
            <v>Hardware &amp; Software</v>
          </cell>
        </row>
      </sheetData>
      <sheetData sheetId="165">
        <row r="18">
          <cell r="B18" t="str">
            <v>Hardware &amp; Software</v>
          </cell>
        </row>
      </sheetData>
      <sheetData sheetId="166">
        <row r="18">
          <cell r="B18" t="str">
            <v>Hardware &amp; Software</v>
          </cell>
        </row>
      </sheetData>
      <sheetData sheetId="167">
        <row r="18">
          <cell r="B18" t="str">
            <v>Hardware &amp; Software</v>
          </cell>
        </row>
      </sheetData>
      <sheetData sheetId="168">
        <row r="18">
          <cell r="B18" t="str">
            <v>Hardware &amp; Software</v>
          </cell>
        </row>
      </sheetData>
      <sheetData sheetId="169">
        <row r="18">
          <cell r="B18" t="str">
            <v>Hardware &amp; Software</v>
          </cell>
        </row>
      </sheetData>
      <sheetData sheetId="170">
        <row r="18">
          <cell r="B18" t="str">
            <v>Hardware &amp; Software</v>
          </cell>
        </row>
      </sheetData>
      <sheetData sheetId="171">
        <row r="18">
          <cell r="B18" t="str">
            <v>Hardware &amp; Software</v>
          </cell>
        </row>
      </sheetData>
      <sheetData sheetId="172">
        <row r="18">
          <cell r="B18" t="str">
            <v>Hardware &amp; Software</v>
          </cell>
        </row>
      </sheetData>
      <sheetData sheetId="173">
        <row r="18">
          <cell r="B18" t="str">
            <v>Hardware &amp; Software</v>
          </cell>
        </row>
      </sheetData>
      <sheetData sheetId="174">
        <row r="18">
          <cell r="B18" t="str">
            <v>Hardware &amp; Software</v>
          </cell>
        </row>
      </sheetData>
      <sheetData sheetId="175">
        <row r="18">
          <cell r="B18" t="str">
            <v>Hardware &amp; Software</v>
          </cell>
        </row>
      </sheetData>
      <sheetData sheetId="176">
        <row r="18">
          <cell r="B18" t="str">
            <v>Hardware &amp; Software</v>
          </cell>
        </row>
      </sheetData>
      <sheetData sheetId="177">
        <row r="18">
          <cell r="B18" t="str">
            <v>Hardware &amp; Software</v>
          </cell>
        </row>
      </sheetData>
      <sheetData sheetId="178">
        <row r="18">
          <cell r="B18" t="str">
            <v>Hardware &amp; Software</v>
          </cell>
        </row>
      </sheetData>
      <sheetData sheetId="179">
        <row r="18">
          <cell r="B18" t="str">
            <v>Hardware &amp; Software</v>
          </cell>
        </row>
      </sheetData>
      <sheetData sheetId="180">
        <row r="18">
          <cell r="B18" t="str">
            <v>Hardware &amp; Software</v>
          </cell>
        </row>
      </sheetData>
      <sheetData sheetId="181">
        <row r="18">
          <cell r="B18" t="str">
            <v>Hardware &amp; Software</v>
          </cell>
        </row>
      </sheetData>
      <sheetData sheetId="182">
        <row r="18">
          <cell r="B18" t="str">
            <v>Hardware &amp; Software</v>
          </cell>
        </row>
      </sheetData>
      <sheetData sheetId="183">
        <row r="18">
          <cell r="B18" t="str">
            <v>Hardware &amp; Software</v>
          </cell>
        </row>
      </sheetData>
      <sheetData sheetId="184">
        <row r="18">
          <cell r="B18" t="str">
            <v>Hardware &amp; Software</v>
          </cell>
        </row>
      </sheetData>
      <sheetData sheetId="185">
        <row r="18">
          <cell r="B18" t="str">
            <v>Hardware &amp; Software</v>
          </cell>
        </row>
      </sheetData>
      <sheetData sheetId="186" refreshError="1"/>
      <sheetData sheetId="187">
        <row r="18">
          <cell r="B18" t="str">
            <v>Hardware &amp; Software</v>
          </cell>
        </row>
      </sheetData>
      <sheetData sheetId="188">
        <row r="18">
          <cell r="B18" t="str">
            <v>Hardware &amp; Software</v>
          </cell>
        </row>
      </sheetData>
      <sheetData sheetId="189">
        <row r="18">
          <cell r="B18" t="str">
            <v>Hardware &amp; Software</v>
          </cell>
        </row>
      </sheetData>
      <sheetData sheetId="190">
        <row r="18">
          <cell r="B18" t="str">
            <v>Hardware &amp; Software</v>
          </cell>
        </row>
      </sheetData>
      <sheetData sheetId="191">
        <row r="18">
          <cell r="B18" t="str">
            <v>Hardware &amp; Software</v>
          </cell>
        </row>
      </sheetData>
      <sheetData sheetId="192">
        <row r="18">
          <cell r="B18" t="str">
            <v>Hardware &amp; Software</v>
          </cell>
        </row>
      </sheetData>
      <sheetData sheetId="193">
        <row r="18">
          <cell r="B18" t="str">
            <v>Hardware &amp; Software</v>
          </cell>
        </row>
      </sheetData>
      <sheetData sheetId="194">
        <row r="18">
          <cell r="B18" t="str">
            <v>Hardware &amp; Software</v>
          </cell>
        </row>
      </sheetData>
      <sheetData sheetId="195">
        <row r="18">
          <cell r="B18" t="str">
            <v>Hardware &amp; Software</v>
          </cell>
        </row>
      </sheetData>
      <sheetData sheetId="196">
        <row r="18">
          <cell r="B18" t="str">
            <v>Hardware &amp; Software</v>
          </cell>
        </row>
      </sheetData>
      <sheetData sheetId="197">
        <row r="18">
          <cell r="B18" t="str">
            <v>Hardware &amp; Software</v>
          </cell>
        </row>
      </sheetData>
      <sheetData sheetId="198">
        <row r="18">
          <cell r="B18" t="str">
            <v>Hardware &amp; Software</v>
          </cell>
        </row>
      </sheetData>
      <sheetData sheetId="199">
        <row r="18">
          <cell r="B18" t="str">
            <v>Hardware &amp; Software</v>
          </cell>
        </row>
      </sheetData>
      <sheetData sheetId="200">
        <row r="18">
          <cell r="B18" t="str">
            <v>Hardware &amp; Software</v>
          </cell>
        </row>
      </sheetData>
      <sheetData sheetId="201">
        <row r="18">
          <cell r="B18" t="str">
            <v>Hardware &amp; Software</v>
          </cell>
        </row>
      </sheetData>
      <sheetData sheetId="202">
        <row r="18">
          <cell r="B18" t="str">
            <v>Hardware &amp; Software</v>
          </cell>
        </row>
      </sheetData>
      <sheetData sheetId="203">
        <row r="18">
          <cell r="B18" t="str">
            <v>Hardware &amp; Software</v>
          </cell>
        </row>
      </sheetData>
      <sheetData sheetId="204">
        <row r="18">
          <cell r="B18" t="str">
            <v>Hardware &amp; Software</v>
          </cell>
        </row>
      </sheetData>
      <sheetData sheetId="205">
        <row r="18">
          <cell r="B18" t="str">
            <v>Hardware &amp; Software</v>
          </cell>
        </row>
      </sheetData>
      <sheetData sheetId="206">
        <row r="18">
          <cell r="B18" t="str">
            <v>Hardware &amp; Software</v>
          </cell>
        </row>
      </sheetData>
      <sheetData sheetId="207">
        <row r="18">
          <cell r="B18" t="str">
            <v>Hardware &amp; Software</v>
          </cell>
        </row>
      </sheetData>
      <sheetData sheetId="208">
        <row r="18">
          <cell r="B18" t="str">
            <v>Hardware &amp; Software</v>
          </cell>
        </row>
      </sheetData>
      <sheetData sheetId="209">
        <row r="18">
          <cell r="B18" t="str">
            <v>Hardware &amp; Software</v>
          </cell>
        </row>
      </sheetData>
      <sheetData sheetId="210">
        <row r="18">
          <cell r="B18" t="str">
            <v>Hardware &amp; Software</v>
          </cell>
        </row>
      </sheetData>
      <sheetData sheetId="211">
        <row r="18">
          <cell r="B18" t="str">
            <v>Hardware &amp; Software</v>
          </cell>
        </row>
      </sheetData>
      <sheetData sheetId="212">
        <row r="18">
          <cell r="B18" t="str">
            <v>Hardware &amp; Software</v>
          </cell>
        </row>
      </sheetData>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ow r="18">
          <cell r="B18" t="str">
            <v>Hardware &amp; Software</v>
          </cell>
        </row>
      </sheetData>
      <sheetData sheetId="238">
        <row r="18">
          <cell r="B18" t="str">
            <v>Hardware &amp; Software</v>
          </cell>
        </row>
      </sheetData>
      <sheetData sheetId="239">
        <row r="18">
          <cell r="B18" t="str">
            <v>Hardware &amp; Software</v>
          </cell>
        </row>
      </sheetData>
      <sheetData sheetId="240">
        <row r="18">
          <cell r="B18" t="str">
            <v>Hardware &amp; Software</v>
          </cell>
        </row>
      </sheetData>
      <sheetData sheetId="241">
        <row r="18">
          <cell r="B18" t="str">
            <v>Hardware &amp; Software</v>
          </cell>
        </row>
      </sheetData>
      <sheetData sheetId="242">
        <row r="18">
          <cell r="B18" t="str">
            <v>Hardware &amp; Software</v>
          </cell>
        </row>
      </sheetData>
      <sheetData sheetId="243">
        <row r="18">
          <cell r="B18" t="str">
            <v>Hardware &amp; Software</v>
          </cell>
        </row>
      </sheetData>
      <sheetData sheetId="244">
        <row r="18">
          <cell r="B18" t="str">
            <v>Hardware &amp; Software</v>
          </cell>
        </row>
      </sheetData>
      <sheetData sheetId="245">
        <row r="18">
          <cell r="B18" t="str">
            <v>Hardware &amp; Software</v>
          </cell>
        </row>
      </sheetData>
      <sheetData sheetId="246">
        <row r="18">
          <cell r="B18" t="str">
            <v>Hardware &amp; Software</v>
          </cell>
        </row>
      </sheetData>
      <sheetData sheetId="247">
        <row r="18">
          <cell r="B18" t="str">
            <v>Hardware &amp; Software</v>
          </cell>
        </row>
      </sheetData>
      <sheetData sheetId="248">
        <row r="18">
          <cell r="B18" t="str">
            <v>Hardware &amp; Software</v>
          </cell>
        </row>
      </sheetData>
      <sheetData sheetId="249">
        <row r="18">
          <cell r="B18" t="str">
            <v>Hardware &amp; Software</v>
          </cell>
        </row>
      </sheetData>
      <sheetData sheetId="250">
        <row r="18">
          <cell r="B18" t="str">
            <v>Hardware &amp; Software</v>
          </cell>
        </row>
      </sheetData>
      <sheetData sheetId="251">
        <row r="18">
          <cell r="B18" t="str">
            <v>Hardware &amp; Software</v>
          </cell>
        </row>
      </sheetData>
      <sheetData sheetId="252">
        <row r="18">
          <cell r="B18" t="str">
            <v>Hardware &amp; Software</v>
          </cell>
        </row>
      </sheetData>
      <sheetData sheetId="253">
        <row r="18">
          <cell r="B18" t="str">
            <v>Hardware &amp; Software</v>
          </cell>
        </row>
      </sheetData>
      <sheetData sheetId="254">
        <row r="18">
          <cell r="B18" t="str">
            <v>Hardware &amp; Software</v>
          </cell>
        </row>
      </sheetData>
      <sheetData sheetId="255">
        <row r="18">
          <cell r="B18" t="str">
            <v>Hardware &amp; Software</v>
          </cell>
        </row>
      </sheetData>
      <sheetData sheetId="256">
        <row r="18">
          <cell r="B18" t="str">
            <v>Hardware &amp; Software</v>
          </cell>
        </row>
      </sheetData>
      <sheetData sheetId="257">
        <row r="18">
          <cell r="B18" t="str">
            <v>Hardware &amp; Software</v>
          </cell>
        </row>
      </sheetData>
      <sheetData sheetId="258">
        <row r="18">
          <cell r="B18" t="str">
            <v>Hardware &amp; Software</v>
          </cell>
        </row>
      </sheetData>
      <sheetData sheetId="259">
        <row r="18">
          <cell r="B18" t="str">
            <v>Hardware &amp; Software</v>
          </cell>
        </row>
      </sheetData>
      <sheetData sheetId="260">
        <row r="18">
          <cell r="B18" t="str">
            <v>Hardware &amp; Software</v>
          </cell>
        </row>
      </sheetData>
      <sheetData sheetId="261">
        <row r="18">
          <cell r="B18" t="str">
            <v>Hardware &amp; Software</v>
          </cell>
        </row>
      </sheetData>
      <sheetData sheetId="262">
        <row r="18">
          <cell r="B18" t="str">
            <v>Hardware &amp; Software</v>
          </cell>
        </row>
      </sheetData>
      <sheetData sheetId="263">
        <row r="18">
          <cell r="B18" t="str">
            <v>Hardware &amp; Software</v>
          </cell>
        </row>
      </sheetData>
      <sheetData sheetId="264">
        <row r="18">
          <cell r="B18" t="str">
            <v>Hardware &amp; Software</v>
          </cell>
        </row>
      </sheetData>
      <sheetData sheetId="265">
        <row r="18">
          <cell r="B18" t="str">
            <v>Hardware &amp; Software</v>
          </cell>
        </row>
      </sheetData>
      <sheetData sheetId="266">
        <row r="18">
          <cell r="B18" t="str">
            <v>Hardware &amp; Software</v>
          </cell>
        </row>
      </sheetData>
      <sheetData sheetId="267">
        <row r="18">
          <cell r="B18" t="str">
            <v>Hardware &amp; Software</v>
          </cell>
        </row>
      </sheetData>
      <sheetData sheetId="268">
        <row r="18">
          <cell r="B18" t="str">
            <v>Hardware &amp; Software</v>
          </cell>
        </row>
      </sheetData>
      <sheetData sheetId="269">
        <row r="18">
          <cell r="B18" t="str">
            <v>Hardware &amp; Software</v>
          </cell>
        </row>
      </sheetData>
      <sheetData sheetId="270">
        <row r="18">
          <cell r="B18" t="str">
            <v>Hardware &amp; Software</v>
          </cell>
        </row>
      </sheetData>
      <sheetData sheetId="271">
        <row r="18">
          <cell r="B18" t="str">
            <v>Hardware &amp; Software</v>
          </cell>
        </row>
      </sheetData>
      <sheetData sheetId="272">
        <row r="18">
          <cell r="B18" t="str">
            <v>Hardware &amp; Software</v>
          </cell>
        </row>
      </sheetData>
      <sheetData sheetId="273">
        <row r="18">
          <cell r="B18" t="str">
            <v>Hardware &amp; Software</v>
          </cell>
        </row>
      </sheetData>
      <sheetData sheetId="274">
        <row r="18">
          <cell r="B18" t="str">
            <v>Hardware &amp; Software</v>
          </cell>
        </row>
      </sheetData>
      <sheetData sheetId="275">
        <row r="18">
          <cell r="B18" t="str">
            <v>Hardware &amp; Software</v>
          </cell>
        </row>
      </sheetData>
      <sheetData sheetId="276">
        <row r="18">
          <cell r="B18" t="str">
            <v>Hardware &amp; Software</v>
          </cell>
        </row>
      </sheetData>
      <sheetData sheetId="277">
        <row r="18">
          <cell r="B18" t="str">
            <v>Hardware &amp; Software</v>
          </cell>
        </row>
      </sheetData>
      <sheetData sheetId="278">
        <row r="18">
          <cell r="B18" t="str">
            <v>Hardware &amp; Software</v>
          </cell>
        </row>
      </sheetData>
      <sheetData sheetId="279">
        <row r="18">
          <cell r="B18" t="str">
            <v>Hardware &amp; Software</v>
          </cell>
        </row>
      </sheetData>
      <sheetData sheetId="280">
        <row r="18">
          <cell r="B18" t="str">
            <v>Hardware &amp; Software</v>
          </cell>
        </row>
      </sheetData>
      <sheetData sheetId="281">
        <row r="18">
          <cell r="B18" t="str">
            <v>Hardware &amp; Software</v>
          </cell>
        </row>
      </sheetData>
      <sheetData sheetId="282" refreshError="1"/>
      <sheetData sheetId="283">
        <row r="18">
          <cell r="B18" t="str">
            <v>Hardware &amp; Software</v>
          </cell>
        </row>
      </sheetData>
      <sheetData sheetId="284">
        <row r="18">
          <cell r="B18" t="str">
            <v>Hardware &amp; Software</v>
          </cell>
        </row>
      </sheetData>
      <sheetData sheetId="285">
        <row r="18">
          <cell r="B18" t="str">
            <v>Hardware &amp; Software</v>
          </cell>
        </row>
      </sheetData>
      <sheetData sheetId="286">
        <row r="18">
          <cell r="B18" t="str">
            <v>Hardware &amp; Software</v>
          </cell>
        </row>
      </sheetData>
      <sheetData sheetId="287">
        <row r="18">
          <cell r="B18" t="str">
            <v>Hardware &amp; Software</v>
          </cell>
        </row>
      </sheetData>
      <sheetData sheetId="288">
        <row r="18">
          <cell r="B18" t="str">
            <v>Hardware &amp; Software</v>
          </cell>
        </row>
      </sheetData>
      <sheetData sheetId="289">
        <row r="18">
          <cell r="B18" t="str">
            <v>Hardware &amp; Software</v>
          </cell>
        </row>
      </sheetData>
      <sheetData sheetId="290">
        <row r="18">
          <cell r="B18" t="str">
            <v>Hardware &amp; Software</v>
          </cell>
        </row>
      </sheetData>
      <sheetData sheetId="291">
        <row r="18">
          <cell r="B18" t="str">
            <v>Hardware &amp; Software</v>
          </cell>
        </row>
      </sheetData>
      <sheetData sheetId="292">
        <row r="18">
          <cell r="B18" t="str">
            <v>Hardware &amp; Software</v>
          </cell>
        </row>
      </sheetData>
      <sheetData sheetId="293">
        <row r="18">
          <cell r="B18" t="str">
            <v>Hardware &amp; Software</v>
          </cell>
        </row>
      </sheetData>
      <sheetData sheetId="294">
        <row r="18">
          <cell r="B18" t="str">
            <v>Hardware &amp; Software</v>
          </cell>
        </row>
      </sheetData>
      <sheetData sheetId="295">
        <row r="18">
          <cell r="B18" t="str">
            <v>Hardware &amp; Software</v>
          </cell>
        </row>
      </sheetData>
      <sheetData sheetId="296">
        <row r="18">
          <cell r="B18" t="str">
            <v>Hardware &amp; Software</v>
          </cell>
        </row>
      </sheetData>
      <sheetData sheetId="297">
        <row r="18">
          <cell r="B18" t="str">
            <v>Hardware &amp; Software</v>
          </cell>
        </row>
      </sheetData>
      <sheetData sheetId="298">
        <row r="18">
          <cell r="B18" t="str">
            <v>Hardware &amp; Software</v>
          </cell>
        </row>
      </sheetData>
      <sheetData sheetId="299">
        <row r="18">
          <cell r="B18" t="str">
            <v>Hardware &amp; Software</v>
          </cell>
        </row>
      </sheetData>
      <sheetData sheetId="300">
        <row r="18">
          <cell r="B18" t="str">
            <v>Hardware &amp; Software</v>
          </cell>
        </row>
      </sheetData>
      <sheetData sheetId="301">
        <row r="18">
          <cell r="B18" t="str">
            <v>Hardware &amp; Software</v>
          </cell>
        </row>
      </sheetData>
      <sheetData sheetId="302">
        <row r="18">
          <cell r="B18" t="str">
            <v>Hardware &amp; Software</v>
          </cell>
        </row>
      </sheetData>
      <sheetData sheetId="303">
        <row r="18">
          <cell r="B18" t="str">
            <v>Hardware &amp; Software</v>
          </cell>
        </row>
      </sheetData>
      <sheetData sheetId="304">
        <row r="18">
          <cell r="B18" t="str">
            <v>Hardware &amp; Software</v>
          </cell>
        </row>
      </sheetData>
      <sheetData sheetId="305">
        <row r="18">
          <cell r="B18" t="str">
            <v>Hardware &amp; Software</v>
          </cell>
        </row>
      </sheetData>
      <sheetData sheetId="306">
        <row r="18">
          <cell r="B18" t="str">
            <v>Hardware &amp; Software</v>
          </cell>
        </row>
      </sheetData>
      <sheetData sheetId="307">
        <row r="18">
          <cell r="B18" t="str">
            <v>Hardware &amp; Software</v>
          </cell>
        </row>
      </sheetData>
      <sheetData sheetId="308">
        <row r="18">
          <cell r="B18" t="str">
            <v>Hardware &amp; Software</v>
          </cell>
        </row>
      </sheetData>
      <sheetData sheetId="309">
        <row r="18">
          <cell r="B18" t="str">
            <v>Hardware &amp; Software</v>
          </cell>
        </row>
      </sheetData>
      <sheetData sheetId="310">
        <row r="18">
          <cell r="B18" t="str">
            <v>Hardware &amp; Software</v>
          </cell>
        </row>
      </sheetData>
      <sheetData sheetId="311">
        <row r="18">
          <cell r="B18" t="str">
            <v>Hardware &amp; Software</v>
          </cell>
        </row>
      </sheetData>
      <sheetData sheetId="312">
        <row r="18">
          <cell r="B18" t="str">
            <v>Hardware &amp; Software</v>
          </cell>
        </row>
      </sheetData>
      <sheetData sheetId="313">
        <row r="18">
          <cell r="B18" t="str">
            <v>Hardware &amp; Software</v>
          </cell>
        </row>
      </sheetData>
      <sheetData sheetId="314">
        <row r="18">
          <cell r="B18" t="str">
            <v>Hardware &amp; Software</v>
          </cell>
        </row>
      </sheetData>
      <sheetData sheetId="315">
        <row r="18">
          <cell r="B18" t="str">
            <v>Hardware &amp; Software</v>
          </cell>
        </row>
      </sheetData>
      <sheetData sheetId="316">
        <row r="18">
          <cell r="B18" t="str">
            <v>Hardware &amp; Software</v>
          </cell>
        </row>
      </sheetData>
      <sheetData sheetId="317">
        <row r="18">
          <cell r="B18" t="str">
            <v>Hardware &amp; Software</v>
          </cell>
        </row>
      </sheetData>
      <sheetData sheetId="318">
        <row r="18">
          <cell r="B18" t="str">
            <v>Hardware &amp; Software</v>
          </cell>
        </row>
      </sheetData>
      <sheetData sheetId="319">
        <row r="18">
          <cell r="B18" t="str">
            <v>Hardware &amp; Software</v>
          </cell>
        </row>
      </sheetData>
      <sheetData sheetId="320">
        <row r="18">
          <cell r="B18" t="str">
            <v>Hardware &amp; Software</v>
          </cell>
        </row>
      </sheetData>
      <sheetData sheetId="321">
        <row r="18">
          <cell r="B18" t="str">
            <v>Hardware &amp; Software</v>
          </cell>
        </row>
      </sheetData>
      <sheetData sheetId="322">
        <row r="18">
          <cell r="B18" t="str">
            <v>Hardware &amp; Software</v>
          </cell>
        </row>
      </sheetData>
      <sheetData sheetId="323">
        <row r="18">
          <cell r="B18" t="str">
            <v>Hardware &amp; Software</v>
          </cell>
        </row>
      </sheetData>
      <sheetData sheetId="324">
        <row r="18">
          <cell r="B18" t="str">
            <v>Hardware &amp; Software</v>
          </cell>
        </row>
      </sheetData>
      <sheetData sheetId="325">
        <row r="18">
          <cell r="B18" t="str">
            <v>Hardware &amp; Software</v>
          </cell>
        </row>
      </sheetData>
      <sheetData sheetId="326">
        <row r="18">
          <cell r="B18" t="str">
            <v>Hardware &amp; Software</v>
          </cell>
        </row>
      </sheetData>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ow r="18">
          <cell r="B18" t="str">
            <v>Hardware &amp; Software</v>
          </cell>
        </row>
      </sheetData>
      <sheetData sheetId="347">
        <row r="18">
          <cell r="B18" t="str">
            <v>Hardware &amp; Software</v>
          </cell>
        </row>
      </sheetData>
      <sheetData sheetId="348">
        <row r="18">
          <cell r="B18" t="str">
            <v>Hardware &amp; Software</v>
          </cell>
        </row>
      </sheetData>
      <sheetData sheetId="349">
        <row r="18">
          <cell r="B18" t="str">
            <v>Hardware &amp; Software</v>
          </cell>
        </row>
      </sheetData>
      <sheetData sheetId="350">
        <row r="18">
          <cell r="B18" t="str">
            <v>Hardware &amp; Software</v>
          </cell>
        </row>
      </sheetData>
      <sheetData sheetId="351">
        <row r="18">
          <cell r="B18" t="str">
            <v>Hardware &amp; Software</v>
          </cell>
        </row>
      </sheetData>
      <sheetData sheetId="352">
        <row r="18">
          <cell r="B18" t="str">
            <v>Hardware &amp; Software</v>
          </cell>
        </row>
      </sheetData>
      <sheetData sheetId="353">
        <row r="18">
          <cell r="B18" t="str">
            <v>Hardware &amp; Software</v>
          </cell>
        </row>
      </sheetData>
      <sheetData sheetId="354">
        <row r="18">
          <cell r="B18" t="str">
            <v>Hardware &amp; Software</v>
          </cell>
        </row>
      </sheetData>
      <sheetData sheetId="355">
        <row r="18">
          <cell r="B18" t="str">
            <v>Hardware &amp; Software</v>
          </cell>
        </row>
      </sheetData>
      <sheetData sheetId="356">
        <row r="18">
          <cell r="B18" t="str">
            <v>Hardware &amp; Software</v>
          </cell>
        </row>
      </sheetData>
      <sheetData sheetId="357">
        <row r="18">
          <cell r="B18" t="str">
            <v>Hardware &amp; Software</v>
          </cell>
        </row>
      </sheetData>
      <sheetData sheetId="358">
        <row r="18">
          <cell r="B18" t="str">
            <v>Hardware &amp; Software</v>
          </cell>
        </row>
      </sheetData>
      <sheetData sheetId="359">
        <row r="18">
          <cell r="B18" t="str">
            <v>Hardware &amp; Software</v>
          </cell>
        </row>
      </sheetData>
      <sheetData sheetId="360">
        <row r="18">
          <cell r="B18" t="str">
            <v>Hardware &amp; Software</v>
          </cell>
        </row>
      </sheetData>
      <sheetData sheetId="361">
        <row r="18">
          <cell r="B18" t="str">
            <v>Hardware &amp; Software</v>
          </cell>
        </row>
      </sheetData>
      <sheetData sheetId="362">
        <row r="18">
          <cell r="B18" t="str">
            <v>Hardware &amp; Software</v>
          </cell>
        </row>
      </sheetData>
      <sheetData sheetId="363">
        <row r="18">
          <cell r="B18" t="str">
            <v>Hardware &amp; Software</v>
          </cell>
        </row>
      </sheetData>
      <sheetData sheetId="364">
        <row r="18">
          <cell r="B18" t="str">
            <v>Hardware &amp; Software</v>
          </cell>
        </row>
      </sheetData>
      <sheetData sheetId="365">
        <row r="18">
          <cell r="B18" t="str">
            <v>Hardware &amp; Software</v>
          </cell>
        </row>
      </sheetData>
      <sheetData sheetId="366">
        <row r="18">
          <cell r="B18" t="str">
            <v>Hardware &amp; Software</v>
          </cell>
        </row>
      </sheetData>
      <sheetData sheetId="367">
        <row r="18">
          <cell r="B18" t="str">
            <v>Hardware &amp; Software</v>
          </cell>
        </row>
      </sheetData>
      <sheetData sheetId="368">
        <row r="18">
          <cell r="B18" t="str">
            <v>Hardware &amp; Software</v>
          </cell>
        </row>
      </sheetData>
      <sheetData sheetId="369">
        <row r="18">
          <cell r="B18" t="str">
            <v>Hardware &amp; Software</v>
          </cell>
        </row>
      </sheetData>
      <sheetData sheetId="370">
        <row r="18">
          <cell r="B18" t="str">
            <v>Hardware &amp; Software</v>
          </cell>
        </row>
      </sheetData>
      <sheetData sheetId="371">
        <row r="18">
          <cell r="B18" t="str">
            <v>Hardware &amp; Software</v>
          </cell>
        </row>
      </sheetData>
      <sheetData sheetId="372">
        <row r="18">
          <cell r="B18" t="str">
            <v>Hardware &amp; Software</v>
          </cell>
        </row>
      </sheetData>
      <sheetData sheetId="373">
        <row r="18">
          <cell r="B18" t="str">
            <v>Hardware &amp; Software</v>
          </cell>
        </row>
      </sheetData>
      <sheetData sheetId="374">
        <row r="18">
          <cell r="B18" t="str">
            <v>Hardware &amp; Software</v>
          </cell>
        </row>
      </sheetData>
      <sheetData sheetId="375">
        <row r="18">
          <cell r="B18" t="str">
            <v>Hardware &amp; Software</v>
          </cell>
        </row>
      </sheetData>
      <sheetData sheetId="376">
        <row r="18">
          <cell r="B18" t="str">
            <v>Hardware &amp; Software</v>
          </cell>
        </row>
      </sheetData>
      <sheetData sheetId="377">
        <row r="18">
          <cell r="B18" t="str">
            <v>Hardware &amp; Software</v>
          </cell>
        </row>
      </sheetData>
      <sheetData sheetId="378">
        <row r="18">
          <cell r="B18" t="str">
            <v>Hardware &amp; Software</v>
          </cell>
        </row>
      </sheetData>
      <sheetData sheetId="379">
        <row r="18">
          <cell r="B18" t="str">
            <v>Hardware &amp; Software</v>
          </cell>
        </row>
      </sheetData>
      <sheetData sheetId="380">
        <row r="18">
          <cell r="B18" t="str">
            <v>Hardware &amp; Software</v>
          </cell>
        </row>
      </sheetData>
      <sheetData sheetId="381">
        <row r="18">
          <cell r="B18" t="str">
            <v>Hardware &amp; Software</v>
          </cell>
        </row>
      </sheetData>
      <sheetData sheetId="382">
        <row r="18">
          <cell r="B18" t="str">
            <v>Hardware &amp; Software</v>
          </cell>
        </row>
      </sheetData>
      <sheetData sheetId="383">
        <row r="18">
          <cell r="B18" t="str">
            <v>Hardware &amp; Software</v>
          </cell>
        </row>
      </sheetData>
      <sheetData sheetId="384">
        <row r="18">
          <cell r="B18" t="str">
            <v>Hardware &amp; Software</v>
          </cell>
        </row>
      </sheetData>
      <sheetData sheetId="385">
        <row r="18">
          <cell r="B18" t="str">
            <v>Hardware &amp; Software</v>
          </cell>
        </row>
      </sheetData>
      <sheetData sheetId="386">
        <row r="18">
          <cell r="B18" t="str">
            <v>Hardware &amp; Software</v>
          </cell>
        </row>
      </sheetData>
      <sheetData sheetId="387">
        <row r="18">
          <cell r="B18" t="str">
            <v>Hardware &amp; Software</v>
          </cell>
        </row>
      </sheetData>
      <sheetData sheetId="388">
        <row r="18">
          <cell r="B18" t="str">
            <v>Hardware &amp; Software</v>
          </cell>
        </row>
      </sheetData>
      <sheetData sheetId="389">
        <row r="18">
          <cell r="B18" t="str">
            <v>Hardware &amp; Software</v>
          </cell>
        </row>
      </sheetData>
      <sheetData sheetId="390">
        <row r="18">
          <cell r="B18" t="str">
            <v>Hardware &amp; Software</v>
          </cell>
        </row>
      </sheetData>
      <sheetData sheetId="391">
        <row r="18">
          <cell r="B18" t="str">
            <v>Hardware &amp; Software</v>
          </cell>
        </row>
      </sheetData>
      <sheetData sheetId="392">
        <row r="18">
          <cell r="B18" t="str">
            <v>Hardware &amp; Software</v>
          </cell>
        </row>
      </sheetData>
      <sheetData sheetId="393">
        <row r="18">
          <cell r="B18" t="str">
            <v>Hardware &amp; Software</v>
          </cell>
        </row>
      </sheetData>
      <sheetData sheetId="394">
        <row r="18">
          <cell r="B18" t="str">
            <v>Hardware &amp; Software</v>
          </cell>
        </row>
      </sheetData>
      <sheetData sheetId="395">
        <row r="18">
          <cell r="B18" t="str">
            <v>Hardware &amp; Software</v>
          </cell>
        </row>
      </sheetData>
      <sheetData sheetId="396">
        <row r="18">
          <cell r="B18" t="str">
            <v>Hardware &amp; Software</v>
          </cell>
        </row>
      </sheetData>
      <sheetData sheetId="397">
        <row r="18">
          <cell r="B18" t="str">
            <v>Hardware &amp; Software</v>
          </cell>
        </row>
      </sheetData>
      <sheetData sheetId="398">
        <row r="18">
          <cell r="B18" t="str">
            <v>Hardware &amp; Software</v>
          </cell>
        </row>
      </sheetData>
      <sheetData sheetId="399">
        <row r="18">
          <cell r="B18" t="str">
            <v>Hardware &amp; Software</v>
          </cell>
        </row>
      </sheetData>
      <sheetData sheetId="400">
        <row r="18">
          <cell r="B18" t="str">
            <v>Hardware &amp; Software</v>
          </cell>
        </row>
      </sheetData>
      <sheetData sheetId="401">
        <row r="18">
          <cell r="B18" t="str">
            <v>Hardware &amp; Software</v>
          </cell>
        </row>
      </sheetData>
      <sheetData sheetId="402">
        <row r="18">
          <cell r="B18" t="str">
            <v>Hardware &amp; Software</v>
          </cell>
        </row>
      </sheetData>
      <sheetData sheetId="403">
        <row r="18">
          <cell r="B18" t="str">
            <v>Hardware &amp; Software</v>
          </cell>
        </row>
      </sheetData>
      <sheetData sheetId="404">
        <row r="18">
          <cell r="B18" t="str">
            <v>Hardware &amp; Software</v>
          </cell>
        </row>
      </sheetData>
      <sheetData sheetId="405">
        <row r="18">
          <cell r="B18" t="str">
            <v>Hardware &amp; Software</v>
          </cell>
        </row>
      </sheetData>
      <sheetData sheetId="406">
        <row r="18">
          <cell r="B18" t="str">
            <v>Hardware &amp; Software</v>
          </cell>
        </row>
      </sheetData>
      <sheetData sheetId="407">
        <row r="18">
          <cell r="B18" t="str">
            <v>Hardware &amp; Software</v>
          </cell>
        </row>
      </sheetData>
      <sheetData sheetId="408">
        <row r="18">
          <cell r="B18" t="str">
            <v>Hardware &amp; Software</v>
          </cell>
        </row>
      </sheetData>
      <sheetData sheetId="409">
        <row r="18">
          <cell r="B18" t="str">
            <v>Hardware &amp; Software</v>
          </cell>
        </row>
      </sheetData>
      <sheetData sheetId="410">
        <row r="18">
          <cell r="B18" t="str">
            <v>Hardware &amp; Software</v>
          </cell>
        </row>
      </sheetData>
      <sheetData sheetId="411">
        <row r="18">
          <cell r="B18" t="str">
            <v>Hardware &amp; Software</v>
          </cell>
        </row>
      </sheetData>
      <sheetData sheetId="412">
        <row r="18">
          <cell r="B18" t="str">
            <v>Hardware &amp; Software</v>
          </cell>
        </row>
      </sheetData>
      <sheetData sheetId="413">
        <row r="18">
          <cell r="B18" t="str">
            <v>Hardware &amp; Software</v>
          </cell>
        </row>
      </sheetData>
      <sheetData sheetId="414">
        <row r="18">
          <cell r="B18" t="str">
            <v>Hardware &amp; Software</v>
          </cell>
        </row>
      </sheetData>
      <sheetData sheetId="415">
        <row r="18">
          <cell r="B18" t="str">
            <v>Hardware &amp; Software</v>
          </cell>
        </row>
      </sheetData>
      <sheetData sheetId="416">
        <row r="18">
          <cell r="B18" t="str">
            <v>Hardware &amp; Software</v>
          </cell>
        </row>
      </sheetData>
      <sheetData sheetId="417">
        <row r="18">
          <cell r="B18" t="str">
            <v>Hardware &amp; Software</v>
          </cell>
        </row>
      </sheetData>
      <sheetData sheetId="418">
        <row r="18">
          <cell r="B18" t="str">
            <v>Hardware &amp; Software</v>
          </cell>
        </row>
      </sheetData>
      <sheetData sheetId="419">
        <row r="18">
          <cell r="B18" t="str">
            <v>Hardware &amp; Software</v>
          </cell>
        </row>
      </sheetData>
      <sheetData sheetId="420">
        <row r="18">
          <cell r="B18" t="str">
            <v>Hardware &amp; Software</v>
          </cell>
        </row>
      </sheetData>
      <sheetData sheetId="421">
        <row r="18">
          <cell r="B18" t="str">
            <v>Hardware &amp; Software</v>
          </cell>
        </row>
      </sheetData>
      <sheetData sheetId="422">
        <row r="18">
          <cell r="B18" t="str">
            <v>Hardware &amp; Software</v>
          </cell>
        </row>
      </sheetData>
      <sheetData sheetId="423">
        <row r="18">
          <cell r="B18" t="str">
            <v>Hardware &amp; Software</v>
          </cell>
        </row>
      </sheetData>
      <sheetData sheetId="424">
        <row r="18">
          <cell r="B18" t="str">
            <v>Hardware &amp; Software</v>
          </cell>
        </row>
      </sheetData>
      <sheetData sheetId="425">
        <row r="18">
          <cell r="B18" t="str">
            <v>Hardware &amp; Software</v>
          </cell>
        </row>
      </sheetData>
      <sheetData sheetId="426">
        <row r="18">
          <cell r="B18" t="str">
            <v>Hardware &amp; Software</v>
          </cell>
        </row>
      </sheetData>
      <sheetData sheetId="427">
        <row r="18">
          <cell r="B18" t="str">
            <v>Hardware &amp; Software</v>
          </cell>
        </row>
      </sheetData>
      <sheetData sheetId="428">
        <row r="18">
          <cell r="B18" t="str">
            <v>Hardware &amp; Software</v>
          </cell>
        </row>
      </sheetData>
      <sheetData sheetId="429">
        <row r="18">
          <cell r="B18" t="str">
            <v>Hardware &amp; Software</v>
          </cell>
        </row>
      </sheetData>
      <sheetData sheetId="430">
        <row r="18">
          <cell r="B18" t="str">
            <v>Hardware &amp; Software</v>
          </cell>
        </row>
      </sheetData>
      <sheetData sheetId="431">
        <row r="18">
          <cell r="B18" t="str">
            <v>Hardware &amp; Software</v>
          </cell>
        </row>
      </sheetData>
      <sheetData sheetId="432">
        <row r="18">
          <cell r="B18" t="str">
            <v>Hardware &amp; Software</v>
          </cell>
        </row>
      </sheetData>
      <sheetData sheetId="433">
        <row r="18">
          <cell r="B18" t="str">
            <v>Hardware &amp; Software</v>
          </cell>
        </row>
      </sheetData>
      <sheetData sheetId="434">
        <row r="18">
          <cell r="B18" t="str">
            <v>Hardware &amp; Software</v>
          </cell>
        </row>
      </sheetData>
      <sheetData sheetId="435">
        <row r="18">
          <cell r="B18" t="str">
            <v>Hardware &amp; Software</v>
          </cell>
        </row>
      </sheetData>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ow r="18">
          <cell r="B18" t="str">
            <v>Hardware &amp; Software</v>
          </cell>
        </row>
      </sheetData>
      <sheetData sheetId="453" refreshError="1"/>
      <sheetData sheetId="454" refreshError="1"/>
      <sheetData sheetId="455" refreshError="1"/>
      <sheetData sheetId="456" refreshError="1"/>
      <sheetData sheetId="457" refreshError="1"/>
      <sheetData sheetId="458">
        <row r="18">
          <cell r="B18" t="str">
            <v>Hardware &amp; Software</v>
          </cell>
        </row>
      </sheetData>
      <sheetData sheetId="459">
        <row r="18">
          <cell r="B18" t="str">
            <v>Hardware &amp; Software</v>
          </cell>
        </row>
      </sheetData>
      <sheetData sheetId="460">
        <row r="18">
          <cell r="B18" t="str">
            <v>Hardware &amp; Software</v>
          </cell>
        </row>
      </sheetData>
      <sheetData sheetId="461">
        <row r="18">
          <cell r="B18" t="str">
            <v>Hardware &amp; Software</v>
          </cell>
        </row>
      </sheetData>
      <sheetData sheetId="462">
        <row r="18">
          <cell r="B18" t="str">
            <v>Hardware &amp; Software</v>
          </cell>
        </row>
      </sheetData>
      <sheetData sheetId="463" refreshError="1"/>
      <sheetData sheetId="464" refreshError="1"/>
      <sheetData sheetId="465" refreshError="1"/>
      <sheetData sheetId="466" refreshError="1"/>
      <sheetData sheetId="467">
        <row r="18">
          <cell r="B18" t="str">
            <v>Hardware &amp; Software</v>
          </cell>
        </row>
      </sheetData>
      <sheetData sheetId="468">
        <row r="18">
          <cell r="B18" t="str">
            <v>Hardware &amp; Software</v>
          </cell>
        </row>
      </sheetData>
      <sheetData sheetId="469">
        <row r="18">
          <cell r="B18" t="str">
            <v>Hardware &amp; Software</v>
          </cell>
        </row>
      </sheetData>
      <sheetData sheetId="470">
        <row r="18">
          <cell r="B18" t="str">
            <v>Hardware &amp; Software</v>
          </cell>
        </row>
      </sheetData>
      <sheetData sheetId="471">
        <row r="18">
          <cell r="B18" t="str">
            <v>Hardware &amp; Software</v>
          </cell>
        </row>
      </sheetData>
      <sheetData sheetId="472">
        <row r="18">
          <cell r="B18" t="str">
            <v>Hardware &amp; Software</v>
          </cell>
        </row>
      </sheetData>
      <sheetData sheetId="473">
        <row r="18">
          <cell r="B18" t="str">
            <v>Hardware &amp; Software</v>
          </cell>
        </row>
      </sheetData>
      <sheetData sheetId="474">
        <row r="18">
          <cell r="B18" t="str">
            <v>Hardware &amp; Software</v>
          </cell>
        </row>
      </sheetData>
      <sheetData sheetId="475">
        <row r="18">
          <cell r="B18" t="str">
            <v>Hardware &amp; Software</v>
          </cell>
        </row>
      </sheetData>
      <sheetData sheetId="476">
        <row r="18">
          <cell r="B18" t="str">
            <v>Hardware &amp; Software</v>
          </cell>
        </row>
      </sheetData>
      <sheetData sheetId="477">
        <row r="18">
          <cell r="B18" t="str">
            <v>Hardware &amp; Software</v>
          </cell>
        </row>
      </sheetData>
      <sheetData sheetId="478">
        <row r="18">
          <cell r="B18" t="str">
            <v>Hardware &amp; Software</v>
          </cell>
        </row>
      </sheetData>
      <sheetData sheetId="479">
        <row r="18">
          <cell r="B18" t="str">
            <v>Hardware &amp; Software</v>
          </cell>
        </row>
      </sheetData>
      <sheetData sheetId="480">
        <row r="18">
          <cell r="B18" t="str">
            <v>Hardware &amp; Software</v>
          </cell>
        </row>
      </sheetData>
      <sheetData sheetId="481">
        <row r="18">
          <cell r="B18" t="str">
            <v>Hardware &amp; Software</v>
          </cell>
        </row>
      </sheetData>
      <sheetData sheetId="482">
        <row r="18">
          <cell r="B18" t="str">
            <v>Hardware &amp; Software</v>
          </cell>
        </row>
      </sheetData>
      <sheetData sheetId="483">
        <row r="18">
          <cell r="B18" t="str">
            <v>Hardware &amp; Software</v>
          </cell>
        </row>
      </sheetData>
      <sheetData sheetId="484">
        <row r="18">
          <cell r="B18" t="str">
            <v>Hardware &amp; Software</v>
          </cell>
        </row>
      </sheetData>
      <sheetData sheetId="485">
        <row r="18">
          <cell r="B18" t="str">
            <v>Hardware &amp; Software</v>
          </cell>
        </row>
      </sheetData>
      <sheetData sheetId="486">
        <row r="18">
          <cell r="B18" t="str">
            <v>Hardware &amp; Software</v>
          </cell>
        </row>
      </sheetData>
      <sheetData sheetId="487">
        <row r="18">
          <cell r="B18" t="str">
            <v>Hardware &amp; Software</v>
          </cell>
        </row>
      </sheetData>
      <sheetData sheetId="488">
        <row r="18">
          <cell r="B18" t="str">
            <v>Hardware &amp; Software</v>
          </cell>
        </row>
      </sheetData>
      <sheetData sheetId="489">
        <row r="18">
          <cell r="B18" t="str">
            <v>Hardware &amp; Software</v>
          </cell>
        </row>
      </sheetData>
      <sheetData sheetId="490">
        <row r="18">
          <cell r="B18" t="str">
            <v>Hardware &amp; Software</v>
          </cell>
        </row>
      </sheetData>
      <sheetData sheetId="491">
        <row r="18">
          <cell r="B18" t="str">
            <v>Hardware &amp; Software</v>
          </cell>
        </row>
      </sheetData>
      <sheetData sheetId="492">
        <row r="18">
          <cell r="B18" t="str">
            <v>Hardware &amp; Software</v>
          </cell>
        </row>
      </sheetData>
      <sheetData sheetId="493">
        <row r="18">
          <cell r="B18" t="str">
            <v>Hardware &amp; Software</v>
          </cell>
        </row>
      </sheetData>
      <sheetData sheetId="494">
        <row r="18">
          <cell r="B18" t="str">
            <v>Hardware &amp; Software</v>
          </cell>
        </row>
      </sheetData>
      <sheetData sheetId="495">
        <row r="18">
          <cell r="B18" t="str">
            <v>Hardware &amp; Software</v>
          </cell>
        </row>
      </sheetData>
      <sheetData sheetId="496">
        <row r="18">
          <cell r="B18" t="str">
            <v>Hardware &amp; Software</v>
          </cell>
        </row>
      </sheetData>
      <sheetData sheetId="497">
        <row r="18">
          <cell r="B18" t="str">
            <v>Hardware &amp; Software</v>
          </cell>
        </row>
      </sheetData>
      <sheetData sheetId="498">
        <row r="18">
          <cell r="B18" t="str">
            <v>Hardware &amp; Software</v>
          </cell>
        </row>
      </sheetData>
      <sheetData sheetId="499">
        <row r="18">
          <cell r="B18" t="str">
            <v>Hardware &amp; Software</v>
          </cell>
        </row>
      </sheetData>
      <sheetData sheetId="500">
        <row r="18">
          <cell r="B18" t="str">
            <v>Hardware &amp; Software</v>
          </cell>
        </row>
      </sheetData>
      <sheetData sheetId="501">
        <row r="18">
          <cell r="B18" t="str">
            <v>Hardware &amp; Software</v>
          </cell>
        </row>
      </sheetData>
      <sheetData sheetId="502">
        <row r="18">
          <cell r="B18" t="str">
            <v>Hardware &amp; Software</v>
          </cell>
        </row>
      </sheetData>
      <sheetData sheetId="503">
        <row r="18">
          <cell r="B18" t="str">
            <v>Hardware &amp; Software</v>
          </cell>
        </row>
      </sheetData>
      <sheetData sheetId="504">
        <row r="18">
          <cell r="B18" t="str">
            <v>Hardware &amp; Software</v>
          </cell>
        </row>
      </sheetData>
      <sheetData sheetId="505">
        <row r="18">
          <cell r="B18" t="str">
            <v>Hardware &amp; Software</v>
          </cell>
        </row>
      </sheetData>
      <sheetData sheetId="506">
        <row r="18">
          <cell r="B18" t="str">
            <v>Hardware &amp; Software</v>
          </cell>
        </row>
      </sheetData>
      <sheetData sheetId="507">
        <row r="18">
          <cell r="B18" t="str">
            <v>Hardware &amp; Software</v>
          </cell>
        </row>
      </sheetData>
      <sheetData sheetId="508">
        <row r="18">
          <cell r="B18" t="str">
            <v>Hardware &amp; Software</v>
          </cell>
        </row>
      </sheetData>
      <sheetData sheetId="509" refreshError="1"/>
      <sheetData sheetId="510" refreshError="1"/>
      <sheetData sheetId="511">
        <row r="18">
          <cell r="B18" t="str">
            <v>Hardware &amp; Software</v>
          </cell>
        </row>
      </sheetData>
      <sheetData sheetId="512">
        <row r="18">
          <cell r="B18" t="str">
            <v>Hardware &amp; Software</v>
          </cell>
        </row>
      </sheetData>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ow r="18">
          <cell r="B18" t="str">
            <v>Hardware &amp; Software</v>
          </cell>
        </row>
      </sheetData>
      <sheetData sheetId="528">
        <row r="18">
          <cell r="B18" t="str">
            <v>Hardware &amp; Software</v>
          </cell>
        </row>
      </sheetData>
      <sheetData sheetId="529">
        <row r="18">
          <cell r="B18" t="str">
            <v>Hardware &amp; Software</v>
          </cell>
        </row>
      </sheetData>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ow r="18">
          <cell r="B18" t="str">
            <v>Hardware &amp; Software</v>
          </cell>
        </row>
      </sheetData>
      <sheetData sheetId="549">
        <row r="18">
          <cell r="B18" t="str">
            <v>Hardware &amp; Software</v>
          </cell>
        </row>
      </sheetData>
      <sheetData sheetId="550">
        <row r="18">
          <cell r="B18" t="str">
            <v>Hardware &amp; Software</v>
          </cell>
        </row>
      </sheetData>
      <sheetData sheetId="551">
        <row r="18">
          <cell r="B18" t="str">
            <v>Hardware &amp; Software</v>
          </cell>
        </row>
      </sheetData>
      <sheetData sheetId="552">
        <row r="18">
          <cell r="B18" t="str">
            <v>Hardware &amp; Software</v>
          </cell>
        </row>
      </sheetData>
      <sheetData sheetId="553">
        <row r="18">
          <cell r="B18" t="str">
            <v>Hardware &amp; Software</v>
          </cell>
        </row>
      </sheetData>
      <sheetData sheetId="554">
        <row r="18">
          <cell r="B18" t="str">
            <v>Hardware &amp; Software</v>
          </cell>
        </row>
      </sheetData>
      <sheetData sheetId="555">
        <row r="18">
          <cell r="B18" t="str">
            <v>Hardware &amp; Software</v>
          </cell>
        </row>
      </sheetData>
      <sheetData sheetId="556">
        <row r="18">
          <cell r="B18" t="str">
            <v>Hardware &amp; Software</v>
          </cell>
        </row>
      </sheetData>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ow r="18">
          <cell r="B18" t="str">
            <v>Hardware &amp; Software</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ow r="18">
          <cell r="B18" t="str">
            <v>Hardware &amp; Software</v>
          </cell>
        </row>
      </sheetData>
      <sheetData sheetId="618">
        <row r="18">
          <cell r="B18" t="str">
            <v>Hardware &amp; Software</v>
          </cell>
        </row>
      </sheetData>
      <sheetData sheetId="619">
        <row r="18">
          <cell r="B18" t="str">
            <v>Hardware &amp; Software</v>
          </cell>
        </row>
      </sheetData>
      <sheetData sheetId="620"/>
      <sheetData sheetId="621"/>
      <sheetData sheetId="622"/>
      <sheetData sheetId="623">
        <row r="18">
          <cell r="B18" t="str">
            <v>Hardware &amp; Software</v>
          </cell>
        </row>
      </sheetData>
      <sheetData sheetId="624">
        <row r="18">
          <cell r="B18" t="str">
            <v>Hardware &amp; Software</v>
          </cell>
        </row>
      </sheetData>
      <sheetData sheetId="625"/>
      <sheetData sheetId="626"/>
      <sheetData sheetId="627"/>
      <sheetData sheetId="628"/>
      <sheetData sheetId="629"/>
      <sheetData sheetId="630"/>
      <sheetData sheetId="631"/>
      <sheetData sheetId="632"/>
      <sheetData sheetId="633">
        <row r="18">
          <cell r="B18" t="str">
            <v>Hardware &amp; Software</v>
          </cell>
        </row>
      </sheetData>
      <sheetData sheetId="634">
        <row r="18">
          <cell r="B18" t="str">
            <v>Hardware &amp; Software</v>
          </cell>
        </row>
      </sheetData>
      <sheetData sheetId="635"/>
      <sheetData sheetId="636"/>
      <sheetData sheetId="637"/>
      <sheetData sheetId="638"/>
      <sheetData sheetId="639"/>
      <sheetData sheetId="640"/>
      <sheetData sheetId="641">
        <row r="18">
          <cell r="B18" t="str">
            <v>Hardware &amp; Software</v>
          </cell>
        </row>
      </sheetData>
      <sheetData sheetId="642">
        <row r="18">
          <cell r="B18" t="str">
            <v>Hardware &amp; Software</v>
          </cell>
        </row>
      </sheetData>
      <sheetData sheetId="643"/>
      <sheetData sheetId="644"/>
      <sheetData sheetId="645"/>
      <sheetData sheetId="646"/>
      <sheetData sheetId="647"/>
      <sheetData sheetId="648"/>
      <sheetData sheetId="649">
        <row r="18">
          <cell r="B18" t="str">
            <v>Hardware &amp; Software</v>
          </cell>
        </row>
      </sheetData>
      <sheetData sheetId="650"/>
      <sheetData sheetId="651"/>
      <sheetData sheetId="652"/>
      <sheetData sheetId="653"/>
      <sheetData sheetId="654"/>
      <sheetData sheetId="655"/>
      <sheetData sheetId="656"/>
      <sheetData sheetId="657">
        <row r="18">
          <cell r="B18" t="str">
            <v>Hardware &amp; Software</v>
          </cell>
        </row>
      </sheetData>
      <sheetData sheetId="658">
        <row r="18">
          <cell r="B18" t="str">
            <v>Hardware &amp; Software</v>
          </cell>
        </row>
      </sheetData>
      <sheetData sheetId="659">
        <row r="18">
          <cell r="B18" t="str">
            <v>Hardware &amp; Software</v>
          </cell>
        </row>
      </sheetData>
      <sheetData sheetId="660">
        <row r="18">
          <cell r="B18" t="str">
            <v>Hardware &amp; Software</v>
          </cell>
        </row>
      </sheetData>
      <sheetData sheetId="661">
        <row r="18">
          <cell r="B18" t="str">
            <v>Hardware &amp; Software</v>
          </cell>
        </row>
      </sheetData>
      <sheetData sheetId="662">
        <row r="18">
          <cell r="B18" t="str">
            <v>Hardware &amp; Software</v>
          </cell>
        </row>
      </sheetData>
      <sheetData sheetId="663">
        <row r="18">
          <cell r="B18" t="str">
            <v>Hardware &amp; Software</v>
          </cell>
        </row>
      </sheetData>
      <sheetData sheetId="664">
        <row r="18">
          <cell r="B18" t="str">
            <v>Hardware &amp; Software</v>
          </cell>
        </row>
      </sheetData>
      <sheetData sheetId="665">
        <row r="18">
          <cell r="B18" t="str">
            <v>Hardware &amp; Software</v>
          </cell>
        </row>
      </sheetData>
      <sheetData sheetId="666">
        <row r="18">
          <cell r="B18" t="str">
            <v>Hardware &amp; Software</v>
          </cell>
        </row>
      </sheetData>
      <sheetData sheetId="667">
        <row r="18">
          <cell r="B18" t="str">
            <v>Hardware &amp; Software</v>
          </cell>
        </row>
      </sheetData>
      <sheetData sheetId="668">
        <row r="18">
          <cell r="B18" t="str">
            <v>Hardware &amp; Software</v>
          </cell>
        </row>
      </sheetData>
      <sheetData sheetId="669">
        <row r="18">
          <cell r="B18" t="str">
            <v>Hardware &amp; Software</v>
          </cell>
        </row>
      </sheetData>
      <sheetData sheetId="670">
        <row r="18">
          <cell r="B18" t="str">
            <v>Hardware &amp; Software</v>
          </cell>
        </row>
      </sheetData>
      <sheetData sheetId="671">
        <row r="18">
          <cell r="B18" t="str">
            <v>Hardware &amp; Software</v>
          </cell>
        </row>
      </sheetData>
      <sheetData sheetId="672">
        <row r="18">
          <cell r="B18" t="str">
            <v>Hardware &amp; Software</v>
          </cell>
        </row>
      </sheetData>
      <sheetData sheetId="673">
        <row r="18">
          <cell r="B18" t="str">
            <v>Hardware &amp; Software</v>
          </cell>
        </row>
      </sheetData>
      <sheetData sheetId="674">
        <row r="18">
          <cell r="B18" t="str">
            <v>Hardware &amp; Software</v>
          </cell>
        </row>
      </sheetData>
      <sheetData sheetId="675">
        <row r="18">
          <cell r="B18" t="str">
            <v>Hardware &amp; Software</v>
          </cell>
        </row>
      </sheetData>
      <sheetData sheetId="676">
        <row r="18">
          <cell r="B18" t="str">
            <v>Hardware &amp; Software</v>
          </cell>
        </row>
      </sheetData>
      <sheetData sheetId="677"/>
      <sheetData sheetId="678">
        <row r="18">
          <cell r="B18" t="str">
            <v>Hardware &amp; Software</v>
          </cell>
        </row>
      </sheetData>
      <sheetData sheetId="679"/>
      <sheetData sheetId="680">
        <row r="18">
          <cell r="B18" t="str">
            <v>Hardware &amp; Software</v>
          </cell>
        </row>
      </sheetData>
      <sheetData sheetId="681">
        <row r="18">
          <cell r="B18" t="str">
            <v>Hardware &amp; Software</v>
          </cell>
        </row>
      </sheetData>
      <sheetData sheetId="682">
        <row r="18">
          <cell r="B18" t="str">
            <v>Hardware &amp; Software</v>
          </cell>
        </row>
      </sheetData>
      <sheetData sheetId="683"/>
      <sheetData sheetId="684"/>
      <sheetData sheetId="685"/>
      <sheetData sheetId="686">
        <row r="18">
          <cell r="B18" t="str">
            <v>Hardware &amp; Software</v>
          </cell>
        </row>
      </sheetData>
      <sheetData sheetId="687">
        <row r="18">
          <cell r="B18" t="str">
            <v>Hardware &amp; Software</v>
          </cell>
        </row>
      </sheetData>
      <sheetData sheetId="688"/>
      <sheetData sheetId="689"/>
      <sheetData sheetId="690"/>
      <sheetData sheetId="691">
        <row r="18">
          <cell r="B18" t="str">
            <v>Hardware &amp; Software</v>
          </cell>
        </row>
      </sheetData>
      <sheetData sheetId="692">
        <row r="18">
          <cell r="B18" t="str">
            <v>Hardware &amp; Software</v>
          </cell>
        </row>
      </sheetData>
      <sheetData sheetId="693"/>
      <sheetData sheetId="694">
        <row r="18">
          <cell r="B18" t="str">
            <v>Hardware &amp; Software</v>
          </cell>
        </row>
      </sheetData>
      <sheetData sheetId="695">
        <row r="18">
          <cell r="B18" t="str">
            <v>Hardware &amp; Software</v>
          </cell>
        </row>
      </sheetData>
      <sheetData sheetId="696"/>
      <sheetData sheetId="697"/>
      <sheetData sheetId="698"/>
      <sheetData sheetId="699" refreshError="1"/>
      <sheetData sheetId="700" refreshError="1"/>
      <sheetData sheetId="701" refreshError="1"/>
      <sheetData sheetId="702"/>
      <sheetData sheetId="703">
        <row r="18">
          <cell r="B18" t="str">
            <v>Hardware &amp; Software</v>
          </cell>
        </row>
      </sheetData>
      <sheetData sheetId="704">
        <row r="18">
          <cell r="B18" t="str">
            <v>Hardware &amp; Software</v>
          </cell>
        </row>
      </sheetData>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ow r="18">
          <cell r="B18" t="str">
            <v>Hardware &amp; Software</v>
          </cell>
        </row>
      </sheetData>
      <sheetData sheetId="732"/>
      <sheetData sheetId="733"/>
      <sheetData sheetId="734">
        <row r="18">
          <cell r="B18" t="str">
            <v>Hardware &amp; Software</v>
          </cell>
        </row>
      </sheetData>
      <sheetData sheetId="735"/>
      <sheetData sheetId="736"/>
      <sheetData sheetId="737"/>
      <sheetData sheetId="738"/>
      <sheetData sheetId="739"/>
      <sheetData sheetId="740"/>
      <sheetData sheetId="741"/>
      <sheetData sheetId="742" refreshError="1"/>
      <sheetData sheetId="743">
        <row r="18">
          <cell r="B18" t="str">
            <v>Hardware &amp; Software</v>
          </cell>
        </row>
      </sheetData>
      <sheetData sheetId="744">
        <row r="18">
          <cell r="B18" t="str">
            <v>Hardware &amp; Software</v>
          </cell>
        </row>
      </sheetData>
      <sheetData sheetId="745">
        <row r="18">
          <cell r="B18" t="str">
            <v>Hardware &amp; Software</v>
          </cell>
        </row>
      </sheetData>
      <sheetData sheetId="746">
        <row r="18">
          <cell r="B18" t="str">
            <v>Hardware &amp; Software</v>
          </cell>
        </row>
      </sheetData>
      <sheetData sheetId="747">
        <row r="18">
          <cell r="B18" t="str">
            <v>Hardware &amp; Software</v>
          </cell>
        </row>
      </sheetData>
      <sheetData sheetId="748">
        <row r="18">
          <cell r="B18" t="str">
            <v>Hardware &amp; Software</v>
          </cell>
        </row>
      </sheetData>
      <sheetData sheetId="749">
        <row r="18">
          <cell r="B18" t="str">
            <v>Hardware &amp; Software</v>
          </cell>
        </row>
      </sheetData>
      <sheetData sheetId="750">
        <row r="18">
          <cell r="B18" t="str">
            <v>Hardware &amp; Software</v>
          </cell>
        </row>
      </sheetData>
      <sheetData sheetId="751">
        <row r="18">
          <cell r="B18" t="str">
            <v>Hardware &amp; Software</v>
          </cell>
        </row>
      </sheetData>
      <sheetData sheetId="752">
        <row r="18">
          <cell r="B18" t="str">
            <v>Hardware &amp; Software</v>
          </cell>
        </row>
      </sheetData>
      <sheetData sheetId="753">
        <row r="18">
          <cell r="B18" t="str">
            <v>Hardware &amp; Software</v>
          </cell>
        </row>
      </sheetData>
      <sheetData sheetId="754">
        <row r="18">
          <cell r="B18" t="str">
            <v>Hardware &amp; Software</v>
          </cell>
        </row>
      </sheetData>
      <sheetData sheetId="755">
        <row r="18">
          <cell r="B18" t="str">
            <v>Hardware &amp; Software</v>
          </cell>
        </row>
      </sheetData>
      <sheetData sheetId="756"/>
      <sheetData sheetId="757"/>
      <sheetData sheetId="758">
        <row r="18">
          <cell r="B18" t="str">
            <v>Hardware &amp; Software</v>
          </cell>
        </row>
      </sheetData>
      <sheetData sheetId="759">
        <row r="18">
          <cell r="B18" t="str">
            <v>Hardware &amp; Software</v>
          </cell>
        </row>
      </sheetData>
      <sheetData sheetId="760">
        <row r="18">
          <cell r="B18" t="str">
            <v>Hardware &amp; Software</v>
          </cell>
        </row>
      </sheetData>
      <sheetData sheetId="761">
        <row r="18">
          <cell r="B18" t="str">
            <v>Hardware &amp; Software</v>
          </cell>
        </row>
      </sheetData>
      <sheetData sheetId="762"/>
      <sheetData sheetId="763" refreshError="1"/>
      <sheetData sheetId="764"/>
      <sheetData sheetId="765"/>
      <sheetData sheetId="766"/>
      <sheetData sheetId="767"/>
      <sheetData sheetId="768"/>
      <sheetData sheetId="769"/>
      <sheetData sheetId="770"/>
      <sheetData sheetId="771">
        <row r="18">
          <cell r="B18" t="str">
            <v>Hardware &amp; Software</v>
          </cell>
        </row>
      </sheetData>
      <sheetData sheetId="772">
        <row r="18">
          <cell r="B18" t="str">
            <v>Hardware &amp; Software</v>
          </cell>
        </row>
      </sheetData>
      <sheetData sheetId="773"/>
      <sheetData sheetId="774"/>
      <sheetData sheetId="775"/>
      <sheetData sheetId="776"/>
      <sheetData sheetId="777"/>
      <sheetData sheetId="778"/>
      <sheetData sheetId="779"/>
      <sheetData sheetId="780"/>
      <sheetData sheetId="781"/>
      <sheetData sheetId="782"/>
      <sheetData sheetId="783"/>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ow r="18">
          <cell r="B18" t="str">
            <v>Hardware &amp; Software</v>
          </cell>
        </row>
      </sheetData>
      <sheetData sheetId="829"/>
      <sheetData sheetId="830">
        <row r="18">
          <cell r="B18" t="str">
            <v>Hardware &amp; Software</v>
          </cell>
        </row>
      </sheetData>
      <sheetData sheetId="831"/>
      <sheetData sheetId="832">
        <row r="18">
          <cell r="B18" t="str">
            <v>Hardware &amp; Software</v>
          </cell>
        </row>
      </sheetData>
      <sheetData sheetId="833">
        <row r="18">
          <cell r="B18" t="str">
            <v>Hardware &amp; Software</v>
          </cell>
        </row>
      </sheetData>
      <sheetData sheetId="834"/>
      <sheetData sheetId="835"/>
      <sheetData sheetId="836"/>
      <sheetData sheetId="837"/>
      <sheetData sheetId="838"/>
      <sheetData sheetId="839"/>
      <sheetData sheetId="840"/>
      <sheetData sheetId="841"/>
      <sheetData sheetId="842">
        <row r="18">
          <cell r="B18" t="str">
            <v>Hardware &amp; Software</v>
          </cell>
        </row>
      </sheetData>
      <sheetData sheetId="843">
        <row r="18">
          <cell r="B18" t="str">
            <v>Hardware &amp; Software</v>
          </cell>
        </row>
      </sheetData>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sheetData sheetId="884"/>
      <sheetData sheetId="885"/>
      <sheetData sheetId="886"/>
      <sheetData sheetId="887"/>
      <sheetData sheetId="888"/>
      <sheetData sheetId="889"/>
      <sheetData sheetId="890"/>
      <sheetData sheetId="891"/>
      <sheetData sheetId="892" refreshError="1"/>
      <sheetData sheetId="893" refreshError="1"/>
      <sheetData sheetId="894"/>
      <sheetData sheetId="895"/>
      <sheetData sheetId="896"/>
      <sheetData sheetId="897"/>
      <sheetData sheetId="898"/>
      <sheetData sheetId="899"/>
      <sheetData sheetId="900"/>
      <sheetData sheetId="901"/>
      <sheetData sheetId="902"/>
      <sheetData sheetId="903"/>
      <sheetData sheetId="904"/>
      <sheetData sheetId="905" refreshError="1"/>
      <sheetData sheetId="906" refreshError="1"/>
      <sheetData sheetId="907" refreshError="1"/>
      <sheetData sheetId="90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res Guide-1"/>
      <sheetName val="Threshold-2"/>
      <sheetName val="Analysis-3"/>
      <sheetName val="Interest-4"/>
      <sheetName val="Tickmarks"/>
      <sheetName val="Index"/>
      <sheetName val="Instructions"/>
      <sheetName val="Threshhold"/>
      <sheetName val="Ad &amp; Promo"/>
      <sheetName val="Office &amp; Gen"/>
      <sheetName val="Other Operating Exp"/>
      <sheetName val="GST Reduction"/>
      <sheetName val="DirectExp"/>
      <sheetName val="OperatingExp"/>
      <sheetName val="PyrllDeduc"/>
      <sheetName val="Interest"/>
      <sheetName val="mancount"/>
      <sheetName val="PRESFMS"/>
      <sheetName val="Opening Balance"/>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ummary"/>
      <sheetName val="Year_End"/>
      <sheetName val="Asset Adjustment"/>
      <sheetName val="Additions"/>
      <sheetName val="Disposals"/>
      <sheetName val="Repairs"/>
      <sheetName val="Depreciation"/>
      <sheetName val="Existence"/>
      <sheetName val="Demo Equip"/>
      <sheetName val="Tickmarks"/>
      <sheetName val="Parameters"/>
      <sheetName val="PyrllDeduc"/>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_Gains"/>
      <sheetName val="Sheet1"/>
    </sheetNames>
    <sheetDataSet>
      <sheetData sheetId="0"/>
      <sheetData sheetId="1">
        <row r="1">
          <cell r="A1" t="str">
            <v>N/A</v>
          </cell>
          <cell r="B1" t="str">
            <v>Aarti Industries Ltd.</v>
          </cell>
          <cell r="C1" t="str">
            <v>Residential</v>
          </cell>
        </row>
        <row r="2">
          <cell r="A2" t="str">
            <v>No</v>
          </cell>
          <cell r="B2" t="str">
            <v>Aban Loyd Chiles Offshore Ltd.</v>
          </cell>
          <cell r="C2" t="str">
            <v>Other</v>
          </cell>
        </row>
        <row r="3">
          <cell r="A3" t="str">
            <v>Yes</v>
          </cell>
          <cell r="B3" t="str">
            <v>Abbott India Ltd.</v>
          </cell>
          <cell r="C3" t="str">
            <v>Shares/Units</v>
          </cell>
        </row>
        <row r="4">
          <cell r="B4" t="str">
            <v>Adani Exports Ltd.</v>
          </cell>
          <cell r="C4" t="str">
            <v>Land</v>
          </cell>
        </row>
        <row r="5">
          <cell r="B5" t="str">
            <v>AFT Industries Ltd.</v>
          </cell>
          <cell r="C5" t="str">
            <v>Debentures</v>
          </cell>
        </row>
        <row r="6">
          <cell r="B6" t="str">
            <v>Aftek Infosys Ltd.</v>
          </cell>
        </row>
        <row r="7">
          <cell r="B7" t="str">
            <v>Agro Dutch Industries Ltd.</v>
          </cell>
        </row>
        <row r="8">
          <cell r="B8" t="str">
            <v>Agro Tech Foods Ltd.</v>
          </cell>
        </row>
        <row r="9">
          <cell r="B9" t="str">
            <v>Ahmedabad Electricity Co.Ltd.</v>
          </cell>
        </row>
        <row r="10">
          <cell r="B10" t="str">
            <v>Ajanta Pharma Ltd.</v>
          </cell>
        </row>
        <row r="11">
          <cell r="B11" t="str">
            <v>Aksh Optifibre Ltd.</v>
          </cell>
        </row>
        <row r="12">
          <cell r="B12" t="str">
            <v>Albright &amp; Wilson Chemicals India Ltd.</v>
          </cell>
        </row>
        <row r="13">
          <cell r="B13" t="str">
            <v>Alembic Ltd.</v>
          </cell>
        </row>
        <row r="14">
          <cell r="B14" t="str">
            <v>Alfa Laval (India) Ltd.</v>
          </cell>
        </row>
        <row r="15">
          <cell r="B15" t="str">
            <v>Alps Industries Ltd.</v>
          </cell>
        </row>
        <row r="16">
          <cell r="B16" t="str">
            <v>Alstom Ltd.</v>
          </cell>
        </row>
        <row r="17">
          <cell r="B17" t="str">
            <v>Alstom Power India Ltd.</v>
          </cell>
        </row>
        <row r="18">
          <cell r="B18" t="str">
            <v>Amara Raja Batteries Ltd.</v>
          </cell>
        </row>
        <row r="19">
          <cell r="B19" t="str">
            <v>Ambalal Sarabhai Enterprise Ltd.</v>
          </cell>
        </row>
        <row r="20">
          <cell r="B20" t="str">
            <v>Amtrex Hitachi Appliances Ltd.</v>
          </cell>
        </row>
        <row r="21">
          <cell r="B21" t="str">
            <v>Andhra Bank</v>
          </cell>
        </row>
        <row r="22">
          <cell r="B22" t="str">
            <v>Apollo Hospitals Enterprises Ltd.</v>
          </cell>
        </row>
        <row r="23">
          <cell r="B23" t="str">
            <v>Apollo Tyres Ltd.</v>
          </cell>
        </row>
        <row r="24">
          <cell r="B24" t="str">
            <v>Archies Greetings &amp; Gifts Ltd.</v>
          </cell>
        </row>
        <row r="25">
          <cell r="B25" t="str">
            <v>Arvind Mills Ltd.</v>
          </cell>
        </row>
        <row r="26">
          <cell r="B26" t="str">
            <v>Asea Brown Boveri Ltd.</v>
          </cell>
        </row>
        <row r="27">
          <cell r="B27" t="str">
            <v>Ashima Ltd.</v>
          </cell>
        </row>
        <row r="28">
          <cell r="B28" t="str">
            <v>Ashok Leyland Finance Ltd.</v>
          </cell>
        </row>
        <row r="29">
          <cell r="B29" t="str">
            <v>Ashok Leyland Ltd.</v>
          </cell>
        </row>
        <row r="30">
          <cell r="B30" t="str">
            <v>Asian Hotels Ltd.</v>
          </cell>
        </row>
        <row r="31">
          <cell r="B31" t="str">
            <v>Asian Paints (India) Ltd.</v>
          </cell>
        </row>
        <row r="32">
          <cell r="B32" t="str">
            <v>Assam Company Ltd.</v>
          </cell>
        </row>
        <row r="33">
          <cell r="B33" t="str">
            <v>Associated Cement Cos. Ltd.</v>
          </cell>
        </row>
        <row r="34">
          <cell r="B34" t="str">
            <v>AstraZeneca Pharma India Ltd.</v>
          </cell>
        </row>
        <row r="35">
          <cell r="B35" t="str">
            <v>Atcom Technologies Ltd.</v>
          </cell>
        </row>
        <row r="36">
          <cell r="B36" t="str">
            <v>Atlas Copco (India) Ltd.</v>
          </cell>
        </row>
        <row r="37">
          <cell r="B37" t="str">
            <v>Atul Ltd.</v>
          </cell>
        </row>
        <row r="38">
          <cell r="B38" t="str">
            <v>Aurobindo Pharma Ltd.</v>
          </cell>
        </row>
        <row r="39">
          <cell r="B39" t="str">
            <v>Automotive Axles Ltd.</v>
          </cell>
        </row>
        <row r="40">
          <cell r="B40" t="str">
            <v>Aventis Crop Science India Ltd.</v>
          </cell>
        </row>
        <row r="41">
          <cell r="B41" t="str">
            <v>Aventis Pharma Ltd.</v>
          </cell>
        </row>
        <row r="42">
          <cell r="B42" t="str">
            <v>Avon Organics Ltd.</v>
          </cell>
        </row>
        <row r="43">
          <cell r="B43" t="str">
            <v>Aztec Software and Technolgy Services Ltd.</v>
          </cell>
        </row>
        <row r="44">
          <cell r="B44" t="str">
            <v>Bajaj Auto Finance Ltd.</v>
          </cell>
        </row>
        <row r="45">
          <cell r="B45" t="str">
            <v>Bajaj Auto Ltd.</v>
          </cell>
        </row>
        <row r="46">
          <cell r="B46" t="str">
            <v>Bajaj Hindustan Ltd.</v>
          </cell>
        </row>
        <row r="47">
          <cell r="B47" t="str">
            <v>Balaji Distilleries Ltd.</v>
          </cell>
        </row>
        <row r="48">
          <cell r="B48" t="str">
            <v>Balaji Telefilms Ltd.</v>
          </cell>
        </row>
        <row r="49">
          <cell r="B49" t="str">
            <v>Ballarpur Industries Ltd.</v>
          </cell>
        </row>
        <row r="50">
          <cell r="B50" t="str">
            <v>Balrampur Chini Mills Ltd.</v>
          </cell>
        </row>
        <row r="51">
          <cell r="B51" t="str">
            <v>Bank Of Baroda</v>
          </cell>
        </row>
        <row r="52">
          <cell r="B52" t="str">
            <v>Bank of India</v>
          </cell>
        </row>
        <row r="53">
          <cell r="B53" t="str">
            <v>Bank Of Punjab Ltd.</v>
          </cell>
        </row>
        <row r="54">
          <cell r="B54" t="str">
            <v>Bannari Amman Sugars Ltd.</v>
          </cell>
        </row>
        <row r="55">
          <cell r="B55" t="str">
            <v>BASF India Ltd.</v>
          </cell>
        </row>
        <row r="56">
          <cell r="B56" t="str">
            <v>Bata India Ltd.</v>
          </cell>
        </row>
        <row r="57">
          <cell r="B57" t="str">
            <v>Bayer (India) Ltd.</v>
          </cell>
        </row>
        <row r="58">
          <cell r="B58" t="str">
            <v>Bayer ABS Ltd.</v>
          </cell>
        </row>
        <row r="59">
          <cell r="B59" t="str">
            <v>Berger Paints India Ltd.</v>
          </cell>
        </row>
        <row r="60">
          <cell r="B60" t="str">
            <v>Bharat Earth Movers Ltd.</v>
          </cell>
        </row>
        <row r="61">
          <cell r="B61" t="str">
            <v>Bharat Electronics Ltd.</v>
          </cell>
        </row>
        <row r="62">
          <cell r="B62" t="str">
            <v>Bharat Forge Ltd.</v>
          </cell>
        </row>
        <row r="63">
          <cell r="B63" t="str">
            <v>Bharat Heavy Electricals Ltd.</v>
          </cell>
        </row>
        <row r="64">
          <cell r="B64" t="str">
            <v>Bharat Petroleum Corpn. Ltd.</v>
          </cell>
        </row>
        <row r="65">
          <cell r="B65" t="str">
            <v>Bharti Tele-Ventures Ltd.</v>
          </cell>
        </row>
        <row r="66">
          <cell r="B66" t="str">
            <v>Bhartiya International Ltd.</v>
          </cell>
        </row>
        <row r="67">
          <cell r="B67" t="str">
            <v>Bhushan Steel &amp; Strips Ltd.</v>
          </cell>
        </row>
        <row r="68">
          <cell r="B68" t="str">
            <v>Binani Industries Ltd.</v>
          </cell>
        </row>
        <row r="69">
          <cell r="B69" t="str">
            <v>Birla 3M Ltd.</v>
          </cell>
        </row>
        <row r="70">
          <cell r="B70" t="str">
            <v>Birla Corporation Ltd.</v>
          </cell>
        </row>
        <row r="71">
          <cell r="B71" t="str">
            <v>Birla Ericsson Opticaal Ltd.</v>
          </cell>
        </row>
        <row r="72">
          <cell r="B72" t="str">
            <v>Birla Global Finance Ltd.</v>
          </cell>
        </row>
        <row r="73">
          <cell r="B73" t="str">
            <v>Blow Plast Ltd.</v>
          </cell>
        </row>
        <row r="74">
          <cell r="B74" t="str">
            <v>Blue Dart Express Ltd.</v>
          </cell>
        </row>
        <row r="75">
          <cell r="B75" t="str">
            <v>Blue Star Ltd.</v>
          </cell>
        </row>
        <row r="76">
          <cell r="B76" t="str">
            <v>BOC India Ltd.</v>
          </cell>
        </row>
        <row r="77">
          <cell r="B77" t="str">
            <v>Bombay Burmah Trading Corpn. Ltd.</v>
          </cell>
        </row>
        <row r="78">
          <cell r="B78" t="str">
            <v>Bombay Dyeing &amp; Mfg. Co. Ltd.</v>
          </cell>
        </row>
        <row r="79">
          <cell r="B79" t="str">
            <v>BPL Ltd.</v>
          </cell>
        </row>
        <row r="80">
          <cell r="B80" t="str">
            <v>Britannia Industries Ltd.</v>
          </cell>
        </row>
        <row r="81">
          <cell r="B81" t="str">
            <v>BSES Ltd.</v>
          </cell>
        </row>
        <row r="82">
          <cell r="B82" t="str">
            <v>Burroughs Wellcome (India) Ltd.</v>
          </cell>
        </row>
        <row r="83">
          <cell r="B83" t="str">
            <v>Cadila Healthcare Ltd.</v>
          </cell>
        </row>
        <row r="84">
          <cell r="B84" t="str">
            <v>Carborundum Universal Ltd.</v>
          </cell>
        </row>
        <row r="85">
          <cell r="B85" t="str">
            <v>Carrier Aircon Ltd.</v>
          </cell>
        </row>
        <row r="86">
          <cell r="B86" t="str">
            <v>Castrol India Ltd.</v>
          </cell>
        </row>
        <row r="87">
          <cell r="B87" t="str">
            <v>Ceat Ltd.</v>
          </cell>
        </row>
        <row r="88">
          <cell r="B88" t="str">
            <v>Centurion Bank Ltd.</v>
          </cell>
        </row>
        <row r="89">
          <cell r="B89" t="str">
            <v>Century Enka Ltd.</v>
          </cell>
        </row>
        <row r="90">
          <cell r="B90" t="str">
            <v>Century Textiles &amp; Industries Ltd.</v>
          </cell>
        </row>
        <row r="91">
          <cell r="B91" t="str">
            <v>CESC Ltd.</v>
          </cell>
        </row>
        <row r="92">
          <cell r="B92" t="str">
            <v>CG Igarashi Motars Ltd.</v>
          </cell>
        </row>
        <row r="93">
          <cell r="B93" t="str">
            <v>Chambal Fertilisers &amp; Chemicals Ltd.</v>
          </cell>
        </row>
        <row r="94">
          <cell r="B94" t="str">
            <v>Chemplast Sanmar Ltd.</v>
          </cell>
        </row>
        <row r="95">
          <cell r="B95" t="str">
            <v>Chennai Petroleum Corporation Ltd.</v>
          </cell>
        </row>
        <row r="96">
          <cell r="B96" t="str">
            <v>Ciba Speciality Chemicals (India) Ltd.</v>
          </cell>
        </row>
        <row r="97">
          <cell r="B97" t="str">
            <v>Cinevistaas Ltd</v>
          </cell>
        </row>
        <row r="98">
          <cell r="B98" t="str">
            <v>Cipla Ltd.</v>
          </cell>
        </row>
        <row r="99">
          <cell r="B99" t="str">
            <v>Clariant (India) Ltd.</v>
          </cell>
        </row>
        <row r="100">
          <cell r="B100" t="str">
            <v>CMC Ltd.</v>
          </cell>
        </row>
        <row r="101">
          <cell r="B101" t="str">
            <v>Coates of India Ltd.</v>
          </cell>
        </row>
        <row r="102">
          <cell r="B102" t="str">
            <v>Colgate-Palmolive (India) Ltd.</v>
          </cell>
        </row>
        <row r="103">
          <cell r="B103" t="str">
            <v>Colour Chem Ltd.</v>
          </cell>
        </row>
        <row r="104">
          <cell r="B104" t="str">
            <v>Computech International Ltd.</v>
          </cell>
        </row>
        <row r="105">
          <cell r="B105" t="str">
            <v>Container Corporation Of India Ltd.</v>
          </cell>
        </row>
        <row r="106">
          <cell r="B106" t="str">
            <v>Core Healthcare Ltd.</v>
          </cell>
        </row>
        <row r="107">
          <cell r="B107" t="str">
            <v>Corporation Bank</v>
          </cell>
        </row>
        <row r="108">
          <cell r="B108" t="str">
            <v>Credit Rating Information Services</v>
          </cell>
        </row>
        <row r="109">
          <cell r="B109" t="str">
            <v>Crest Communications Ltd.</v>
          </cell>
        </row>
        <row r="110">
          <cell r="B110" t="str">
            <v>Crompton Greaves Ltd.</v>
          </cell>
        </row>
        <row r="111">
          <cell r="B111" t="str">
            <v>Cummins India Ltd.</v>
          </cell>
        </row>
        <row r="112">
          <cell r="B112" t="str">
            <v>Cybertech Systems and Software Ltd.</v>
          </cell>
        </row>
        <row r="113">
          <cell r="B113" t="str">
            <v>Dabur India Ltd.</v>
          </cell>
        </row>
        <row r="114">
          <cell r="B114" t="str">
            <v>Daewoo Motors India Ltd.</v>
          </cell>
        </row>
        <row r="115">
          <cell r="B115" t="str">
            <v>Dalmia Cement (Bharat) Ltd.</v>
          </cell>
        </row>
        <row r="116">
          <cell r="B116" t="str">
            <v>Deepak Fertilizers &amp;Petrochemicals</v>
          </cell>
        </row>
        <row r="117">
          <cell r="B117" t="str">
            <v>Dena Bank</v>
          </cell>
        </row>
        <row r="118">
          <cell r="B118" t="str">
            <v>Digital Globalsoft Ltd.</v>
          </cell>
        </row>
        <row r="119">
          <cell r="B119" t="str">
            <v>Dr. Reddys Laboratories Ltd.</v>
          </cell>
        </row>
        <row r="120">
          <cell r="B120" t="str">
            <v>Dredging Corporation of India Ltd.</v>
          </cell>
        </row>
        <row r="121">
          <cell r="B121" t="str">
            <v>DSQ Software Ltd.</v>
          </cell>
        </row>
        <row r="122">
          <cell r="B122" t="str">
            <v>Duphar-Interfran Ltd.</v>
          </cell>
        </row>
        <row r="123">
          <cell r="B123" t="str">
            <v>E.I.D. Parry (India) Ltd.</v>
          </cell>
        </row>
        <row r="124">
          <cell r="B124" t="str">
            <v>Eicher Motors Ltd.</v>
          </cell>
        </row>
        <row r="125">
          <cell r="B125" t="str">
            <v>EIH Ltd.</v>
          </cell>
        </row>
        <row r="126">
          <cell r="B126" t="str">
            <v>Elbee Services Ltd.</v>
          </cell>
        </row>
        <row r="127">
          <cell r="B127" t="str">
            <v>Elder Pharmaceuticals Ltd.</v>
          </cell>
        </row>
        <row r="128">
          <cell r="B128" t="str">
            <v>Electrolux Kelvinator Ltd.</v>
          </cell>
        </row>
        <row r="129">
          <cell r="B129" t="str">
            <v>Electrosteel Castings Ltd.</v>
          </cell>
        </row>
        <row r="130">
          <cell r="B130" t="str">
            <v>Elgi Equipments Ltd.</v>
          </cell>
        </row>
        <row r="131">
          <cell r="B131" t="str">
            <v>EMCO Ltd.</v>
          </cell>
        </row>
        <row r="132">
          <cell r="B132" t="str">
            <v>Engineers India Ltd.</v>
          </cell>
        </row>
        <row r="133">
          <cell r="B133" t="str">
            <v>Esab India Ltd.</v>
          </cell>
        </row>
        <row r="134">
          <cell r="B134" t="str">
            <v>Escorts Ltd.</v>
          </cell>
        </row>
        <row r="135">
          <cell r="B135" t="str">
            <v>e-Serve International Ltd.</v>
          </cell>
        </row>
        <row r="136">
          <cell r="B136" t="str">
            <v>Eskay KnIT (India) Ltd.</v>
          </cell>
        </row>
        <row r="137">
          <cell r="B137" t="str">
            <v>Essar Oil Ltd.</v>
          </cell>
        </row>
        <row r="138">
          <cell r="B138" t="str">
            <v>Essar Shipping Ltd.</v>
          </cell>
        </row>
        <row r="139">
          <cell r="B139" t="str">
            <v>Essar Steel Ltd.</v>
          </cell>
        </row>
        <row r="140">
          <cell r="B140" t="str">
            <v>Essel Propack Ltd.</v>
          </cell>
        </row>
        <row r="141">
          <cell r="B141" t="str">
            <v>ETC Networks Ltd.</v>
          </cell>
        </row>
        <row r="142">
          <cell r="B142" t="str">
            <v>Eveready Industries India Ltd.</v>
          </cell>
        </row>
        <row r="143">
          <cell r="B143" t="str">
            <v>Excell Industries Ltd.</v>
          </cell>
        </row>
        <row r="144">
          <cell r="B144" t="str">
            <v>Exide Industries Ltd.</v>
          </cell>
        </row>
        <row r="145">
          <cell r="B145" t="str">
            <v>Fag Bearings India Ltd.</v>
          </cell>
        </row>
        <row r="146">
          <cell r="B146" t="str">
            <v>FCL Technologies &amp; Products Ltd.</v>
          </cell>
        </row>
        <row r="147">
          <cell r="B147" t="str">
            <v>FDC Ltd.</v>
          </cell>
        </row>
        <row r="148">
          <cell r="B148" t="str">
            <v>Federal Bank Ltd.</v>
          </cell>
        </row>
        <row r="149">
          <cell r="B149" t="str">
            <v>Finolex Cables Ltd.</v>
          </cell>
        </row>
        <row r="150">
          <cell r="B150" t="str">
            <v>Finolex Industries Ltd.</v>
          </cell>
        </row>
        <row r="151">
          <cell r="B151" t="str">
            <v>Flex Industries Ltd.</v>
          </cell>
        </row>
        <row r="152">
          <cell r="B152" t="str">
            <v>Floatglass India Ltd.</v>
          </cell>
        </row>
        <row r="153">
          <cell r="B153" t="str">
            <v>Forbes Gokak Ltd.</v>
          </cell>
        </row>
        <row r="154">
          <cell r="B154" t="str">
            <v>Foseco India Ltd.</v>
          </cell>
        </row>
        <row r="155">
          <cell r="B155" t="str">
            <v>Fulford (India) Ltd.</v>
          </cell>
        </row>
        <row r="156">
          <cell r="B156" t="str">
            <v>Gail (India) Ltd.</v>
          </cell>
        </row>
        <row r="157">
          <cell r="B157" t="str">
            <v>Gammon India Ltd.</v>
          </cell>
        </row>
        <row r="158">
          <cell r="B158" t="str">
            <v>Geometric Software Solutions Co.Ltd.</v>
          </cell>
        </row>
        <row r="159">
          <cell r="B159" t="str">
            <v>George Williamson (Assam)</v>
          </cell>
        </row>
        <row r="160">
          <cell r="B160" t="str">
            <v>German Remedies Ltd.</v>
          </cell>
        </row>
        <row r="161">
          <cell r="B161" t="str">
            <v>Gillette India Ltd.</v>
          </cell>
        </row>
        <row r="162">
          <cell r="B162" t="str">
            <v>GlaxoSmithkline Consumer Healthcare Ltd.</v>
          </cell>
        </row>
        <row r="163">
          <cell r="B163" t="str">
            <v>GlaxoSmithKline Pharmaceuticals Ltd.</v>
          </cell>
        </row>
        <row r="164">
          <cell r="B164" t="str">
            <v>Glenmark Pharmaceuticals Ltd.</v>
          </cell>
        </row>
        <row r="165">
          <cell r="B165" t="str">
            <v>Global Trust Bank Ltd.</v>
          </cell>
        </row>
        <row r="166">
          <cell r="B166" t="str">
            <v>Godfrey Phillips India Ltd.</v>
          </cell>
        </row>
        <row r="167">
          <cell r="B167" t="str">
            <v>Godrej Consumer Products Ltd.</v>
          </cell>
        </row>
        <row r="168">
          <cell r="B168" t="str">
            <v>Godrej Industries Ltd.</v>
          </cell>
        </row>
        <row r="169">
          <cell r="B169" t="str">
            <v>Goetze (India) Ltd.</v>
          </cell>
        </row>
        <row r="170">
          <cell r="B170" t="str">
            <v>Goldiam International Ltd.</v>
          </cell>
        </row>
        <row r="171">
          <cell r="B171" t="str">
            <v>Goodlass Nerolac Paints Ltd.</v>
          </cell>
        </row>
        <row r="172">
          <cell r="B172" t="str">
            <v>Goodricke Group Ltd.</v>
          </cell>
        </row>
        <row r="173">
          <cell r="B173" t="str">
            <v>Goodyear India Ltd.</v>
          </cell>
        </row>
        <row r="174">
          <cell r="B174" t="str">
            <v>Grasim Industries Ltd.</v>
          </cell>
        </row>
        <row r="175">
          <cell r="B175" t="str">
            <v>Great Eastern Shipping Co. Ltd.</v>
          </cell>
        </row>
        <row r="176">
          <cell r="B176" t="str">
            <v>Greaves Ltd.</v>
          </cell>
        </row>
        <row r="177">
          <cell r="B177" t="str">
            <v>Grindwell Norton Ltd.</v>
          </cell>
        </row>
        <row r="178">
          <cell r="B178" t="str">
            <v>GTL Ltd.</v>
          </cell>
        </row>
        <row r="179">
          <cell r="B179" t="str">
            <v>Gujarat Alkalis &amp; Chemicals Ltd.</v>
          </cell>
        </row>
        <row r="180">
          <cell r="B180" t="str">
            <v>Gujarat Ambuja Cements Ltd.</v>
          </cell>
        </row>
        <row r="181">
          <cell r="B181" t="str">
            <v>Gujarat Fluorochemicals Ltd.</v>
          </cell>
        </row>
        <row r="182">
          <cell r="B182" t="str">
            <v>Gujarat Gas Co. Ltd.</v>
          </cell>
        </row>
        <row r="183">
          <cell r="B183" t="str">
            <v>Gujarat Heavy Chemicals Ltd.</v>
          </cell>
        </row>
        <row r="184">
          <cell r="B184" t="str">
            <v>Gujarat Industries Power Co. Ltd.</v>
          </cell>
        </row>
        <row r="185">
          <cell r="B185" t="str">
            <v>Gujarat Mineral Development Corporation</v>
          </cell>
        </row>
        <row r="186">
          <cell r="B186" t="str">
            <v>Gujarat Narmada Valley Fert.Co.Ltd.</v>
          </cell>
        </row>
        <row r="187">
          <cell r="B187" t="str">
            <v>Gujarat Sidhee Cement Ltd.</v>
          </cell>
        </row>
        <row r="188">
          <cell r="B188" t="str">
            <v>Gujarat State Fertilizers &amp; Chem.Ltd.</v>
          </cell>
        </row>
        <row r="189">
          <cell r="B189" t="str">
            <v>Havells India Ltd.</v>
          </cell>
        </row>
        <row r="190">
          <cell r="B190" t="str">
            <v>HCL Infosystems Ltd.</v>
          </cell>
        </row>
        <row r="191">
          <cell r="B191" t="str">
            <v>HCL Technologies Ltd.</v>
          </cell>
        </row>
        <row r="192">
          <cell r="B192" t="str">
            <v>HDFC Bank Ltd.</v>
          </cell>
        </row>
        <row r="193">
          <cell r="B193" t="str">
            <v>HEG Ltd.</v>
          </cell>
        </row>
        <row r="194">
          <cell r="B194" t="str">
            <v>Henkel Spic India Ltd.</v>
          </cell>
        </row>
        <row r="195">
          <cell r="B195" t="str">
            <v>Hero Honda Motors Ltd.</v>
          </cell>
        </row>
        <row r="196">
          <cell r="B196" t="str">
            <v>Hikal Ltd.</v>
          </cell>
        </row>
        <row r="197">
          <cell r="B197" t="str">
            <v>Himachal Futuristic Communications</v>
          </cell>
        </row>
        <row r="198">
          <cell r="B198" t="str">
            <v>Himatsingka Seide Ltd.</v>
          </cell>
        </row>
        <row r="199">
          <cell r="B199" t="str">
            <v>Hind Lever Chemicals Ltd.</v>
          </cell>
        </row>
        <row r="200">
          <cell r="B200" t="str">
            <v>Hindalco Industries Ltd.</v>
          </cell>
        </row>
        <row r="201">
          <cell r="B201" t="str">
            <v>Hindustan Construction Co. Ltd.</v>
          </cell>
        </row>
        <row r="202">
          <cell r="B202" t="str">
            <v>Hindustan Inks &amp; Resins Ltd.</v>
          </cell>
        </row>
        <row r="203">
          <cell r="B203" t="str">
            <v>Hindustan Lever Ltd.</v>
          </cell>
        </row>
        <row r="204">
          <cell r="B204" t="str">
            <v>Hindustan Motors Ltd.</v>
          </cell>
        </row>
        <row r="205">
          <cell r="B205" t="str">
            <v>Hindustan Oil Exploration Co. Ltd.</v>
          </cell>
        </row>
        <row r="206">
          <cell r="B206" t="str">
            <v>Hindustan Organic Chemicals Ltd.</v>
          </cell>
        </row>
        <row r="207">
          <cell r="B207" t="str">
            <v>Hindustan Petroleum Corporation Ltd.</v>
          </cell>
        </row>
        <row r="208">
          <cell r="B208" t="str">
            <v>Hindustan Powerplus Ltd.</v>
          </cell>
        </row>
        <row r="209">
          <cell r="B209" t="str">
            <v>Hindustan Sanitaryware &amp; Industries</v>
          </cell>
        </row>
        <row r="210">
          <cell r="B210" t="str">
            <v>Hindustan Zinc Ltd.</v>
          </cell>
        </row>
        <row r="211">
          <cell r="B211" t="str">
            <v>HMT Ltd.</v>
          </cell>
        </row>
        <row r="212">
          <cell r="B212" t="str">
            <v>Honda Siel Power Products Ltd.</v>
          </cell>
        </row>
        <row r="213">
          <cell r="B213" t="str">
            <v>Hotel Leela Venture Ltd.</v>
          </cell>
        </row>
        <row r="214">
          <cell r="B214" t="str">
            <v>Housing Development Finance Corp.Lt</v>
          </cell>
        </row>
        <row r="215">
          <cell r="B215" t="str">
            <v>Hughes Software Systems Ltd.</v>
          </cell>
        </row>
        <row r="216">
          <cell r="B216" t="str">
            <v>IBP Co. Ltd.</v>
          </cell>
        </row>
        <row r="217">
          <cell r="B217" t="str">
            <v>ICI India Ltd.</v>
          </cell>
        </row>
        <row r="218">
          <cell r="B218" t="str">
            <v>ICICI Bank Ltd.</v>
          </cell>
        </row>
        <row r="219">
          <cell r="B219" t="str">
            <v>IDBI Bank Ltd.</v>
          </cell>
        </row>
        <row r="220">
          <cell r="B220" t="str">
            <v>IFCI Ltd.</v>
          </cell>
        </row>
        <row r="221">
          <cell r="B221" t="str">
            <v>India Cements Ltd.</v>
          </cell>
        </row>
        <row r="222">
          <cell r="B222" t="str">
            <v>India Glycols Ltd.</v>
          </cell>
        </row>
        <row r="223">
          <cell r="B223" t="str">
            <v>India Gypsum Ltd.</v>
          </cell>
        </row>
        <row r="224">
          <cell r="B224" t="str">
            <v>Indian Aluminium Co. Ltd.</v>
          </cell>
        </row>
        <row r="225">
          <cell r="B225" t="str">
            <v>Indian Hotels Co. Ltd.</v>
          </cell>
        </row>
        <row r="226">
          <cell r="B226" t="str">
            <v>Indian Oil Corporation Ltd.</v>
          </cell>
        </row>
        <row r="227">
          <cell r="B227" t="str">
            <v>Indian Overseas Bank</v>
          </cell>
        </row>
        <row r="228">
          <cell r="B228" t="str">
            <v>Indian Petrochemicals Corpn. Ltd.</v>
          </cell>
        </row>
        <row r="229">
          <cell r="B229" t="str">
            <v>Indian Rayon &amp; Industries Ltd.</v>
          </cell>
        </row>
        <row r="230">
          <cell r="B230" t="str">
            <v>Indo Gulf Corporation Ltd.</v>
          </cell>
        </row>
        <row r="231">
          <cell r="B231" t="str">
            <v>Indo National Ltd.</v>
          </cell>
        </row>
        <row r="232">
          <cell r="B232" t="str">
            <v>Indo Rama Synthetics (India) Ltd.</v>
          </cell>
        </row>
        <row r="233">
          <cell r="B233" t="str">
            <v>Indraprastha Medical Corporation Ltd.</v>
          </cell>
        </row>
        <row r="234">
          <cell r="B234" t="str">
            <v>IndusInd Bank Ltd.</v>
          </cell>
        </row>
        <row r="235">
          <cell r="B235" t="str">
            <v>Industrial Development Bank of India Ltd.</v>
          </cell>
        </row>
        <row r="236">
          <cell r="B236" t="str">
            <v>Information Technologies (India) Lt</v>
          </cell>
        </row>
        <row r="237">
          <cell r="B237" t="str">
            <v>Infosys Technologies Ltd.</v>
          </cell>
        </row>
        <row r="238">
          <cell r="B238" t="str">
            <v>Infotech Enterprises Ltd.</v>
          </cell>
        </row>
        <row r="239">
          <cell r="B239" t="str">
            <v>Ingersoll-Rand (India) Ltd.</v>
          </cell>
        </row>
        <row r="240">
          <cell r="B240" t="str">
            <v>Insilco Ltd.</v>
          </cell>
        </row>
        <row r="241">
          <cell r="B241" t="str">
            <v>IP Rings Ltd.</v>
          </cell>
        </row>
        <row r="242">
          <cell r="B242" t="str">
            <v>Ipca Laboratories Ltd.</v>
          </cell>
        </row>
        <row r="243">
          <cell r="B243" t="str">
            <v>Ispat Industries Ltd.</v>
          </cell>
        </row>
        <row r="244">
          <cell r="B244" t="str">
            <v>ITC Hotels Ltd.</v>
          </cell>
        </row>
        <row r="245">
          <cell r="B245" t="str">
            <v>ITC Ltd.</v>
          </cell>
        </row>
        <row r="246">
          <cell r="B246" t="str">
            <v>ITI Ltd.</v>
          </cell>
        </row>
        <row r="247">
          <cell r="B247" t="str">
            <v>IVRCL Infrastructures &amp; Projects Ltd.</v>
          </cell>
        </row>
        <row r="248">
          <cell r="B248" t="str">
            <v>J.B. Chemicals &amp; Pharmaceuticals Ltd.</v>
          </cell>
        </row>
        <row r="249">
          <cell r="B249" t="str">
            <v>J.K.Industries Ltd.</v>
          </cell>
        </row>
        <row r="250">
          <cell r="B250" t="str">
            <v>Jagatjit Industries Ltd.</v>
          </cell>
        </row>
        <row r="251">
          <cell r="B251" t="str">
            <v>Jai Prakash Industries Ltd.</v>
          </cell>
        </row>
        <row r="252">
          <cell r="B252" t="str">
            <v>Jay Shree Tea &amp; Industries Ltd.</v>
          </cell>
        </row>
        <row r="253">
          <cell r="B253" t="str">
            <v>Jayant Agro-Organics Ltd.</v>
          </cell>
        </row>
        <row r="254">
          <cell r="B254" t="str">
            <v>JCT Ltd.</v>
          </cell>
        </row>
        <row r="255">
          <cell r="B255" t="str">
            <v>Jindal Iron &amp; Steel Co Ltd.</v>
          </cell>
        </row>
        <row r="256">
          <cell r="B256" t="str">
            <v>Jindal Photo Films Ltd.</v>
          </cell>
        </row>
        <row r="257">
          <cell r="B257" t="str">
            <v>Jindal Steel &amp; Power Ltd.</v>
          </cell>
        </row>
        <row r="258">
          <cell r="B258" t="str">
            <v>Jindal Strips Ltd.</v>
          </cell>
        </row>
        <row r="259">
          <cell r="B259" t="str">
            <v>Jindal Vijayanagar Steel Ltd.</v>
          </cell>
        </row>
        <row r="260">
          <cell r="B260" t="str">
            <v>JK Corp Ltd.</v>
          </cell>
        </row>
        <row r="261">
          <cell r="B261" t="str">
            <v>Jubilant Organosys Ltd.</v>
          </cell>
        </row>
        <row r="262">
          <cell r="B262" t="str">
            <v>Jupiter Bioscience Ltd.</v>
          </cell>
        </row>
        <row r="263">
          <cell r="B263" t="str">
            <v>Jyoti Structures Ltd.</v>
          </cell>
        </row>
        <row r="264">
          <cell r="B264" t="str">
            <v>K.E.C. International Ltd.</v>
          </cell>
        </row>
        <row r="265">
          <cell r="B265" t="str">
            <v>Kajaria Ceramics Ltd.</v>
          </cell>
        </row>
        <row r="266">
          <cell r="B266" t="str">
            <v>Kale Consultants Ltd.</v>
          </cell>
        </row>
        <row r="267">
          <cell r="B267" t="str">
            <v>Kalpataru Power Transmission Ltd.</v>
          </cell>
        </row>
        <row r="268">
          <cell r="B268" t="str">
            <v>Kalyani Steels Ltd.</v>
          </cell>
        </row>
        <row r="269">
          <cell r="B269" t="str">
            <v>Kanoria Chemicals &amp; Industries Ltd.</v>
          </cell>
        </row>
        <row r="270">
          <cell r="B270" t="str">
            <v>KDL Biotech Ltd.</v>
          </cell>
        </row>
        <row r="271">
          <cell r="B271" t="str">
            <v>Kesoram Industries Ltd.</v>
          </cell>
        </row>
        <row r="272">
          <cell r="B272" t="str">
            <v>Kinetic Motor Co. Ltd.</v>
          </cell>
        </row>
        <row r="273">
          <cell r="B273" t="str">
            <v>Kirloskar Oil Engines Ltd.</v>
          </cell>
        </row>
        <row r="274">
          <cell r="B274" t="str">
            <v>Kochi Refineries Ltd.</v>
          </cell>
        </row>
        <row r="275">
          <cell r="B275" t="str">
            <v>Kodak India Ltd.</v>
          </cell>
        </row>
        <row r="276">
          <cell r="B276" t="str">
            <v>Kopran Ltd.</v>
          </cell>
        </row>
        <row r="277">
          <cell r="B277" t="str">
            <v>Kotak Mahindra Finance Ltd.</v>
          </cell>
        </row>
        <row r="278">
          <cell r="B278" t="str">
            <v>Kothari Products Ltd.</v>
          </cell>
        </row>
        <row r="279">
          <cell r="B279" t="str">
            <v>Krebs Biochemicals Ltd.</v>
          </cell>
        </row>
        <row r="280">
          <cell r="B280" t="str">
            <v>Krishna Lifestyle Technologies Ltd.</v>
          </cell>
        </row>
        <row r="281">
          <cell r="B281" t="str">
            <v>Krone Communications Ltd.</v>
          </cell>
        </row>
        <row r="282">
          <cell r="B282" t="str">
            <v>KSB Pumps Ltd.</v>
          </cell>
        </row>
        <row r="283">
          <cell r="B283" t="str">
            <v>L.M.L. Ltd.</v>
          </cell>
        </row>
        <row r="284">
          <cell r="B284" t="str">
            <v>Lakhani India Ltd.</v>
          </cell>
        </row>
        <row r="285">
          <cell r="B285" t="str">
            <v>Lakshmi Machine Works Ltd.</v>
          </cell>
        </row>
        <row r="286">
          <cell r="B286" t="str">
            <v>Larsen &amp; Toubro Ltd.</v>
          </cell>
        </row>
        <row r="287">
          <cell r="B287" t="str">
            <v>Lic Housing Finance Ltd.</v>
          </cell>
        </row>
        <row r="288">
          <cell r="B288" t="str">
            <v>Lloyds Steel Industries Ltd.</v>
          </cell>
        </row>
        <row r="289">
          <cell r="B289" t="str">
            <v>Lupin Ltd.</v>
          </cell>
        </row>
        <row r="290">
          <cell r="B290" t="str">
            <v>M.R.F. Ltd.</v>
          </cell>
        </row>
        <row r="291">
          <cell r="B291" t="str">
            <v>Macmillan India Ltd.</v>
          </cell>
        </row>
        <row r="292">
          <cell r="B292" t="str">
            <v>Madras Aluminium Co. Ltd.</v>
          </cell>
        </row>
        <row r="293">
          <cell r="B293" t="str">
            <v>Madras Cements Ltd.</v>
          </cell>
        </row>
        <row r="294">
          <cell r="B294" t="str">
            <v>Madura Coats Ltd.</v>
          </cell>
        </row>
        <row r="295">
          <cell r="B295" t="str">
            <v>Mahanagar Telephone Nigam Ltd.</v>
          </cell>
        </row>
        <row r="296">
          <cell r="B296" t="str">
            <v>Maharashtra Seamless Ltd.</v>
          </cell>
        </row>
        <row r="297">
          <cell r="B297" t="str">
            <v>Mahavir Spg. Mills Ltd.</v>
          </cell>
        </row>
        <row r="298">
          <cell r="B298" t="str">
            <v>Mahindra &amp; Mahindra Ltd.</v>
          </cell>
        </row>
        <row r="299">
          <cell r="B299" t="str">
            <v>Mahindra Gesco Developers Ltd.</v>
          </cell>
        </row>
        <row r="300">
          <cell r="B300" t="str">
            <v>Mangalore Chemicals &amp; Fertilisers Ltd.</v>
          </cell>
        </row>
        <row r="301">
          <cell r="B301" t="str">
            <v>Mangalore Refinery &amp; Petrochemicals Ltd.</v>
          </cell>
        </row>
        <row r="302">
          <cell r="B302" t="str">
            <v>Maral Overseas Ltd.</v>
          </cell>
        </row>
        <row r="303">
          <cell r="B303" t="str">
            <v>Marico Industries Ltd.</v>
          </cell>
        </row>
        <row r="304">
          <cell r="B304" t="str">
            <v>Mascon Global Ltd.</v>
          </cell>
        </row>
        <row r="305">
          <cell r="B305" t="str">
            <v>Mascot Systems Ltd.</v>
          </cell>
        </row>
        <row r="306">
          <cell r="B306" t="str">
            <v>Mastek Ltd.</v>
          </cell>
        </row>
        <row r="307">
          <cell r="B307" t="str">
            <v>Matsushita Television &amp; Audio India</v>
          </cell>
        </row>
        <row r="308">
          <cell r="B308" t="str">
            <v>Max India Ltd.</v>
          </cell>
        </row>
        <row r="309">
          <cell r="B309" t="str">
            <v>McDowell &amp; Company Ltd.</v>
          </cell>
        </row>
        <row r="310">
          <cell r="B310" t="str">
            <v>Merck Ltd.</v>
          </cell>
        </row>
        <row r="311">
          <cell r="B311" t="str">
            <v>Mid-Day Multimedia Ltd.</v>
          </cell>
        </row>
        <row r="312">
          <cell r="B312" t="str">
            <v>Mirc Electronics Ltd.</v>
          </cell>
        </row>
        <row r="313">
          <cell r="B313" t="str">
            <v>Mirza Tanners Ltd.</v>
          </cell>
        </row>
        <row r="314">
          <cell r="B314" t="str">
            <v>Modi Rubber Ltd.</v>
          </cell>
        </row>
        <row r="315">
          <cell r="B315" t="str">
            <v>Monsanto India Ltd.</v>
          </cell>
        </row>
        <row r="316">
          <cell r="B316" t="str">
            <v>Morepen Laboratories Ltd.</v>
          </cell>
        </row>
        <row r="317">
          <cell r="B317" t="str">
            <v>Moser-Baer (India) Ltd.</v>
          </cell>
        </row>
        <row r="318">
          <cell r="B318" t="str">
            <v>Motherson Sumi Systems Ltd.</v>
          </cell>
        </row>
        <row r="319">
          <cell r="B319" t="str">
            <v>Motor Industries Co. Ltd.</v>
          </cell>
        </row>
        <row r="320">
          <cell r="B320" t="str">
            <v>Mphasis BFL Ltd.</v>
          </cell>
        </row>
        <row r="321">
          <cell r="B321" t="str">
            <v>MRO-TEK Ltd.</v>
          </cell>
        </row>
        <row r="322">
          <cell r="B322" t="str">
            <v>Mukand Engineers Ltd.</v>
          </cell>
        </row>
        <row r="323">
          <cell r="B323" t="str">
            <v>Mukand Ltd.</v>
          </cell>
        </row>
        <row r="324">
          <cell r="B324" t="str">
            <v>Mukta Arts Ltd.</v>
          </cell>
        </row>
        <row r="325">
          <cell r="B325" t="str">
            <v>Munjal Showa Ltd.</v>
          </cell>
        </row>
        <row r="326">
          <cell r="B326" t="str">
            <v>Mysore Cements Ltd.</v>
          </cell>
        </row>
        <row r="327">
          <cell r="B327" t="str">
            <v>Nagarjuna Fertiliser &amp; Chem. Ltd.</v>
          </cell>
        </row>
        <row r="328">
          <cell r="B328" t="str">
            <v>Nahar Exports Ltd.</v>
          </cell>
        </row>
        <row r="329">
          <cell r="B329" t="str">
            <v>Nahar Spinning Mills Ltd.</v>
          </cell>
        </row>
        <row r="330">
          <cell r="B330" t="str">
            <v>Narmada Chematur Petrochemicals Ltd.</v>
          </cell>
        </row>
        <row r="331">
          <cell r="B331" t="str">
            <v>Nath Seeds Ltd.</v>
          </cell>
        </row>
        <row r="332">
          <cell r="B332" t="str">
            <v>National Aluminium Co. Ltd.</v>
          </cell>
        </row>
        <row r="333">
          <cell r="B333" t="str">
            <v>National Organic Chemical Industries Ltd.</v>
          </cell>
        </row>
        <row r="334">
          <cell r="B334" t="str">
            <v>Navneet Publications (India) Ltd.</v>
          </cell>
        </row>
        <row r="335">
          <cell r="B335" t="str">
            <v>Nelco Ltd.</v>
          </cell>
        </row>
        <row r="336">
          <cell r="B336" t="str">
            <v>Nestle India Ltd.</v>
          </cell>
        </row>
        <row r="337">
          <cell r="B337" t="str">
            <v>Neyveli Lignite Corporation Ltd.</v>
          </cell>
        </row>
        <row r="338">
          <cell r="B338" t="str">
            <v>Nicholas Piramal India Ltd.</v>
          </cell>
        </row>
        <row r="339">
          <cell r="B339" t="str">
            <v>NIIT Ltd.</v>
          </cell>
        </row>
        <row r="340">
          <cell r="B340" t="str">
            <v>Nilkamal Plastics Ltd.</v>
          </cell>
        </row>
        <row r="341">
          <cell r="B341" t="str">
            <v>Nirma Ltd.</v>
          </cell>
        </row>
        <row r="342">
          <cell r="B342" t="str">
            <v>Novartis India Ltd.</v>
          </cell>
        </row>
        <row r="343">
          <cell r="B343" t="str">
            <v>NRB Bearings Ltd.</v>
          </cell>
        </row>
        <row r="344">
          <cell r="B344" t="str">
            <v>Oil And Natural Gas Corporation Ltd.</v>
          </cell>
        </row>
        <row r="345">
          <cell r="B345" t="str">
            <v>Oil Country Tubular Ltd.</v>
          </cell>
        </row>
        <row r="346">
          <cell r="B346" t="str">
            <v>Onward Technologies Ltd.</v>
          </cell>
        </row>
        <row r="347">
          <cell r="B347" t="str">
            <v>Orchid Chemicals &amp; Pharmaceuticals</v>
          </cell>
        </row>
        <row r="348">
          <cell r="B348" t="str">
            <v>Oriental Bank Of Commerce</v>
          </cell>
        </row>
        <row r="349">
          <cell r="B349" t="str">
            <v>Oriental Hotels Ltd.</v>
          </cell>
        </row>
        <row r="350">
          <cell r="B350" t="str">
            <v>Oswal Agro Mills Ltd.</v>
          </cell>
        </row>
        <row r="351">
          <cell r="B351" t="str">
            <v>Oswal Chemicals &amp; Fertilizers Ltd.</v>
          </cell>
        </row>
        <row r="352">
          <cell r="B352" t="str">
            <v>Panacea Biotec Ltd.</v>
          </cell>
        </row>
        <row r="353">
          <cell r="B353" t="str">
            <v>Paper Products Ltd.</v>
          </cell>
        </row>
        <row r="354">
          <cell r="B354" t="str">
            <v>Parekh Platinum Ltd.</v>
          </cell>
        </row>
        <row r="355">
          <cell r="B355" t="str">
            <v>Parke Davis (India) Ltd.</v>
          </cell>
        </row>
        <row r="356">
          <cell r="B356" t="str">
            <v>Pentamedia Graphics Ltd.</v>
          </cell>
        </row>
        <row r="357">
          <cell r="B357" t="str">
            <v>Pentasoft Technologies Ltd.</v>
          </cell>
        </row>
        <row r="358">
          <cell r="B358" t="str">
            <v>Pfizer Ltd.</v>
          </cell>
        </row>
        <row r="359">
          <cell r="B359" t="str">
            <v>Pharmacia Healthcare Ltd.</v>
          </cell>
        </row>
        <row r="360">
          <cell r="B360" t="str">
            <v>Philips India Ltd.</v>
          </cell>
        </row>
        <row r="361">
          <cell r="B361" t="str">
            <v>Pidilite Industries Ltd.</v>
          </cell>
        </row>
        <row r="362">
          <cell r="B362" t="str">
            <v>PNB Gilts Ltd.</v>
          </cell>
        </row>
        <row r="363">
          <cell r="B363" t="str">
            <v>Polaris Software Lab Ltd.</v>
          </cell>
        </row>
        <row r="364">
          <cell r="B364" t="str">
            <v>Prism Cement Ltd.</v>
          </cell>
        </row>
        <row r="365">
          <cell r="B365" t="str">
            <v>Priyadarshini Cement Ltd.</v>
          </cell>
        </row>
        <row r="366">
          <cell r="B366" t="str">
            <v>Procter &amp; Gamble Hygiene &amp; Health Care Ltd.</v>
          </cell>
        </row>
        <row r="367">
          <cell r="B367" t="str">
            <v>PSI Data Systems Ltd.</v>
          </cell>
        </row>
        <row r="368">
          <cell r="B368" t="str">
            <v>PSL Holdings Ltd.</v>
          </cell>
        </row>
        <row r="369">
          <cell r="B369" t="str">
            <v>Punjab Anand Lamp Industries Ltd.</v>
          </cell>
        </row>
        <row r="370">
          <cell r="B370" t="str">
            <v>Punjab Communications Ltd.</v>
          </cell>
        </row>
        <row r="371">
          <cell r="B371" t="str">
            <v>Punjab National Bank</v>
          </cell>
        </row>
        <row r="372">
          <cell r="B372" t="str">
            <v>Punjab Tractors Ltd.</v>
          </cell>
        </row>
        <row r="373">
          <cell r="B373" t="str">
            <v>R S Software India Ltd.</v>
          </cell>
        </row>
        <row r="374">
          <cell r="B374" t="str">
            <v>Rain Calcining Ltd.</v>
          </cell>
        </row>
        <row r="375">
          <cell r="B375" t="str">
            <v>Rallis India Ltd.</v>
          </cell>
        </row>
        <row r="376">
          <cell r="B376" t="str">
            <v>Rama Newsprint &amp; Papers Ltd.</v>
          </cell>
        </row>
        <row r="377">
          <cell r="B377" t="str">
            <v>Ramco Systems Ltd.</v>
          </cell>
        </row>
        <row r="378">
          <cell r="B378" t="str">
            <v>Ranbaxy Laboratories Ltd.</v>
          </cell>
        </row>
        <row r="379">
          <cell r="B379" t="str">
            <v>Rashtriya Chemicals &amp; Fertilizers Ltd.</v>
          </cell>
        </row>
        <row r="380">
          <cell r="B380" t="str">
            <v>Rayban Sun Optics India Ltd.</v>
          </cell>
        </row>
        <row r="381">
          <cell r="B381" t="str">
            <v>Raymond Ltd.</v>
          </cell>
        </row>
        <row r="382">
          <cell r="B382" t="str">
            <v>Reliance Capital Ltd.</v>
          </cell>
        </row>
        <row r="383">
          <cell r="B383" t="str">
            <v>Reliance Industrial Infrastructure</v>
          </cell>
        </row>
        <row r="384">
          <cell r="B384" t="str">
            <v>Reliance Industries Ltd.</v>
          </cell>
        </row>
        <row r="385">
          <cell r="B385" t="str">
            <v>Revathi Equipment Ltd.</v>
          </cell>
        </row>
        <row r="386">
          <cell r="B386" t="str">
            <v>Rolta India Ltd.</v>
          </cell>
        </row>
        <row r="387">
          <cell r="B387" t="str">
            <v>Roofit Industries Ltd.</v>
          </cell>
        </row>
        <row r="388">
          <cell r="B388" t="str">
            <v>RPG Cables Ltd.</v>
          </cell>
        </row>
        <row r="389">
          <cell r="B389" t="str">
            <v>RPG Life Sciences Ltd.</v>
          </cell>
        </row>
        <row r="390">
          <cell r="B390" t="str">
            <v>Ruchi Soya Industries Ltd.</v>
          </cell>
        </row>
        <row r="391">
          <cell r="B391" t="str">
            <v>Saint-Gobain Sekurit India Ltd.</v>
          </cell>
        </row>
        <row r="392">
          <cell r="B392" t="str">
            <v>Salora International Ltd.</v>
          </cell>
        </row>
        <row r="393">
          <cell r="B393" t="str">
            <v>Samtel Colour Ltd.</v>
          </cell>
        </row>
        <row r="394">
          <cell r="B394" t="str">
            <v>Saregama India Ltd.</v>
          </cell>
        </row>
        <row r="395">
          <cell r="B395" t="str">
            <v>Satyam Computer Services Ltd.</v>
          </cell>
        </row>
        <row r="396">
          <cell r="B396" t="str">
            <v>Saw Pipes Ltd.</v>
          </cell>
        </row>
        <row r="397">
          <cell r="B397" t="str">
            <v>Sesa Goa Ltd.</v>
          </cell>
        </row>
        <row r="398">
          <cell r="B398" t="str">
            <v>Shasun Chemicals And Drugs Ltd.</v>
          </cell>
        </row>
        <row r="399">
          <cell r="B399" t="str">
            <v>Shaw Wallace &amp; Co. Ltd.</v>
          </cell>
        </row>
        <row r="400">
          <cell r="B400" t="str">
            <v>Shipping Corporation Of India Ltd.</v>
          </cell>
        </row>
        <row r="401">
          <cell r="B401" t="str">
            <v>Shree Cements Ltd.</v>
          </cell>
        </row>
        <row r="402">
          <cell r="B402" t="str">
            <v>Shree Rama Multi-tech Ltd.</v>
          </cell>
        </row>
        <row r="403">
          <cell r="B403" t="str">
            <v>Shyam Telecom Ltd.</v>
          </cell>
        </row>
        <row r="404">
          <cell r="B404" t="str">
            <v>Siemens Ltd.</v>
          </cell>
        </row>
        <row r="405">
          <cell r="B405" t="str">
            <v>Siltap Chemicals Ltd.</v>
          </cell>
        </row>
        <row r="406">
          <cell r="B406" t="str">
            <v>Silverline Technologies Ltd.</v>
          </cell>
        </row>
        <row r="407">
          <cell r="B407" t="str">
            <v>Skanska Cementation India Ltd.</v>
          </cell>
        </row>
        <row r="408">
          <cell r="B408" t="str">
            <v>SKF Bearings (India) Ltd.</v>
          </cell>
        </row>
        <row r="409">
          <cell r="B409" t="str">
            <v>Snowcem India Ltd.</v>
          </cell>
        </row>
        <row r="410">
          <cell r="B410" t="str">
            <v>Solectron Centum Electronics Ltd.</v>
          </cell>
        </row>
        <row r="411">
          <cell r="B411" t="str">
            <v>Sonata Software Ltd.</v>
          </cell>
        </row>
        <row r="412">
          <cell r="B412" t="str">
            <v>Southern Petrochemicals</v>
          </cell>
        </row>
        <row r="413">
          <cell r="B413" t="str">
            <v>SRF Ltd.</v>
          </cell>
        </row>
        <row r="414">
          <cell r="B414" t="str">
            <v>Sri Adhikari Brothers Television Network</v>
          </cell>
        </row>
        <row r="415">
          <cell r="B415" t="str">
            <v>SSI Ltd.</v>
          </cell>
        </row>
        <row r="416">
          <cell r="B416" t="str">
            <v>State Bank Of India</v>
          </cell>
        </row>
        <row r="417">
          <cell r="B417" t="str">
            <v>Steel Authority of India Ltd.</v>
          </cell>
        </row>
        <row r="418">
          <cell r="B418" t="str">
            <v>Sterling Biotech Ltd.</v>
          </cell>
        </row>
        <row r="419">
          <cell r="B419" t="str">
            <v>Sterlite Optical Technoligies Ltd.</v>
          </cell>
        </row>
        <row r="420">
          <cell r="B420" t="str">
            <v>Subex Systems Ltd.</v>
          </cell>
        </row>
        <row r="421">
          <cell r="B421" t="str">
            <v>Sun Earth Ceramics Ltd.</v>
          </cell>
        </row>
        <row r="422">
          <cell r="B422" t="str">
            <v>Sun Pharmaceutical Industries Ltd.</v>
          </cell>
        </row>
        <row r="423">
          <cell r="B423" t="str">
            <v>Sundaram Clayton Ltd.</v>
          </cell>
        </row>
        <row r="424">
          <cell r="B424" t="str">
            <v>Sundram Fasteners Ltd.</v>
          </cell>
        </row>
        <row r="425">
          <cell r="B425" t="str">
            <v>Supreme Industries Ltd.</v>
          </cell>
        </row>
        <row r="426">
          <cell r="B426" t="str">
            <v>Supreme Petrochem Ltd.</v>
          </cell>
        </row>
        <row r="427">
          <cell r="B427" t="str">
            <v>Su-raj Diamonds and Jewellery Ltd.</v>
          </cell>
        </row>
        <row r="428">
          <cell r="B428" t="str">
            <v>Suven Pharmaceuticals Ltd.</v>
          </cell>
        </row>
        <row r="429">
          <cell r="B429" t="str">
            <v>Swaraj Engines Ltd.</v>
          </cell>
        </row>
        <row r="430">
          <cell r="B430" t="str">
            <v>Swaraj Mazda Ltd.</v>
          </cell>
        </row>
        <row r="431">
          <cell r="B431" t="str">
            <v>Syngenta India Ltd.</v>
          </cell>
        </row>
        <row r="432">
          <cell r="B432" t="str">
            <v>Tamil Nadu Newsprint And Papers Ltd.</v>
          </cell>
        </row>
        <row r="433">
          <cell r="B433" t="str">
            <v>Tamilnadu Petroproducts Ltd.</v>
          </cell>
        </row>
        <row r="434">
          <cell r="B434" t="str">
            <v>Tata Chemicals Ltd.</v>
          </cell>
        </row>
        <row r="435">
          <cell r="B435" t="str">
            <v>Tata Elxsi Ltd.</v>
          </cell>
        </row>
        <row r="436">
          <cell r="B436" t="str">
            <v>Tata Engg. &amp; Loco. Co. Ltd.</v>
          </cell>
        </row>
        <row r="437">
          <cell r="B437" t="str">
            <v>Tata Finance Ltd.</v>
          </cell>
        </row>
        <row r="438">
          <cell r="B438" t="str">
            <v>Tata Honeywell Ltd.</v>
          </cell>
        </row>
        <row r="439">
          <cell r="B439" t="str">
            <v>Tata Infomedia Ltd.</v>
          </cell>
        </row>
        <row r="440">
          <cell r="B440" t="str">
            <v>Tata Infotech Ltd.</v>
          </cell>
        </row>
        <row r="441">
          <cell r="B441" t="str">
            <v>Tata Investment Corporation Ltd.</v>
          </cell>
        </row>
        <row r="442">
          <cell r="B442" t="str">
            <v>Tata Iron &amp; Steel Co. Ltd.</v>
          </cell>
        </row>
        <row r="443">
          <cell r="B443" t="str">
            <v>Tata Power Co. Ltd.</v>
          </cell>
        </row>
        <row r="444">
          <cell r="B444" t="str">
            <v>Tata Tea Ltd.</v>
          </cell>
        </row>
        <row r="445">
          <cell r="B445" t="str">
            <v>Tata Telecom Ltd.</v>
          </cell>
        </row>
        <row r="446">
          <cell r="B446" t="str">
            <v>Tata Teleservices (Maharashtra) Ltd.</v>
          </cell>
        </row>
        <row r="447">
          <cell r="B447" t="str">
            <v>Television Eighteen India Ltd.</v>
          </cell>
        </row>
        <row r="448">
          <cell r="B448" t="str">
            <v>Thermax Ltd.</v>
          </cell>
        </row>
        <row r="449">
          <cell r="B449" t="str">
            <v>Thirumalai Chemicals Ltd.</v>
          </cell>
        </row>
        <row r="450">
          <cell r="B450" t="str">
            <v>Thomas Cook (India) Ltd.</v>
          </cell>
        </row>
        <row r="451">
          <cell r="B451" t="str">
            <v>Timex Watches Ltd.</v>
          </cell>
        </row>
        <row r="452">
          <cell r="B452" t="str">
            <v>Timken India Ltd.</v>
          </cell>
        </row>
        <row r="453">
          <cell r="B453" t="str">
            <v>Tips Industries Ltd.</v>
          </cell>
        </row>
        <row r="454">
          <cell r="B454" t="str">
            <v>Titan Industries Ltd.</v>
          </cell>
        </row>
        <row r="455">
          <cell r="B455" t="str">
            <v>Torrent Pharmaceuticals Ltd.</v>
          </cell>
        </row>
        <row r="456">
          <cell r="B456" t="str">
            <v>Tourism Finance Corpn. Of India Ltd.</v>
          </cell>
        </row>
        <row r="457">
          <cell r="B457" t="str">
            <v>Trent Ltd.</v>
          </cell>
        </row>
        <row r="458">
          <cell r="B458" t="str">
            <v>Trigyn Technologies Ltd.</v>
          </cell>
        </row>
        <row r="459">
          <cell r="B459" t="str">
            <v>Tube Investments of India Ltd.</v>
          </cell>
        </row>
        <row r="460">
          <cell r="B460" t="str">
            <v>TVS Electronics Ltd.</v>
          </cell>
        </row>
        <row r="461">
          <cell r="B461" t="str">
            <v>TVS Motor Company Ltd.</v>
          </cell>
        </row>
        <row r="462">
          <cell r="B462" t="str">
            <v>Ultramarine &amp; Pigments Ltd.</v>
          </cell>
        </row>
        <row r="463">
          <cell r="B463" t="str">
            <v>Unichem Laboratories Ltd.</v>
          </cell>
        </row>
        <row r="464">
          <cell r="B464" t="str">
            <v>Union Bank of India</v>
          </cell>
        </row>
        <row r="465">
          <cell r="B465" t="str">
            <v>Unitech Ltd.</v>
          </cell>
        </row>
        <row r="466">
          <cell r="B466" t="str">
            <v>United Breweries Ltd.</v>
          </cell>
        </row>
        <row r="467">
          <cell r="B467" t="str">
            <v>United Phosphorus Ltd.</v>
          </cell>
        </row>
        <row r="468">
          <cell r="B468" t="str">
            <v>Usha Beltron Ltd.</v>
          </cell>
        </row>
        <row r="469">
          <cell r="B469" t="str">
            <v>UTI Bank Ltd.</v>
          </cell>
        </row>
        <row r="470">
          <cell r="B470" t="str">
            <v>V.I.P. Industries Ltd.</v>
          </cell>
        </row>
        <row r="471">
          <cell r="B471" t="str">
            <v>Vardhaman Spinning &amp; Gen. Mills Ltd.</v>
          </cell>
        </row>
        <row r="472">
          <cell r="B472" t="str">
            <v>Varun Shipping Co. Ltd.</v>
          </cell>
        </row>
        <row r="473">
          <cell r="B473" t="str">
            <v>Vashisti Detergents Ltd.</v>
          </cell>
        </row>
        <row r="474">
          <cell r="B474" t="str">
            <v>Venkys (India) Ltd.</v>
          </cell>
        </row>
        <row r="475">
          <cell r="B475" t="str">
            <v>Vesuvius India Ltd.</v>
          </cell>
        </row>
        <row r="476">
          <cell r="B476" t="str">
            <v>Videocon Appliances Ltd.</v>
          </cell>
        </row>
        <row r="477">
          <cell r="B477" t="str">
            <v>Videocon International Ltd.</v>
          </cell>
        </row>
        <row r="478">
          <cell r="B478" t="str">
            <v>Videsh Sanchar Nigam Ltd.</v>
          </cell>
        </row>
        <row r="479">
          <cell r="B479" t="str">
            <v>Vikas WSP Ltd.</v>
          </cell>
        </row>
        <row r="480">
          <cell r="B480" t="str">
            <v>Vindhya Telelinks Ltd.</v>
          </cell>
        </row>
        <row r="481">
          <cell r="B481" t="str">
            <v>Visualsoft Technologies Ltd.</v>
          </cell>
        </row>
        <row r="482">
          <cell r="B482" t="str">
            <v>Voltas Ltd.</v>
          </cell>
        </row>
        <row r="483">
          <cell r="B483" t="str">
            <v>VST Industries Ltd.</v>
          </cell>
        </row>
        <row r="484">
          <cell r="B484" t="str">
            <v>Vysya Bank Ltd.</v>
          </cell>
        </row>
        <row r="485">
          <cell r="B485" t="str">
            <v>Warren Tea Ltd.</v>
          </cell>
        </row>
        <row r="486">
          <cell r="B486" t="str">
            <v>Wartsila India Ltd.</v>
          </cell>
        </row>
        <row r="487">
          <cell r="B487" t="str">
            <v>Welspun -Gujarat Stahl Rohren Ltd.</v>
          </cell>
        </row>
        <row r="488">
          <cell r="B488" t="str">
            <v>Welspun India Ltd.</v>
          </cell>
        </row>
        <row r="489">
          <cell r="B489" t="str">
            <v>Whirlpool of India Ltd.</v>
          </cell>
        </row>
        <row r="490">
          <cell r="B490" t="str">
            <v>Widia (india) Ltd.</v>
          </cell>
        </row>
        <row r="491">
          <cell r="B491" t="str">
            <v>Wimco Ltd.</v>
          </cell>
        </row>
        <row r="492">
          <cell r="B492" t="str">
            <v>Wipro Ltd.</v>
          </cell>
        </row>
        <row r="493">
          <cell r="B493" t="str">
            <v>Wockhardt Life Sciences Ltd.</v>
          </cell>
        </row>
        <row r="494">
          <cell r="B494" t="str">
            <v>Wockhardt Ltd.</v>
          </cell>
        </row>
        <row r="495">
          <cell r="B495" t="str">
            <v>Wyeth Lederle Ltd.</v>
          </cell>
        </row>
        <row r="496">
          <cell r="B496" t="str">
            <v>Yokogawa Blue Star Ltd.</v>
          </cell>
        </row>
        <row r="497">
          <cell r="B497" t="str">
            <v>Zandu Pharmaceuticals Works Ltd.</v>
          </cell>
        </row>
        <row r="498">
          <cell r="B498" t="str">
            <v>Zee Telefilms Ltd.</v>
          </cell>
        </row>
        <row r="499">
          <cell r="B499" t="str">
            <v>Zensar Technologies Ltd.</v>
          </cell>
        </row>
        <row r="500">
          <cell r="B500" t="str">
            <v>Zuari Industries Ltd.</v>
          </cell>
        </row>
      </sheetData>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ce-Used"/>
      <sheetName val="2. Price-New"/>
      <sheetName val="3. Price-Parts"/>
      <sheetName val="4. Obsolescence"/>
      <sheetName val="5. Sum Count Errors"/>
      <sheetName val="6. Cutoff"/>
      <sheetName val="Tickmarks"/>
      <sheetName val="Price Testing - Used - 1"/>
      <sheetName val="Price Testing - New - 2 "/>
      <sheetName val="Parts  - Price Testing- 3"/>
      <sheetName val="Summary of Part Count Errors-4"/>
      <sheetName val="Cutoff Testing-5"/>
      <sheetName val="1. Obsolescence"/>
      <sheetName val="Reconciliation"/>
      <sheetName val="Input"/>
      <sheetName val="b"/>
      <sheetName val="Assumptions"/>
      <sheetName val="Year_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RMASL Trading "/>
      <sheetName val="RMASL Trading"/>
      <sheetName val="Realised Gains in RMASL"/>
      <sheetName val="Sheet5"/>
      <sheetName val="F&amp;O Trading"/>
      <sheetName val="Realised Gains in F&amp;O"/>
      <sheetName val="Sheet1"/>
      <sheetName val="INDEX DATA"/>
      <sheetName val="Sheet2"/>
      <sheetName val="RMG"/>
      <sheetName val="MAIN"/>
      <sheetName val="Returns"/>
      <sheetName val="CHART"/>
      <sheetName val="Sheet3"/>
      <sheetName val="CHART1"/>
      <sheetName val="MAIN SHEET"/>
      <sheetName val="GRAPH"/>
      <sheetName val="Sheet4"/>
      <sheetName val="ChartRMASL"/>
      <sheetName val="RMG Cash Flow"/>
      <sheetName val="Index"/>
      <sheetName val="RMGChart"/>
      <sheetName val="Sheet8"/>
      <sheetName val="Composite"/>
      <sheetName val="RMASLGraph"/>
      <sheetName val="2007"/>
      <sheetName val="Sheet9"/>
      <sheetName val="2007Graph"/>
      <sheetName val="Sheet7"/>
      <sheetName val="RMASL_Trading_"/>
      <sheetName val="RMASL_Trading"/>
      <sheetName val="Realised_Gains_in_RMASL"/>
      <sheetName val="F&amp;O_Trading"/>
      <sheetName val="Realised_Gains_in_F&amp;O"/>
      <sheetName val="INDEX_DATA"/>
      <sheetName val="MAIN_SHEET"/>
      <sheetName val="RMG_Cash_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orical Data"/>
      <sheetName val="Forecast Drivers"/>
      <sheetName val="Results"/>
      <sheetName val="Valuation Summary"/>
      <sheetName val="ESOP valuation"/>
      <sheetName val="Std devn for ESOP (2006-11)"/>
      <sheetName val="Risk free rate"/>
      <sheetName val="Market Return"/>
      <sheetName val="Capex- Disha"/>
      <sheetName val="Investment"/>
      <sheetName val="BETA"/>
      <sheetName val="WACC"/>
      <sheetName val="BSE30 - annual"/>
      <sheetName val="Sheet2"/>
    </sheetNames>
    <sheetDataSet>
      <sheetData sheetId="0" refreshError="1"/>
      <sheetData sheetId="1">
        <row r="294">
          <cell r="T294">
            <v>60562.55</v>
          </cell>
          <cell r="U294">
            <v>60562.55</v>
          </cell>
          <cell r="V294">
            <v>60562.55</v>
          </cell>
          <cell r="W294">
            <v>60562.55</v>
          </cell>
          <cell r="X294">
            <v>60562.55</v>
          </cell>
          <cell r="Y294">
            <v>60562.55</v>
          </cell>
          <cell r="Z294">
            <v>60562.55</v>
          </cell>
          <cell r="AA294">
            <v>60562.55</v>
          </cell>
          <cell r="AB294">
            <v>60562.55</v>
          </cell>
          <cell r="AC294">
            <v>60562.55</v>
          </cell>
          <cell r="AD294">
            <v>60562.55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y "/>
      <sheetName val="current"/>
      <sheetName val="EQUITY HOLDINGS"/>
      <sheetName val="General assumptions"/>
      <sheetName val="Assumptions-Wireline"/>
      <sheetName val="CDMA-Assumptions"/>
      <sheetName val="NLD - Assum"/>
      <sheetName val="Assumptions &amp; workings-RICL"/>
      <sheetName val="Scope of project"/>
      <sheetName val="Usage &amp; Tariff Wireline"/>
      <sheetName val="Market share"/>
      <sheetName val="Summary Capex"/>
      <sheetName val="CDMA-Capex prices"/>
      <sheetName val="CDMA-CAPEX"/>
      <sheetName val="CDMA working"/>
      <sheetName val="Reliance subs"/>
      <sheetName val="Capex-Wired"/>
      <sheetName val="Staff-fixed"/>
      <sheetName val="Wireline-working"/>
      <sheetName val="P&amp;L-Wireline"/>
      <sheetName val="CDMA-P&amp;L"/>
      <sheetName val="NLD working"/>
      <sheetName val="NLD - P&amp;L"/>
      <sheetName val="RCL-P&amp;L"/>
      <sheetName val="RIC P&amp; L"/>
      <sheetName val="Summary biz plan"/>
      <sheetName val="RCPL EV"/>
      <sheetName val="EV-WLL"/>
      <sheetName val="EV-FIXED"/>
      <sheetName val="EV-NLD"/>
      <sheetName val="RICL 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OW"/>
      <sheetName val="OPS_asia"/>
      <sheetName val="Production"/>
      <sheetName val="PRICE"/>
      <sheetName val="Data"/>
      <sheetName val="OPS_SIMPLIFIE"/>
      <sheetName val="CESSION"/>
      <sheetName val="ORDER"/>
      <sheetName val="income"/>
      <sheetName val="AP RA99-06"/>
      <sheetName val="HV RA99-06"/>
      <sheetName val="IN RA99-06"/>
      <sheetName val="CH RA99-06"/>
      <sheetName val="TH RA99-06"/>
      <sheetName val="HZ RA99-06"/>
      <sheetName val="Total MG "/>
      <sheetName val="Rates"/>
      <sheetName val="TB"/>
      <sheetName val="COA-IPCL"/>
      <sheetName val="M B-QtyRecn"/>
      <sheetName val="Schedule"/>
      <sheetName val="Sheet1"/>
      <sheetName val="MAPPINGS"/>
      <sheetName val="RES"/>
      <sheetName val="Chart of Accounts"/>
      <sheetName val="Op Plan Sales"/>
      <sheetName val="Params"/>
      <sheetName val="Masters"/>
      <sheetName val="d"/>
      <sheetName val="5Y_v2.14"/>
      <sheetName val="Trial Balance"/>
      <sheetName val="IOPlan"/>
      <sheetName val="Consol"/>
      <sheetName val="Lists"/>
      <sheetName val="IT Only"/>
      <sheetName val="Control"/>
      <sheetName val="Risco-Accts"/>
      <sheetName val="Comp"/>
      <sheetName val="Payroll_Statement"/>
      <sheetName val="Annexure"/>
      <sheetName val="Input schedule"/>
      <sheetName val="Sales &amp; Marketing Dashboard"/>
      <sheetName val="LIC"/>
      <sheetName val="PropertyList"/>
      <sheetName val="IT-accruals"/>
      <sheetName val="TPM Tot"/>
      <sheetName val="StdMarginRegQtr"/>
      <sheetName val="Sept '99"/>
      <sheetName val="AP_RA99-06"/>
      <sheetName val="HV_RA99-06"/>
      <sheetName val="IN_RA99-06"/>
      <sheetName val="CH_RA99-06"/>
      <sheetName val="TH_RA99-06"/>
      <sheetName val="HZ_RA99-06"/>
      <sheetName val="Op_Plan_Sales"/>
      <sheetName val="M_B-QtyRecn"/>
      <sheetName val="FBT Full"/>
      <sheetName val="Price Testing - Used - 1"/>
      <sheetName val="Consolidated"/>
      <sheetName val="India"/>
      <sheetName val="BAL0301"/>
      <sheetName val="Other"/>
      <sheetName val="Summary"/>
      <sheetName val="BAL96-97"/>
      <sheetName val="Other notes"/>
      <sheetName val="MAIN"/>
      <sheetName val="consolidated Budget"/>
      <sheetName val="POFG"/>
      <sheetName val="Rollup_Summary"/>
      <sheetName val="List"/>
      <sheetName val="Cash Flow.7"/>
      <sheetName val="Opening Balance"/>
      <sheetName val="Jodalli-P&amp;L"/>
      <sheetName val="Graphdata"/>
      <sheetName val="データシート"/>
      <sheetName val="Categ"/>
      <sheetName val="Amortization Table"/>
      <sheetName val="IIL Payroll"/>
      <sheetName val="3 Yr Revenue Analysis(old)"/>
      <sheetName val="Macro1"/>
      <sheetName val="IS"/>
      <sheetName val="May 09"/>
      <sheetName val="AP_RA99-061"/>
      <sheetName val="HV_RA99-061"/>
      <sheetName val="IN_RA99-061"/>
      <sheetName val="CH_RA99-061"/>
      <sheetName val="TH_RA99-061"/>
      <sheetName val="HZ_RA99-061"/>
      <sheetName val="Total_MG_"/>
      <sheetName val="Op_Plan_Sales1"/>
      <sheetName val="IT_Only"/>
      <sheetName val="AP_RA99-062"/>
      <sheetName val="HV_RA99-062"/>
      <sheetName val="IN_RA99-062"/>
      <sheetName val="CH_RA99-062"/>
      <sheetName val="TH_RA99-062"/>
      <sheetName val="HZ_RA99-062"/>
      <sheetName val="Total_MG_1"/>
      <sheetName val="Op_Plan_Sales2"/>
      <sheetName val="IT_Only1"/>
      <sheetName val="Sales_&amp;_Marketing_Dashboard"/>
      <sheetName val="TPM_Tot"/>
      <sheetName val="Sept_'99"/>
      <sheetName val="Page1"/>
      <sheetName val="Main-Material"/>
      <sheetName val="Push Diag on Premise"/>
      <sheetName val="CChannel Attract Input"/>
      <sheetName val="FStratPlan"/>
      <sheetName val="Price_Testing_-_Used_-_11"/>
      <sheetName val="Price_Testing_-_Used_-_1"/>
      <sheetName val=""/>
      <sheetName val="Cover"/>
      <sheetName val="未着品BALANCE"/>
      <sheetName val="Trial_Balance"/>
      <sheetName val="Input_schedule"/>
      <sheetName val="New form 3CD A"/>
      <sheetName val="EXPENSES"/>
      <sheetName val="All Data"/>
      <sheetName val="Rate_dec02"/>
      <sheetName val="BS"/>
      <sheetName val="CRITERIA1"/>
      <sheetName val="FINAL SHEET"/>
      <sheetName val="License Area"/>
      <sheetName val="Challan"/>
      <sheetName val="Nomenclature"/>
      <sheetName val="PAP"/>
      <sheetName val="Keyratios"/>
      <sheetName val="Facility"/>
      <sheetName val="P L"/>
      <sheetName val="Other_notes"/>
      <sheetName val="M_B-QtyRecn1"/>
      <sheetName val="FBT_Full"/>
      <sheetName val="Chart_of_Accounts"/>
      <sheetName val="consolidated_Budget"/>
      <sheetName val="Other_notes1"/>
      <sheetName val="M_B-QtyRecn2"/>
      <sheetName val="Sales_&amp;_Marketing_Dashboard1"/>
      <sheetName val="Trial_Balance1"/>
      <sheetName val="Input_schedule1"/>
      <sheetName val="TPM_Tot1"/>
      <sheetName val="Sept_'991"/>
      <sheetName val="FBT_Full1"/>
      <sheetName val="Chart_of_Accounts1"/>
      <sheetName val="consolidated_Budget1"/>
      <sheetName val="AP_RA99-063"/>
      <sheetName val="HV_RA99-063"/>
      <sheetName val="IN_RA99-063"/>
      <sheetName val="CH_RA99-063"/>
      <sheetName val="TH_RA99-063"/>
      <sheetName val="HZ_RA99-063"/>
      <sheetName val="Op_Plan_Sales3"/>
      <sheetName val="Other_notes2"/>
      <sheetName val="M_B-QtyRecn3"/>
      <sheetName val="IT_Only2"/>
      <sheetName val="Sales_&amp;_Marketing_Dashboard2"/>
      <sheetName val="Total_MG_2"/>
      <sheetName val="Trial_Balance2"/>
      <sheetName val="Input_schedule2"/>
      <sheetName val="TPM_Tot2"/>
      <sheetName val="Sept_'992"/>
      <sheetName val="FBT_Full2"/>
      <sheetName val="Chart_of_Accounts2"/>
      <sheetName val="consolidated_Budget2"/>
      <sheetName val="AP_RA99-064"/>
      <sheetName val="HV_RA99-064"/>
      <sheetName val="IN_RA99-064"/>
      <sheetName val="CH_RA99-064"/>
      <sheetName val="TH_RA99-064"/>
      <sheetName val="HZ_RA99-064"/>
      <sheetName val="Op_Plan_Sales4"/>
      <sheetName val="Other_notes3"/>
      <sheetName val="M_B-QtyRecn4"/>
      <sheetName val="IT_Only3"/>
      <sheetName val="Sales_&amp;_Marketing_Dashboard3"/>
      <sheetName val="Total_MG_3"/>
      <sheetName val="Trial_Balance3"/>
      <sheetName val="Input_schedule3"/>
      <sheetName val="TPM_Tot3"/>
      <sheetName val="Sept_'993"/>
      <sheetName val="FBT_Full3"/>
      <sheetName val="Chart_of_Accounts3"/>
      <sheetName val="consolidated_Budget3"/>
      <sheetName val="5Y_v2_14"/>
      <sheetName val="Price_Testing_-_Used_-_12"/>
      <sheetName val="Push_Diag_on_Premise"/>
      <sheetName val="CChannel_Attract_Input"/>
      <sheetName val="Cash_Flow_7"/>
      <sheetName val="Opening_Balance"/>
      <sheetName val="AP_RA99-065"/>
      <sheetName val="HV_RA99-065"/>
      <sheetName val="IN_RA99-065"/>
      <sheetName val="CH_RA99-065"/>
      <sheetName val="TH_RA99-065"/>
      <sheetName val="HZ_RA99-065"/>
      <sheetName val="Op_Plan_Sales5"/>
      <sheetName val="Other_notes4"/>
      <sheetName val="M_B-QtyRecn5"/>
      <sheetName val="IT_Only4"/>
      <sheetName val="Sales_&amp;_Marketing_Dashboard4"/>
      <sheetName val="Total_MG_4"/>
      <sheetName val="Trial_Balance4"/>
      <sheetName val="Input_schedule4"/>
      <sheetName val="TPM_Tot4"/>
      <sheetName val="Sept_'994"/>
      <sheetName val="FBT_Full4"/>
      <sheetName val="Chart_of_Accounts4"/>
      <sheetName val="consolidated_Budget4"/>
      <sheetName val="5Y_v2_141"/>
      <sheetName val="Price_Testing_-_Used_-_13"/>
      <sheetName val="Push_Diag_on_Premise1"/>
      <sheetName val="CChannel_Attract_Input1"/>
      <sheetName val="Cash_Flow_71"/>
      <sheetName val="Opening_Balance1"/>
      <sheetName val="AP_RA99-067"/>
      <sheetName val="HV_RA99-067"/>
      <sheetName val="IN_RA99-067"/>
      <sheetName val="CH_RA99-067"/>
      <sheetName val="TH_RA99-067"/>
      <sheetName val="HZ_RA99-067"/>
      <sheetName val="Op_Plan_Sales7"/>
      <sheetName val="Other_notes6"/>
      <sheetName val="M_B-QtyRecn7"/>
      <sheetName val="IT_Only6"/>
      <sheetName val="Sales_&amp;_Marketing_Dashboard6"/>
      <sheetName val="Total_MG_6"/>
      <sheetName val="Trial_Balance6"/>
      <sheetName val="Input_schedule6"/>
      <sheetName val="TPM_Tot6"/>
      <sheetName val="Sept_'996"/>
      <sheetName val="FBT_Full6"/>
      <sheetName val="Chart_of_Accounts6"/>
      <sheetName val="consolidated_Budget6"/>
      <sheetName val="5Y_v2_143"/>
      <sheetName val="Price_Testing_-_Used_-_15"/>
      <sheetName val="Push_Diag_on_Premise3"/>
      <sheetName val="CChannel_Attract_Input3"/>
      <sheetName val="Cash_Flow_73"/>
      <sheetName val="Opening_Balance3"/>
      <sheetName val="AP_RA99-066"/>
      <sheetName val="HV_RA99-066"/>
      <sheetName val="IN_RA99-066"/>
      <sheetName val="CH_RA99-066"/>
      <sheetName val="TH_RA99-066"/>
      <sheetName val="HZ_RA99-066"/>
      <sheetName val="Op_Plan_Sales6"/>
      <sheetName val="Other_notes5"/>
      <sheetName val="M_B-QtyRecn6"/>
      <sheetName val="IT_Only5"/>
      <sheetName val="Sales_&amp;_Marketing_Dashboard5"/>
      <sheetName val="Total_MG_5"/>
      <sheetName val="Trial_Balance5"/>
      <sheetName val="Input_schedule5"/>
      <sheetName val="TPM_Tot5"/>
      <sheetName val="Sept_'995"/>
      <sheetName val="FBT_Full5"/>
      <sheetName val="Chart_of_Accounts5"/>
      <sheetName val="consolidated_Budget5"/>
      <sheetName val="5Y_v2_142"/>
      <sheetName val="Price_Testing_-_Used_-_14"/>
      <sheetName val="Push_Diag_on_Premise2"/>
      <sheetName val="CChannel_Attract_Input2"/>
      <sheetName val="Cash_Flow_72"/>
      <sheetName val="Opening_Balance2"/>
      <sheetName val="AP_RA99-068"/>
      <sheetName val="HV_RA99-068"/>
      <sheetName val="IN_RA99-068"/>
      <sheetName val="CH_RA99-068"/>
      <sheetName val="TH_RA99-068"/>
      <sheetName val="HZ_RA99-068"/>
      <sheetName val="Op_Plan_Sales8"/>
      <sheetName val="Other_notes7"/>
      <sheetName val="M_B-QtyRecn8"/>
      <sheetName val="IT_Only7"/>
      <sheetName val="Sales_&amp;_Marketing_Dashboard7"/>
      <sheetName val="Total_MG_7"/>
      <sheetName val="Trial_Balance7"/>
      <sheetName val="Input_schedule7"/>
      <sheetName val="TPM_Tot7"/>
      <sheetName val="Sept_'997"/>
      <sheetName val="FBT_Full7"/>
      <sheetName val="Chart_of_Accounts7"/>
      <sheetName val="consolidated_Budget7"/>
      <sheetName val="5Y_v2_144"/>
      <sheetName val="Price_Testing_-_Used_-_16"/>
      <sheetName val="Push_Diag_on_Premise4"/>
      <sheetName val="CChannel_Attract_Input4"/>
      <sheetName val="Cash_Flow_74"/>
      <sheetName val="Opening_Balance4"/>
      <sheetName val="AP_RA99-069"/>
      <sheetName val="HV_RA99-069"/>
      <sheetName val="IN_RA99-069"/>
      <sheetName val="CH_RA99-069"/>
      <sheetName val="TH_RA99-069"/>
      <sheetName val="HZ_RA99-069"/>
      <sheetName val="Op_Plan_Sales9"/>
      <sheetName val="Other_notes8"/>
      <sheetName val="M_B-QtyRecn9"/>
      <sheetName val="IT_Only8"/>
      <sheetName val="Sales_&amp;_Marketing_Dashboard8"/>
      <sheetName val="Total_MG_8"/>
      <sheetName val="Trial_Balance8"/>
      <sheetName val="Input_schedule8"/>
      <sheetName val="TPM_Tot8"/>
      <sheetName val="Sept_'998"/>
      <sheetName val="FBT_Full8"/>
      <sheetName val="Chart_of_Accounts8"/>
      <sheetName val="consolidated_Budget8"/>
      <sheetName val="5Y_v2_145"/>
      <sheetName val="Price_Testing_-_Used_-_17"/>
      <sheetName val="Push_Diag_on_Premise5"/>
      <sheetName val="CChannel_Attract_Input5"/>
      <sheetName val="Cash_Flow_75"/>
      <sheetName val="Opening_Balance5"/>
      <sheetName val="AP_RA99-0610"/>
      <sheetName val="HV_RA99-0610"/>
      <sheetName val="IN_RA99-0610"/>
      <sheetName val="CH_RA99-0610"/>
      <sheetName val="TH_RA99-0610"/>
      <sheetName val="HZ_RA99-0610"/>
      <sheetName val="Op_Plan_Sales10"/>
      <sheetName val="Other_notes9"/>
      <sheetName val="M_B-QtyRecn10"/>
      <sheetName val="IT_Only9"/>
      <sheetName val="Sales_&amp;_Marketing_Dashboard9"/>
      <sheetName val="Total_MG_9"/>
      <sheetName val="Trial_Balance9"/>
      <sheetName val="Input_schedule9"/>
      <sheetName val="TPM_Tot9"/>
      <sheetName val="Sept_'999"/>
      <sheetName val="FBT_Full9"/>
      <sheetName val="Chart_of_Accounts9"/>
      <sheetName val="consolidated_Budget9"/>
      <sheetName val="5Y_v2_146"/>
      <sheetName val="Price_Testing_-_Used_-_18"/>
      <sheetName val="Push_Diag_on_Premise6"/>
      <sheetName val="CChannel_Attract_Input6"/>
      <sheetName val="Cash_Flow_76"/>
      <sheetName val="Opening_Balance6"/>
      <sheetName val="Rev"/>
      <sheetName val="working"/>
      <sheetName val="riola don't know 9-26-99"/>
      <sheetName val="Spiltrates-Latest"/>
      <sheetName val="AP_RA99-0611"/>
      <sheetName val="HV_RA99-0611"/>
      <sheetName val="IN_RA99-0611"/>
      <sheetName val="CH_RA99-0611"/>
      <sheetName val="TH_RA99-0611"/>
      <sheetName val="HZ_RA99-0611"/>
      <sheetName val="Op_Plan_Sales11"/>
      <sheetName val="Other_notes10"/>
      <sheetName val="M_B-QtyRecn11"/>
      <sheetName val="IT_Only10"/>
      <sheetName val="Sales_&amp;_Marketing_Dashboard10"/>
      <sheetName val="Total_MG_10"/>
      <sheetName val="Trial_Balance10"/>
      <sheetName val="Input_schedule10"/>
      <sheetName val="TPM_Tot10"/>
      <sheetName val="Sept_'9910"/>
      <sheetName val="FBT_Full10"/>
      <sheetName val="Chart_of_Accounts10"/>
      <sheetName val="consolidated_Budget10"/>
      <sheetName val="5Y_v2_147"/>
      <sheetName val="Price_Testing_-_Used_-_19"/>
      <sheetName val="Push_Diag_on_Premise7"/>
      <sheetName val="CChannel_Attract_Input7"/>
      <sheetName val="Cash_Flow_77"/>
      <sheetName val="Opening_Balance7"/>
      <sheetName val="List_ratios"/>
      <sheetName val="Assum"/>
      <sheetName val="VARFCST"/>
      <sheetName val="MPCP9899"/>
      <sheetName val="B0_111350"/>
      <sheetName val="A"/>
      <sheetName val="IT_FBT_DDTP"/>
      <sheetName val="NLD - Assum"/>
      <sheetName val="AP_RA99-0612"/>
      <sheetName val="HV_RA99-0612"/>
      <sheetName val="IN_RA99-0612"/>
      <sheetName val="CH_RA99-0612"/>
      <sheetName val="TH_RA99-0612"/>
      <sheetName val="HZ_RA99-0612"/>
      <sheetName val="Op_Plan_Sales12"/>
      <sheetName val="Other_notes11"/>
      <sheetName val="M_B-QtyRecn12"/>
      <sheetName val="IT_Only11"/>
      <sheetName val="Sales_&amp;_Marketing_Dashboard11"/>
      <sheetName val="Total_MG_11"/>
      <sheetName val="Trial_Balance11"/>
      <sheetName val="Input_schedule11"/>
      <sheetName val="TPM_Tot11"/>
      <sheetName val="Sept_'9911"/>
      <sheetName val="FBT_Full11"/>
      <sheetName val="Chart_of_Accounts11"/>
      <sheetName val="consolidated_Budget11"/>
      <sheetName val="5Y_v2_148"/>
      <sheetName val="Price_Testing_-_Used_-_110"/>
      <sheetName val="Push_Diag_on_Premise8"/>
      <sheetName val="CChannel_Attract_Input8"/>
      <sheetName val="Cash_Flow_78"/>
      <sheetName val="Opening_Balance8"/>
      <sheetName val="Input Screen"/>
      <sheetName val="TB Round"/>
      <sheetName val="Sales &amp;Sale Cost"/>
      <sheetName val="Travel Expense Report(1week)"/>
      <sheetName val="Grouping TB"/>
      <sheetName val="LPERDAS"/>
      <sheetName val="Reports List"/>
      <sheetName val="Setup Variables"/>
      <sheetName val="Aseet1998"/>
      <sheetName val="Ipotesi"/>
      <sheetName val="MR08' Cost Manag"/>
      <sheetName val="Wavg RM"/>
      <sheetName val="COV"/>
      <sheetName val="98ordbkg"/>
      <sheetName val="Financials"/>
      <sheetName val="2003"/>
      <sheetName val="exp-m"/>
      <sheetName val="Notes"/>
      <sheetName val="Cash Flows"/>
      <sheetName val="Val &amp; Multp"/>
      <sheetName val="Options"/>
      <sheetName val="Heating Div"/>
      <sheetName val="All other Div's"/>
      <sheetName val="CoCapital"/>
      <sheetName val="EPS"/>
      <sheetName val="Mult"/>
      <sheetName val="Synergies"/>
      <sheetName val="Mkt Mult"/>
      <sheetName val="Trans Mult"/>
      <sheetName val="Module1"/>
      <sheetName val=".2 Reserve"/>
      <sheetName val="Maint Def Rev 03-04"/>
      <sheetName val="New-Growth Def Rev 03-04"/>
      <sheetName val="Perpetual Def Rev 03-04"/>
      <sheetName val="Renewal Def Rev 03-04"/>
      <sheetName val="Excess Calc"/>
      <sheetName val="SCH-A"/>
      <sheetName val="Balance Sheet "/>
      <sheetName val="P&amp;L Summary Page"/>
      <sheetName val="12-19-00"/>
      <sheetName val="Axis Bank Cheques"/>
      <sheetName val="Payslip"/>
      <sheetName val="RESULTS-BLR-BB"/>
      <sheetName val="TARGET"/>
      <sheetName val="Master Sheet"/>
      <sheetName val="12.04.09"/>
      <sheetName val="Debtors Ageing"/>
      <sheetName val="PLAN-BLR-BB"/>
      <sheetName val="RESULTS-REALTY"/>
      <sheetName val="SME"/>
      <sheetName val="M.G.P-2010"/>
      <sheetName val="Listings 96-02"/>
      <sheetName val="Rec"/>
      <sheetName val="Results"/>
      <sheetName val="mdd &amp; co Fdr jan.02 "/>
      <sheetName val="Project Resource Details"/>
      <sheetName val="Assets"/>
      <sheetName val="AR JAN'02"/>
      <sheetName val="1 - A (Narrative)"/>
      <sheetName val="Locked cell"/>
      <sheetName val="Power"/>
      <sheetName val="sent to HO"/>
      <sheetName val="P&amp;L February"/>
      <sheetName val="P&amp;L Feb 2001 cumulative"/>
      <sheetName val="COLUMN"/>
      <sheetName val="PARTY DETAILS"/>
      <sheetName val="SAP - Rightpak"/>
      <sheetName val="ENCL6"/>
      <sheetName val="PREFACE"/>
      <sheetName val="QTY. PROV.LAB"/>
      <sheetName val="TAXPRO"/>
      <sheetName val="PopCache"/>
      <sheetName val="LCGRAPH"/>
      <sheetName val="PV"/>
      <sheetName val="1.2 HDFC Collection"/>
      <sheetName val="PopCache_Sheet1"/>
      <sheetName val="Fx Rates"/>
      <sheetName val="AS21SchE - 9M0708"/>
      <sheetName val="Consolidation _Rs"/>
      <sheetName val="Lookups"/>
      <sheetName val="Res_Area"/>
      <sheetName val="Power Cost sheet"/>
      <sheetName val="Steam Cost Sheet"/>
      <sheetName val="Query Results ALL"/>
      <sheetName val="May_09"/>
      <sheetName val="3_Yr_Revenue_Analysis(old)"/>
      <sheetName val="Amortization_Table"/>
      <sheetName val="New_form_3CD_A"/>
      <sheetName val="riola_don't_know_9-26-99"/>
      <sheetName val="_2_Reserve"/>
      <sheetName val="Listings_96-02"/>
      <sheetName val="All_Data"/>
      <sheetName val="P_L"/>
      <sheetName val="mdd_&amp;_co_Fdr_jan_02_"/>
      <sheetName val="Project_Resource_Details"/>
      <sheetName val="Balance_Sheet_"/>
      <sheetName val="P&amp;L_Summary_Page"/>
      <sheetName val="Axis_Bank_Cheques"/>
      <sheetName val="Master_Sheet"/>
      <sheetName val="12_04_09"/>
      <sheetName val="Debtors_Ageing"/>
      <sheetName val="Excess_Calc"/>
      <sheetName val="M_G_P-2010"/>
      <sheetName val="SAP_-_Rightpak"/>
      <sheetName val="Cash_Flows"/>
      <sheetName val="Val_&amp;_Multp"/>
      <sheetName val="Heating_Div"/>
      <sheetName val="All_other_Div's"/>
      <sheetName val="Mkt_Mult"/>
      <sheetName val="Trans_Mult"/>
      <sheetName val="Maint_Def_Rev_03-04"/>
      <sheetName val="New-Growth_Def_Rev_03-04"/>
      <sheetName val="Perpetual_Def_Rev_03-04"/>
      <sheetName val="Renewal_Def_Rev_03-04"/>
      <sheetName val="1_-_A_(Narrative)"/>
      <sheetName val="Resources"/>
      <sheetName val="Base Data"/>
      <sheetName val="экспорт"/>
      <sheetName val="Please do not USE or DELETE"/>
      <sheetName val="501frgmar"/>
      <sheetName val="Links"/>
      <sheetName val="Validation"/>
      <sheetName val="mar rep rev"/>
      <sheetName val="TB-HK"/>
      <sheetName val="Presentation"/>
      <sheetName val="Detail"/>
      <sheetName val="CLP_Value_Driver (14) Dec Old"/>
      <sheetName val="Year 2003-04 Plan"/>
      <sheetName val="Lic Rev Account Lookup Table"/>
      <sheetName val="Setup"/>
      <sheetName val="BS-203"/>
      <sheetName val="Cheops BS"/>
      <sheetName val="BSPL"/>
      <sheetName val="RUPEE"/>
      <sheetName val="RF2004_vs_OB2004"/>
      <sheetName val="Region"/>
      <sheetName val="ValuationInput"/>
      <sheetName val="DebtInput"/>
      <sheetName val="Storage"/>
      <sheetName val="Valuation"/>
      <sheetName val="STAFFSCHED "/>
      <sheetName val="Tools Rev"/>
      <sheetName val="Rayala"/>
      <sheetName val="Inflation"/>
      <sheetName val="deb"/>
      <sheetName val="AnnexIII"/>
      <sheetName val="sept-plan"/>
      <sheetName val="Inputs"/>
      <sheetName val="_2_Reserve1"/>
      <sheetName val="Maint_Def_Rev_03-041"/>
      <sheetName val="New-Growth_Def_Rev_03-041"/>
      <sheetName val="Perpetual_Def_Rev_03-041"/>
      <sheetName val="Renewal_Def_Rev_03-041"/>
      <sheetName val="New_form_3CD_A1"/>
      <sheetName val="Asset_Data"/>
      <sheetName val="Base Info"/>
      <sheetName val="RCC,Ret. Wall"/>
      <sheetName val="Détails plans d'actions"/>
      <sheetName val="AP_RA99-0613"/>
      <sheetName val="HV_RA99-0613"/>
      <sheetName val="IN_RA99-0613"/>
      <sheetName val="CH_RA99-0613"/>
      <sheetName val="TH_RA99-0613"/>
      <sheetName val="HZ_RA99-0613"/>
      <sheetName val="Op_Plan_Sales13"/>
      <sheetName val="Other_notes12"/>
      <sheetName val="M_B-QtyRecn13"/>
      <sheetName val="IT_Only12"/>
      <sheetName val="Sales_&amp;_Marketing_Dashboard12"/>
      <sheetName val="Total_MG_12"/>
      <sheetName val="Trial_Balance12"/>
      <sheetName val="Input_schedule12"/>
      <sheetName val="TPM_Tot12"/>
      <sheetName val="Sept_'9912"/>
      <sheetName val="FBT_Full12"/>
      <sheetName val="Chart_of_Accounts12"/>
      <sheetName val="consolidated_Budget12"/>
      <sheetName val="5Y_v2_149"/>
      <sheetName val="Price_Testing_-_Used_-_111"/>
      <sheetName val="Push_Diag_on_Premise9"/>
      <sheetName val="CChannel_Attract_Input9"/>
      <sheetName val="Cash_Flow_79"/>
      <sheetName val="Opening_Balance9"/>
      <sheetName val="FINAL_SHEET"/>
      <sheetName val="BKCSTOCKVAL"/>
      <sheetName val="MAHSTOCKVAL"/>
      <sheetName val="目录"/>
      <sheetName val="Debraj Sinha"/>
      <sheetName val="Parameter"/>
      <sheetName val="Resource Type"/>
      <sheetName val="LAMINATION-NORDMECCANICA"/>
      <sheetName val="Info on Rupee Cost"/>
      <sheetName val="Revenue"/>
      <sheetName val="Tables"/>
      <sheetName val="OpTrack"/>
      <sheetName val="PropertyPreop-Budget"/>
      <sheetName val="stat C (2)"/>
      <sheetName val="Bal Sheet"/>
      <sheetName val="Lead"/>
      <sheetName val="AR_PL"/>
      <sheetName val="May_091"/>
      <sheetName val="3_Yr_Revenue_Analysis(old)1"/>
      <sheetName val="Amortization_Table1"/>
      <sheetName val="riola_don't_know_9-26-991"/>
      <sheetName val="Listings_96-021"/>
      <sheetName val="All_Data1"/>
      <sheetName val="P_L1"/>
      <sheetName val="mdd_&amp;_co_Fdr_jan_02_1"/>
      <sheetName val="Project_Resource_Details1"/>
      <sheetName val="Balance_Sheet_1"/>
      <sheetName val="P&amp;L_Summary_Page1"/>
      <sheetName val="Axis_Bank_Cheques1"/>
      <sheetName val="Master_Sheet1"/>
      <sheetName val="12_04_091"/>
      <sheetName val="Debtors_Ageing1"/>
      <sheetName val="Excess_Calc1"/>
      <sheetName val="M_G_P-20101"/>
      <sheetName val="SAP_-_Rightpak1"/>
      <sheetName val="Cash_Flows1"/>
      <sheetName val="Val_&amp;_Multp1"/>
      <sheetName val="Heating_Div1"/>
      <sheetName val="All_other_Div's1"/>
      <sheetName val="Mkt_Mult1"/>
      <sheetName val="Trans_Mult1"/>
      <sheetName val="1_-_A_(Narrative)1"/>
      <sheetName val="May_092"/>
      <sheetName val="3_Yr_Revenue_Analysis(old)2"/>
      <sheetName val="Amortization_Table2"/>
      <sheetName val="New_form_3CD_A2"/>
      <sheetName val="riola_don't_know_9-26-992"/>
      <sheetName val="_2_Reserve2"/>
      <sheetName val="Listings_96-022"/>
      <sheetName val="All_Data2"/>
      <sheetName val="P_L2"/>
      <sheetName val="mdd_&amp;_co_Fdr_jan_02_2"/>
      <sheetName val="Project_Resource_Details2"/>
      <sheetName val="Balance_Sheet_2"/>
      <sheetName val="P&amp;L_Summary_Page2"/>
      <sheetName val="Axis_Bank_Cheques2"/>
      <sheetName val="Master_Sheet2"/>
      <sheetName val="12_04_092"/>
      <sheetName val="Debtors_Ageing2"/>
      <sheetName val="Excess_Calc2"/>
      <sheetName val="M_G_P-20102"/>
      <sheetName val="SAP_-_Rightpak2"/>
      <sheetName val="Cash_Flows2"/>
      <sheetName val="Val_&amp;_Multp2"/>
      <sheetName val="Heating_Div2"/>
      <sheetName val="All_other_Div's2"/>
      <sheetName val="Mkt_Mult2"/>
      <sheetName val="Trans_Mult2"/>
      <sheetName val="Maint_Def_Rev_03-042"/>
      <sheetName val="New-Growth_Def_Rev_03-042"/>
      <sheetName val="Perpetual_Def_Rev_03-042"/>
      <sheetName val="Renewal_Def_Rev_03-042"/>
      <sheetName val="1_-_A_(Narrative)2"/>
      <sheetName val="P&amp;L_February"/>
      <sheetName val="P&amp;L_Feb_2001_cumulative"/>
      <sheetName val="AR_JAN'02"/>
      <sheetName val="NLD_-_Assum"/>
      <sheetName val="Locked_cell"/>
      <sheetName val="PARTY_DETAILS"/>
      <sheetName val="Base_Data"/>
      <sheetName val="FinMajestic"/>
      <sheetName val="PTRANGE"/>
      <sheetName val="Mktg"/>
      <sheetName val="Project Info"/>
      <sheetName val="#REF"/>
      <sheetName val="Model"/>
      <sheetName val="C-21(b)"/>
      <sheetName val="Dim_New"/>
      <sheetName val="PBCLIST"/>
      <sheetName val="AP_RA99-0614"/>
      <sheetName val="HV_RA99-0614"/>
      <sheetName val="IN_RA99-0614"/>
      <sheetName val="CH_RA99-0614"/>
      <sheetName val="TH_RA99-0614"/>
      <sheetName val="HZ_RA99-0614"/>
      <sheetName val="Trial_Balance13"/>
      <sheetName val="Total_MG_13"/>
      <sheetName val="Op_Plan_Sales14"/>
      <sheetName val="IT_Only13"/>
      <sheetName val="May_093"/>
      <sheetName val="Price_Testing_-_Used_-_112"/>
      <sheetName val="M_B-QtyRecn14"/>
      <sheetName val="Input_schedule13"/>
      <sheetName val="Sales_&amp;_Marketing_Dashboard13"/>
      <sheetName val="TPM_Tot13"/>
      <sheetName val="Sept_'9913"/>
      <sheetName val="Chart_of_Accounts13"/>
      <sheetName val="Opening_Balance10"/>
      <sheetName val="3_Yr_Revenue_Analysis(old)3"/>
      <sheetName val="Cash_Flow_710"/>
      <sheetName val="FBT_Full13"/>
      <sheetName val="Other_notes13"/>
      <sheetName val="consolidated_Budget13"/>
      <sheetName val="Push_Diag_on_Premise10"/>
      <sheetName val="CChannel_Attract_Input10"/>
      <sheetName val="Amortization_Table3"/>
      <sheetName val="New_form_3CD_A3"/>
      <sheetName val="riola_don't_know_9-26-993"/>
      <sheetName val="_2_Reserve3"/>
      <sheetName val="Listings_96-023"/>
      <sheetName val="5Y_v2_1410"/>
      <sheetName val="All_Data3"/>
      <sheetName val="P_L3"/>
      <sheetName val="mdd_&amp;_co_Fdr_jan_02_3"/>
      <sheetName val="Project_Resource_Details3"/>
      <sheetName val="Balance_Sheet_3"/>
      <sheetName val="P&amp;L_Summary_Page3"/>
      <sheetName val="Axis_Bank_Cheques3"/>
      <sheetName val="Master_Sheet3"/>
      <sheetName val="12_04_093"/>
      <sheetName val="Debtors_Ageing3"/>
      <sheetName val="Excess_Calc3"/>
      <sheetName val="M_G_P-20103"/>
      <sheetName val="SAP_-_Rightpak3"/>
      <sheetName val="Cash_Flows3"/>
      <sheetName val="Val_&amp;_Multp3"/>
      <sheetName val="Heating_Div3"/>
      <sheetName val="All_other_Div's3"/>
      <sheetName val="Mkt_Mult3"/>
      <sheetName val="Trans_Mult3"/>
      <sheetName val="Maint_Def_Rev_03-043"/>
      <sheetName val="New-Growth_Def_Rev_03-043"/>
      <sheetName val="Perpetual_Def_Rev_03-043"/>
      <sheetName val="Renewal_Def_Rev_03-043"/>
      <sheetName val="1_-_A_(Narrative)3"/>
      <sheetName val="P&amp;L_February1"/>
      <sheetName val="P&amp;L_Feb_2001_cumulative1"/>
      <sheetName val="AR_JAN'021"/>
      <sheetName val="NLD_-_Assum1"/>
      <sheetName val="Locked_cell1"/>
      <sheetName val="PARTY_DETAILS1"/>
      <sheetName val="FINAL_SHEET1"/>
      <sheetName val="Base_Data1"/>
      <sheetName val="Transaction Inputs"/>
      <sheetName val="Q1_Bookings_-_Pers_-_Attainment"/>
      <sheetName val="Q1 Bookings - Pers - Attainment"/>
      <sheetName val="XLR_NoRangeSheet"/>
      <sheetName val="DATABASE"/>
      <sheetName val="UK"/>
      <sheetName val="Transaction_Inputs"/>
      <sheetName val="Verification "/>
      <sheetName val="F.Assets"/>
      <sheetName val="F_Assets"/>
      <sheetName val="15"/>
      <sheetName val="Cash Flow-WSL Base Fcst"/>
      <sheetName val="MB51"/>
      <sheetName val="Intro"/>
      <sheetName val="Staff"/>
      <sheetName val="CF SALE.W.OFF 01-02"/>
      <sheetName val="stock data"/>
      <sheetName val="Turnover"/>
      <sheetName val="Sheet2"/>
      <sheetName val="P&amp;L"/>
      <sheetName val="SCH-A,B,C"/>
      <sheetName val="FORM-16"/>
      <sheetName val="11400&amp;11405-done"/>
      <sheetName val="Non-Statistical Sampling Master"/>
      <sheetName val="Two Step Revenue Testing Master"/>
      <sheetName val="Global Data"/>
      <sheetName val="Employees"/>
      <sheetName val="AP_RA99-0615"/>
      <sheetName val="HV_RA99-0615"/>
      <sheetName val="IN_RA99-0615"/>
      <sheetName val="CH_RA99-0615"/>
      <sheetName val="TH_RA99-0615"/>
      <sheetName val="HZ_RA99-0615"/>
      <sheetName val="Trial_Balance14"/>
      <sheetName val="Total_MG_14"/>
      <sheetName val="Op_Plan_Sales15"/>
      <sheetName val="IT_Only14"/>
      <sheetName val="May_094"/>
      <sheetName val="Price_Testing_-_Used_-_113"/>
      <sheetName val="M_B-QtyRecn15"/>
      <sheetName val="Input_schedule14"/>
      <sheetName val="Sales_&amp;_Marketing_Dashboard14"/>
      <sheetName val="TPM_Tot14"/>
      <sheetName val="Sept_'9914"/>
      <sheetName val="Chart_of_Accounts14"/>
      <sheetName val="Opening_Balance11"/>
      <sheetName val="3_Yr_Revenue_Analysis(old)4"/>
      <sheetName val="Cash_Flow_711"/>
      <sheetName val="FBT_Full14"/>
      <sheetName val="Other_notes14"/>
      <sheetName val="consolidated_Budget14"/>
      <sheetName val="Push_Diag_on_Premise11"/>
      <sheetName val="CChannel_Attract_Input11"/>
      <sheetName val="Amortization_Table4"/>
      <sheetName val="New_form_3CD_A4"/>
      <sheetName val="riola_don't_know_9-26-994"/>
      <sheetName val="_2_Reserve4"/>
      <sheetName val="Listings_96-024"/>
      <sheetName val="5Y_v2_1411"/>
      <sheetName val="All_Data4"/>
      <sheetName val="P_L4"/>
      <sheetName val="mdd_&amp;_co_Fdr_jan_02_4"/>
      <sheetName val="Project_Resource_Details4"/>
      <sheetName val="Balance_Sheet_4"/>
      <sheetName val="P&amp;L_Summary_Page4"/>
      <sheetName val="Axis_Bank_Cheques4"/>
      <sheetName val="Master_Sheet4"/>
      <sheetName val="12_04_094"/>
      <sheetName val="Debtors_Ageing4"/>
      <sheetName val="Excess_Calc4"/>
      <sheetName val="M_G_P-20104"/>
      <sheetName val="SAP_-_Rightpak4"/>
      <sheetName val="Cash_Flows4"/>
      <sheetName val="Val_&amp;_Multp4"/>
      <sheetName val="Heating_Div4"/>
      <sheetName val="All_other_Div's4"/>
      <sheetName val="Mkt_Mult4"/>
      <sheetName val="Trans_Mult4"/>
      <sheetName val="Maint_Def_Rev_03-044"/>
      <sheetName val="New-Growth_Def_Rev_03-044"/>
      <sheetName val="Perpetual_Def_Rev_03-044"/>
      <sheetName val="Renewal_Def_Rev_03-044"/>
      <sheetName val="1_-_A_(Narrative)4"/>
      <sheetName val="P&amp;L_February2"/>
      <sheetName val="P&amp;L_Feb_2001_cumulative2"/>
      <sheetName val="AR_JAN'022"/>
      <sheetName val="NLD_-_Assum2"/>
      <sheetName val="Locked_cell2"/>
      <sheetName val="PARTY_DETAILS2"/>
      <sheetName val="FINAL_SHEET2"/>
      <sheetName val="Base_Data2"/>
      <sheetName val="PL"/>
      <sheetName val="Sch-PL"/>
      <sheetName val="Sch-FA"/>
      <sheetName val="hmax_2"/>
      <sheetName val="Occ, Other Rev, Exp, Dispo"/>
      <sheetName val="P1 RM"/>
      <sheetName val="5-F-PAR"/>
      <sheetName val="LEGAL GUJ"/>
      <sheetName val="MORE-MAR'2002"/>
      <sheetName val="SCHE-MARCH'2002"/>
      <sheetName val="concrete"/>
      <sheetName val="WO-List"/>
      <sheetName val="K-Summary"/>
      <sheetName val="BST"/>
      <sheetName val="U1.6"/>
      <sheetName val="E"/>
      <sheetName val="MR08'_Cost_Manag"/>
      <sheetName val="Wavg_RM"/>
      <sheetName val="Travel_Expense_Report(1week)"/>
      <sheetName val="mar_rep_rev"/>
      <sheetName val="CF_SALE_W_OFF_01-02"/>
      <sheetName val="stock_data"/>
      <sheetName val="Reference"/>
      <sheetName val="Balancesheet"/>
      <sheetName val="61750000 Consultancy Charges"/>
      <sheetName val="YTD"/>
      <sheetName val="Labour &amp; Plant"/>
      <sheetName val="Annexure B"/>
      <sheetName val="CAPEX'00"/>
      <sheetName val="SALES-BD"/>
      <sheetName val="LINK GAP"/>
      <sheetName val="Sheet"/>
      <sheetName val="Reclass BS 11"/>
      <sheetName val="Reclass PL 11"/>
      <sheetName val="CABLE DATA"/>
      <sheetName val="Register"/>
      <sheetName val="Rising Main"/>
      <sheetName val="RECAPITULATION"/>
      <sheetName val="Civil Boq"/>
      <sheetName val="ORIGINAL"/>
      <sheetName val="cost centers"/>
      <sheetName val="Clause16(b) PF"/>
      <sheetName val="comet cur act"/>
      <sheetName val="Output"/>
      <sheetName val="recast tb - mar'11"/>
      <sheetName val="ALL"/>
      <sheetName val="telephone deposits written off"/>
    </sheetNames>
    <sheetDataSet>
      <sheetData sheetId="0" refreshError="1"/>
      <sheetData sheetId="1" refreshError="1"/>
      <sheetData sheetId="2" refreshError="1"/>
      <sheetData sheetId="3" refreshError="1"/>
      <sheetData sheetId="4" refreshError="1">
        <row r="10">
          <cell r="D10">
            <v>8.3000000000000007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Bs"/>
      <sheetName val="p&amp;l"/>
      <sheetName val="SCH-BS"/>
      <sheetName val="SCH-PL"/>
      <sheetName val="sch2"/>
      <sheetName val="sch5"/>
      <sheetName val="sch6"/>
      <sheetName val="Grp-BS"/>
      <sheetName val="Grp-PL"/>
      <sheetName val="Trial"/>
      <sheetName val="Cash Flow"/>
      <sheetName val="Working FY 05"/>
      <sheetName val="sch19"/>
      <sheetName val="segmental"/>
      <sheetName val="Cashflow (2)"/>
      <sheetName val="Cash-WKI"/>
    </sheetNames>
    <sheetDataSet>
      <sheetData sheetId="0" refreshError="1">
        <row r="2">
          <cell r="N2">
            <v>2</v>
          </cell>
        </row>
        <row r="6">
          <cell r="M6">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P"/>
      <sheetName val="Summary-CF(A&amp;Q)"/>
      <sheetName val="Summary-CF(M)"/>
      <sheetName val="Rent Roll"/>
      <sheetName val="Leasing Assumptions"/>
      <sheetName val="Rev Projection"/>
      <sheetName val="Floating Rent Assumption"/>
      <sheetName val="Occ, Other Rev, Exp, Dispo"/>
      <sheetName val="Rev Proj Cal"/>
      <sheetName val="Rev % Rent (Cal) (C)"/>
      <sheetName val="Rev % Rent (Cal) (M)"/>
      <sheetName val="Rev % Rent (Cal)"/>
      <sheetName val="Occ Cal"/>
      <sheetName val="Parking Occ Cal"/>
      <sheetName val="SD"/>
      <sheetName val="Leasing Commission"/>
      <sheetName val="NewLeaseStatus (Cal)"/>
      <sheetName val="NewLeaseStatus (Cal) (2)"/>
      <sheetName val="Rent (Cal)"/>
      <sheetName val="CAM (Cal)"/>
      <sheetName val="Parking (Cal)"/>
      <sheetName val="MK_Parking"/>
      <sheetName val="MK_CAM"/>
      <sheetName val="MK_Rent"/>
      <sheetName val="Rev"/>
      <sheetName val="A-General"/>
      <sheetName val="STOCKS"/>
      <sheetName val="CUMAA"/>
      <sheetName val="Occ_ Other Rev_ Exp_ Dispo"/>
      <sheetName val="目录"/>
      <sheetName val="DESTROY"/>
      <sheetName val="MAIN"/>
      <sheetName val="Sens"/>
      <sheetName val="Rev sum"/>
      <sheetName val="Query Results ALL"/>
      <sheetName val="Main Sheet"/>
      <sheetName val="Dels"/>
      <sheetName val="Sheet1"/>
      <sheetName val="Retail_Model"/>
      <sheetName val="Op Model"/>
      <sheetName val="Fx Rates"/>
      <sheetName val="RMC"/>
    </sheetNames>
    <sheetDataSet>
      <sheetData sheetId="0"/>
      <sheetData sheetId="1"/>
      <sheetData sheetId="2"/>
      <sheetData sheetId="3"/>
      <sheetData sheetId="4"/>
      <sheetData sheetId="5"/>
      <sheetData sheetId="6"/>
      <sheetData sheetId="7" refreshError="1">
        <row r="83">
          <cell r="E83">
            <v>6479447272.727273</v>
          </cell>
        </row>
        <row r="85">
          <cell r="E85">
            <v>8699923082.261364</v>
          </cell>
        </row>
      </sheetData>
      <sheetData sheetId="8">
        <row r="83">
          <cell r="E83">
            <v>6479447272.727273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BS-One pager"/>
      <sheetName val="BS"/>
      <sheetName val="MONTHLY SUMMARY"/>
      <sheetName val="Print Page No 3 to 22 Notes "/>
      <sheetName val="Pivot"/>
      <sheetName val="PL"/>
      <sheetName val="TB"/>
      <sheetName val="Cash Flow"/>
      <sheetName val="CF Matrix"/>
      <sheetName val="Cash flow - Feb"/>
      <sheetName val="Fixed Asset Schedule"/>
      <sheetName val="Grouping"/>
      <sheetName val="TB-June-15"/>
      <sheetName val="Sheet1"/>
      <sheetName val="Master"/>
      <sheetName val="Entry"/>
      <sheetName val="P&amp;L Impact"/>
      <sheetName val="BS Impact"/>
      <sheetName val="trade rec"/>
    </sheetNames>
    <sheetDataSet>
      <sheetData sheetId="0">
        <row r="2">
          <cell r="B2">
            <v>10000000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D BS"/>
      <sheetName val="BOD PL"/>
      <sheetName val="B S"/>
      <sheetName val="P L"/>
      <sheetName val="DTPL"/>
      <sheetName val="PAP"/>
      <sheetName val="Critical"/>
      <sheetName val="Seg. report"/>
      <sheetName val="SPR"/>
      <sheetName val="Yield-COB"/>
      <sheetName val="Yield-backup"/>
      <sheetName val="Yield-COB sum"/>
      <sheetName val="Presentation"/>
      <sheetName val="Cashflow"/>
      <sheetName val="Keyratios"/>
      <sheetName val="Bal"/>
      <sheetName val="prof"/>
      <sheetName val="Interest"/>
      <sheetName val="Borrowing"/>
      <sheetName val="Facility"/>
      <sheetName val="deb"/>
      <sheetName val="NFF"/>
      <sheetName val="Tax"/>
      <sheetName val="Cntrl Sheet"/>
      <sheetName val="PL1"/>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Sheet"/>
      <sheetName val="P &amp; L"/>
      <sheetName val="Schdule form-I"/>
      <sheetName val="Sheet1"/>
      <sheetName val="Sheet2"/>
      <sheetName val="Schduel form-II"/>
      <sheetName val="Schduel form-I (2)"/>
      <sheetName val="grpng"/>
      <sheetName val="Abstract"/>
      <sheetName val="Net"/>
      <sheetName val="Sheet1 (2)"/>
      <sheetName val="Sheet3"/>
      <sheetName val="FA"/>
      <sheetName val="Inv"/>
      <sheetName val="Ingrouping"/>
      <sheetName val="Schduel form-I (3)"/>
      <sheetName val="JVSFROMUSLTOUTV"/>
      <sheetName val="JVSFROMUTVTOUSL"/>
      <sheetName val="jvs160104"/>
      <sheetName val="JVs"/>
      <sheetName val="jv"/>
      <sheetName val="inv (2)"/>
      <sheetName val="contb"/>
      <sheetName val="prov jvs-utv (2)"/>
      <sheetName val="woa_op_bal "/>
      <sheetName val="BalancesheetGrouping"/>
      <sheetName val="Expensesgrouping"/>
      <sheetName val="Corp ohs"/>
      <sheetName val="Sheet4"/>
      <sheetName val="final Combine"/>
      <sheetName val="Depriciation"/>
      <sheetName val="woa_op_bal"/>
      <sheetName val="Expenses"/>
      <sheetName val="P&amp;M"/>
      <sheetName val="Mumbai"/>
      <sheetName val="B_Sheet"/>
      <sheetName val="P_&amp;_L"/>
      <sheetName val="Schdule_form-I"/>
      <sheetName val="Schduel_form-II"/>
      <sheetName val="Schduel_form-I_(2)"/>
      <sheetName val="Sheet1_(2)"/>
      <sheetName val="Schduel_form-I_(3)"/>
      <sheetName val="inv_(2)"/>
      <sheetName val="prov_jvs-utv_(2)"/>
      <sheetName val="woa_op_bal_"/>
      <sheetName val="Corp_ohs"/>
      <sheetName val="final_Combine"/>
      <sheetName val="Value"/>
      <sheetName val="Price Testing - Used - 1"/>
      <sheetName val="wwww"/>
      <sheetName val="UTV Balance Sheet Post Consolid"/>
      <sheetName val="C_flow 95"/>
      <sheetName val="ANX-D(16b)"/>
      <sheetName val="WDV(P&amp;M)31.03.99"/>
      <sheetName val="WDV(OE)31.03.99"/>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Tax (2)"/>
      <sheetName val="Assumptions - Sugar"/>
      <sheetName val="Assumptions-Fancy Sugar"/>
      <sheetName val="Cons-P&amp;L"/>
      <sheetName val="Financials"/>
      <sheetName val="Ratios"/>
      <sheetName val="WC Estimates"/>
      <sheetName val="Power&amp;Fuel"/>
      <sheetName val="Power&amp;Fuel (2)"/>
      <sheetName val="Depreciation"/>
      <sheetName val="debt schedule"/>
      <sheetName val="Tax"/>
      <sheetName val="Valuation"/>
      <sheetName val="Power_Fuel"/>
      <sheetName val="_x0000__x0000__x0000__x0002__x0000__x0000__x0000__x0000_䀘_x0000__x0000__x0000__x0000__x0001__x0000_"/>
      <sheetName val="_x0000__x0000__x0000__x0002__x0000__x0000__x0000__x0000_䀦_x0000__x0000__x0000__x0000__x0001__x0000__x0000__x0000_㵈ˑ㵰㿪_x0000_"/>
      <sheetName val="Sheet1"/>
      <sheetName val="Dec"/>
      <sheetName val="COST PER KG  (Qtr)"/>
      <sheetName val=""/>
      <sheetName val="March.10"/>
      <sheetName val="???_x0002_????䀘????_x0001_?"/>
      <sheetName val="???_x0002_????䀦????_x0001_???㵈ˑ㵰㿪?"/>
      <sheetName val="MC.9 - ROH"/>
      <sheetName val="stores &amp; spares"/>
      <sheetName val="____x0002_____䀘_____x0001__"/>
      <sheetName val="____x0002_____䀦_____x0001____㵈ˑ㵰㿪_"/>
      <sheetName val="Do not delete"/>
      <sheetName val="Computation"/>
      <sheetName val="CASHFLOWS"/>
      <sheetName val="CO_1"/>
      <sheetName val="Sheet2"/>
      <sheetName val="New Proje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 block"/>
      <sheetName val="Table 41"/>
      <sheetName val="Table 9"/>
      <sheetName val="Table11"/>
      <sheetName val="K-1"/>
      <sheetName val="K-2"/>
      <sheetName val="Sheet1"/>
      <sheetName val="K-3"/>
      <sheetName val="Table 1"/>
      <sheetName val="Table 2"/>
      <sheetName val="Table 3"/>
      <sheetName val="Table 4"/>
      <sheetName val="Table 5"/>
      <sheetName val="Table 6"/>
      <sheetName val="Pivot"/>
      <sheetName val="Pivot 2"/>
      <sheetName val="DOT-Customer-data"/>
      <sheetName val="Fund Utilisation"/>
      <sheetName val="Consol"/>
      <sheetName val="Hyderabad_NLA"/>
      <sheetName val="Silokhera_NLA"/>
      <sheetName val="Cyber City_NLA"/>
      <sheetName val="Chennai_NLA"/>
      <sheetName val="Summary"/>
      <sheetName val="Chennai "/>
      <sheetName val="Tenant-Chennai"/>
      <sheetName val="Hyderabad"/>
      <sheetName val="Tanent-W Block"/>
      <sheetName val="W block (2)"/>
      <sheetName val="Silokhera"/>
      <sheetName val="Table 7"/>
      <sheetName val="Project Data"/>
      <sheetName val="Unleased area"/>
      <sheetName val="Assumption"/>
      <sheetName val="Pivot (2)"/>
      <sheetName val="Building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 report"/>
      <sheetName val="Tax"/>
      <sheetName val="DTPL"/>
      <sheetName val="PAP Memo -1"/>
      <sheetName val="PAP Memo"/>
      <sheetName val="Interest"/>
      <sheetName val="P L"/>
      <sheetName val="B S"/>
      <sheetName val="Yield-COB"/>
      <sheetName val="BOD PL"/>
      <sheetName val="BOD BS"/>
      <sheetName val="NFF"/>
      <sheetName val="PAP"/>
      <sheetName val="Sheet2"/>
      <sheetName val="Yield-COB sum"/>
      <sheetName val="SPR"/>
      <sheetName val="Yield-backup"/>
      <sheetName val="BOD BS (2)"/>
      <sheetName val="Facility"/>
      <sheetName val="Esti reports"/>
      <sheetName val="Borrowing"/>
      <sheetName val="MIS reports"/>
      <sheetName val="Cashflow"/>
      <sheetName val="Cntrl Sheet"/>
      <sheetName val="CARE Ratios"/>
      <sheetName val="deb"/>
      <sheetName val="Keyratios"/>
      <sheetName val="Bal"/>
      <sheetName val="prof"/>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 L"/>
    </sheetNames>
    <sheetDataSet>
      <sheetData sheetId="0" refreshError="1"/>
      <sheetData sheetId="1"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ase 1 Workings _Max Debt"/>
      <sheetName val="Tax Calc for Phase 1"/>
      <sheetName val="Phase 1 Workings_IRR Sc"/>
      <sheetName val="Tax Calc for Phase 1_IRR sc"/>
      <sheetName val="Notes for Changes Made"/>
      <sheetName val="Cover"/>
      <sheetName val="Base Model&gt;&gt;"/>
      <sheetName val="Assumptions"/>
      <sheetName val="Repayment Schedule Input"/>
      <sheetName val="Capex Phasing"/>
      <sheetName val="Macros"/>
      <sheetName val="O&amp;M"/>
      <sheetName val="Debt drawdown"/>
      <sheetName val="Debt repayment"/>
      <sheetName val="Sheet1"/>
      <sheetName val="Computations"/>
      <sheetName val="Computations (2)"/>
      <sheetName val="Financials (2)"/>
      <sheetName val="Financials"/>
      <sheetName val="FCFE (2)"/>
      <sheetName val="FCFE"/>
      <sheetName val="Working capital"/>
      <sheetName val="Working capital (2)"/>
      <sheetName val="Escalable tariffs_Phase 1"/>
      <sheetName val="Escalable tariffs_Phase 2"/>
      <sheetName val="DSCR calc"/>
      <sheetName val="Transaction workings &gt;&gt;"/>
      <sheetName val="Master Control"/>
      <sheetName val="Cash Flows"/>
      <sheetName val="Cash Flows for Basic Calc"/>
      <sheetName val="Computations (3)"/>
      <sheetName val="Financials (3)"/>
      <sheetName val="FCFE (3)"/>
      <sheetName val="Working capital (3)"/>
      <sheetName val="Cash Flows for Basic Calc (2)"/>
    </sheetNames>
    <sheetDataSet>
      <sheetData sheetId="0"/>
      <sheetData sheetId="1"/>
      <sheetData sheetId="2"/>
      <sheetData sheetId="3"/>
      <sheetData sheetId="4"/>
      <sheetData sheetId="5"/>
      <sheetData sheetId="6"/>
      <sheetData sheetId="7"/>
      <sheetData sheetId="8"/>
      <sheetData sheetId="9"/>
      <sheetData sheetId="10">
        <row r="5">
          <cell r="C5">
            <v>937.07333793975704</v>
          </cell>
        </row>
        <row r="10">
          <cell r="C10">
            <v>22.54269415113918</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 Entry"/>
      <sheetName val="Sheet2"/>
      <sheetName val="New BS"/>
      <sheetName val="New P &amp; L"/>
      <sheetName val="Notes 2-16"/>
      <sheetName val="Notes 17-21"/>
      <sheetName val="FA NEW"/>
      <sheetName val="TB YTD Dec 17"/>
      <sheetName val="TB-Q3 2016-17"/>
      <sheetName val="Debtors Ageing (2)"/>
      <sheetName val="LOB wise tallied with TB"/>
      <sheetName val="LOB wise Financials"/>
      <sheetName val="Notes 1"/>
      <sheetName val="Balance Sheet in Lakhs (2)"/>
      <sheetName val="Trial balance_Sept"/>
      <sheetName val="Creditors Ageing - 180 days Dec"/>
      <sheetName val="Crs Ageing"/>
      <sheetName val="Debtors Ageing - 180 Days Sept "/>
      <sheetName val="New Grouping "/>
      <sheetName val="FA A"/>
      <sheetName val="REVISED FINAL TB"/>
      <sheetName val="Trial Balance - June 30, 2017"/>
      <sheetName val="Debtors Ageing (In Lakhs)"/>
      <sheetName val="Debtors Ageing"/>
      <sheetName val="Creditors Ageing"/>
      <sheetName val="Fixed Assets Additions"/>
      <sheetName val="Notes 22-33"/>
      <sheetName val="TB 15"/>
      <sheetName val="tb revised 10 june"/>
      <sheetName val="Sun Drs"/>
      <sheetName val="FSSL TB"/>
      <sheetName val="Deffered Tax"/>
      <sheetName val="Lease Calc."/>
      <sheetName val="Related Party"/>
      <sheetName val="IT Depn."/>
      <sheetName val="IT Addn."/>
      <sheetName val="STI"/>
      <sheetName val="IT Computation"/>
      <sheetName val="TB Grouping"/>
      <sheetName val="EPS"/>
      <sheetName val="Sheet1"/>
      <sheetName val="Sheet4"/>
      <sheetName val="TB"/>
      <sheetName val="PIVOT -Grouping "/>
      <sheetName val="TB "/>
      <sheetName val="Sheet5"/>
      <sheetName val="FA IT Depreciation"/>
      <sheetName val="List of Acts"/>
      <sheetName val="Sheet3"/>
    </sheetNames>
    <sheetDataSet>
      <sheetData sheetId="0"/>
      <sheetData sheetId="1"/>
      <sheetData sheetId="2"/>
      <sheetData sheetId="3">
        <row r="52">
          <cell r="B52" t="str">
            <v>Date: 21st September 2017</v>
          </cell>
        </row>
      </sheetData>
      <sheetData sheetId="4">
        <row r="16">
          <cell r="G16">
            <v>200000</v>
          </cell>
        </row>
      </sheetData>
      <sheetData sheetId="5">
        <row r="12">
          <cell r="E12">
            <v>99116.472379999992</v>
          </cell>
        </row>
      </sheetData>
      <sheetData sheetId="6">
        <row r="34">
          <cell r="J34">
            <v>6999.3200000000006</v>
          </cell>
        </row>
      </sheetData>
      <sheetData sheetId="7"/>
      <sheetData sheetId="8">
        <row r="203">
          <cell r="C203">
            <v>28262455.690000001</v>
          </cell>
        </row>
      </sheetData>
      <sheetData sheetId="9"/>
      <sheetData sheetId="10"/>
      <sheetData sheetId="11"/>
      <sheetData sheetId="12"/>
      <sheetData sheetId="13"/>
      <sheetData sheetId="14">
        <row r="68">
          <cell r="D68">
            <v>6625563.8099999996</v>
          </cell>
        </row>
      </sheetData>
      <sheetData sheetId="15"/>
      <sheetData sheetId="16"/>
      <sheetData sheetId="17"/>
      <sheetData sheetId="18">
        <row r="35">
          <cell r="E35">
            <v>0</v>
          </cell>
        </row>
      </sheetData>
      <sheetData sheetId="19"/>
      <sheetData sheetId="20">
        <row r="277">
          <cell r="C277">
            <v>404941</v>
          </cell>
        </row>
      </sheetData>
      <sheetData sheetId="21"/>
      <sheetData sheetId="22"/>
      <sheetData sheetId="23"/>
      <sheetData sheetId="24"/>
      <sheetData sheetId="25">
        <row r="1">
          <cell r="F1">
            <v>58988</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cashflow"/>
    </sheetNames>
    <sheetDataSet>
      <sheetData sheetId="0"/>
      <sheetData sheetId="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D BS"/>
      <sheetName val="B S"/>
      <sheetName val="BOD PL"/>
      <sheetName val="P L"/>
      <sheetName val="SPR"/>
      <sheetName val="Yield-COB"/>
      <sheetName val="Seg. report"/>
      <sheetName val="PAP"/>
      <sheetName val="ICRA Ratios"/>
      <sheetName val="Yield-backup"/>
      <sheetName val="DTPL"/>
      <sheetName val="Sheet2"/>
      <sheetName val="Esti reports"/>
      <sheetName val="CARE Ratios"/>
      <sheetName val="MIS reports"/>
      <sheetName val="deb"/>
      <sheetName val="Borrowing"/>
      <sheetName val="Facility"/>
      <sheetName val="Yield-COB sum"/>
      <sheetName val="NFF"/>
      <sheetName val="Interest"/>
      <sheetName val="Cashflow"/>
      <sheetName val="Keyratios"/>
      <sheetName val="Bal"/>
      <sheetName val="prof"/>
      <sheetName val="Tax"/>
      <sheetName val="Cntrl Sheet"/>
      <sheetName val="NFF (2)"/>
      <sheetName val="Sheet1"/>
    </sheetNames>
    <sheetDataSet>
      <sheetData sheetId="0" refreshError="1"/>
      <sheetData sheetId="1"/>
      <sheetData sheetId="2" refreshError="1"/>
      <sheetData sheetId="3"/>
      <sheetData sheetId="4"/>
      <sheetData sheetId="5"/>
      <sheetData sheetId="6" refreshError="1"/>
      <sheetData sheetId="7"/>
      <sheetData sheetId="8" refreshError="1"/>
      <sheetData sheetId="9" refreshError="1"/>
      <sheetData sheetId="10"/>
      <sheetData sheetId="11" refreshError="1"/>
      <sheetData sheetId="12" refreshError="1"/>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sheetData sheetId="25" refreshError="1"/>
      <sheetData sheetId="26"/>
      <sheetData sheetId="27" refreshError="1"/>
      <sheetData sheetId="28"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lf 1 plus 3"/>
      <sheetName val="Fixed lines"/>
      <sheetName val="Equipment"/>
      <sheetName val="Sheet1"/>
      <sheetName val="Cost summary"/>
    </sheetNames>
    <sheetDataSet>
      <sheetData sheetId="0" refreshError="1"/>
      <sheetData sheetId="1" refreshError="1"/>
      <sheetData sheetId="2" refreshError="1"/>
      <sheetData sheetId="3" refreshError="1"/>
      <sheetData sheetId="4"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sheetName val="0000000"/>
      <sheetName val="LC CAL-SBBJ"/>
      <sheetName val="LC CAL-OTHERS"/>
      <sheetName val="LC CAL-ICICI"/>
      <sheetName val="sentini"/>
      <sheetName val="CAPEX"/>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utation"/>
      <sheetName val="Details OF F-16A-Mynd"/>
      <sheetName val="SERVICETAX"/>
      <sheetName val="PF"/>
      <sheetName val="TDS"/>
      <sheetName val="Trial"/>
      <sheetName val="Def"/>
      <sheetName val="BS"/>
      <sheetName val="SCHEDULE BS"/>
      <sheetName val="P &amp; l"/>
      <sheetName val="P&amp;L schd"/>
      <sheetName val="Annexure IV"/>
      <sheetName val="FIXEDASSETS"/>
      <sheetName val="FIXEDASSETS (2)"/>
      <sheetName val="schedule -V-fixed assets"/>
      <sheetName val="IT 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arti-PL"/>
      <sheetName val="Bharti-BS"/>
      <sheetName val="Bharti-Businesswise"/>
      <sheetName val="MIS"/>
      <sheetName val="MIS -work"/>
      <sheetName val="Business wise BS"/>
      <sheetName val="Business wise PL"/>
      <sheetName val="RIC-CFLOW-NEW"/>
      <sheetName val="RIC-Businesswise BS"/>
      <sheetName val="RIC-MIS"/>
      <sheetName val="RIC-Businesswise PL"/>
      <sheetName val="RCIL-CFLOW-NEW "/>
      <sheetName val="Infocomm Grp BS"/>
      <sheetName val="intercompany"/>
      <sheetName val="Infocomm Grp PL"/>
      <sheetName val="Sum"/>
      <sheetName val="Index"/>
      <sheetName val="RCIL-Dec04"/>
      <sheetName val="RCIL Analysis"/>
      <sheetName val="RCIL-cover "/>
      <sheetName val="RCIL-BS Work"/>
      <sheetName val="RCIL-PL Work"/>
      <sheetName val="RCIL-Extl"/>
      <sheetName val="RCIL-BS"/>
      <sheetName val="RCIL-P&amp;L"/>
      <sheetName val="RCIL-Adjt"/>
      <sheetName val="RCIL-cf"/>
      <sheetName val="RCIL-Sch"/>
      <sheetName val="RIC-Sch"/>
      <sheetName val="RCIL-FA Sch"/>
      <sheetName val="RCIL-Policy"/>
      <sheetName val="RCIL - Notes (New)"/>
      <sheetName val="RCIL-Notes"/>
      <sheetName val="RCIL-related"/>
      <sheetName val="RCTL-BS"/>
      <sheetName val="RCTL-P &amp; L"/>
      <sheetName val="RCTL-SCH"/>
      <sheetName val="RCTL-BS Work"/>
      <sheetName val="RCTL-PL Work"/>
      <sheetName val="RCTL-Adjt"/>
      <sheetName val="RCTL-FA SCH"/>
      <sheetName val="RCTL-Policy"/>
      <sheetName val="RCTL - Notes"/>
      <sheetName val="RCRL-BS"/>
      <sheetName val="RCRL-P &amp; L"/>
      <sheetName val="RCRL-BS Work"/>
      <sheetName val="RCRL-PL Work"/>
      <sheetName val="RCRL-Sch"/>
      <sheetName val="RCRL-Adj"/>
      <sheetName val="RCRL-Policy"/>
      <sheetName val="RCRL-Notes"/>
      <sheetName val="RIC-Ext Det"/>
      <sheetName val="RIC-cover"/>
      <sheetName val="RIC-MAR 05"/>
      <sheetName val="RIC-P &amp; L"/>
      <sheetName val="RIC-BS"/>
      <sheetName val="RIC-BS Work"/>
      <sheetName val="RIC-PL Work"/>
      <sheetName val="RIC-Adj"/>
      <sheetName val="RIC-FA Sch"/>
      <sheetName val="RIC-CFlow"/>
      <sheetName val="Infocomm-FA"/>
      <sheetName val="RWSL-FA"/>
      <sheetName val="GSIL-SLM"/>
      <sheetName val="RIC-Segment"/>
      <sheetName val="RIC-Policy"/>
      <sheetName val="RIC-Notes"/>
      <sheetName val="BS RSOLU"/>
      <sheetName val="P &amp; L  RSOLU"/>
      <sheetName val="BS Work  RSOLU"/>
      <sheetName val="PL Work RSOLU"/>
      <sheetName val="Sch RSOLU"/>
      <sheetName val="Policy RSOLU"/>
      <sheetName val="Notes RSOLU"/>
      <sheetName val="FA Sch RSOLU"/>
      <sheetName val="Adj RSOLU"/>
      <sheetName val="BS RIIL"/>
      <sheetName val="P &amp; L  RIIL"/>
      <sheetName val="PL Work RIIL"/>
      <sheetName val="BS Work  RIIL"/>
      <sheetName val="Sch RIIL"/>
      <sheetName val="Adj RIIL"/>
      <sheetName val="Segment RIIL"/>
      <sheetName val="Policy RIIL"/>
      <sheetName val="FA Sch RIIL"/>
      <sheetName val="Notes RIIL"/>
      <sheetName val="CFlow RIIL"/>
      <sheetName val="FA PARADOX"/>
      <sheetName val="FA NIS"/>
      <sheetName val="BS RI BV"/>
      <sheetName val="BS Work  RI BV INR"/>
      <sheetName val="P &amp; L  RI BV"/>
      <sheetName val="Sch RI BV"/>
      <sheetName val="PL Work RI BV INR"/>
      <sheetName val="Reco - CTR"/>
      <sheetName val="Adj RI BV INR"/>
      <sheetName val="PL Work RI BV USD"/>
      <sheetName val="BS Work  RI BV USD"/>
      <sheetName val="Adj RI BV USD"/>
      <sheetName val="FA Sch RI BV"/>
      <sheetName val="FA RII"/>
      <sheetName val="FA RCI"/>
      <sheetName val="FA HK"/>
      <sheetName val="FA UK"/>
      <sheetName val="FA RNI"/>
      <sheetName val="BS RGNL"/>
      <sheetName val="P &amp; L  RGNL"/>
      <sheetName val="RGNL-Segment"/>
      <sheetName val="Adj RGNL"/>
      <sheetName val="BS Work  RGNL"/>
      <sheetName val="PL Work  RGNL"/>
      <sheetName val="RGNL-FA Sch"/>
      <sheetName val="Sch RGNL"/>
      <sheetName val="FLAG FA Sch"/>
      <sheetName val="RGNL-Policy"/>
      <sheetName val="RGNL-Notes"/>
      <sheetName val="BS GSIL"/>
      <sheetName val="P &amp; L GSIL"/>
      <sheetName val="Sch GSIL"/>
      <sheetName val="FA GSIL WDV"/>
      <sheetName val="BS Work GSIL"/>
      <sheetName val="PL Work  GSIL"/>
      <sheetName val="Adj GSIL"/>
      <sheetName val="Policy GSIL"/>
      <sheetName val="Notes GSIL"/>
      <sheetName val="BS NRL"/>
      <sheetName val="P &amp; L  NRL"/>
      <sheetName val="Sch NRL"/>
      <sheetName val="Adj NRL"/>
      <sheetName val="Policy NRL"/>
      <sheetName val="Notes NRL"/>
      <sheetName val="BS Work  NRL"/>
      <sheetName val="PL Work NRL"/>
      <sheetName val="Exchange rate"/>
      <sheetName val="RCTL_SCH"/>
      <sheetName val="assumptions"/>
      <sheetName val="Article"/>
      <sheetName val="WORKINGS"/>
      <sheetName val="Occ, Other Rev, Exp, Disp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LR"/>
      <sheetName val="Not Billed"/>
      <sheetName val="Billing Data"/>
      <sheetName val="Billing Summary"/>
      <sheetName val="B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DEPN32"/>
      <sheetName val="43B (2)"/>
      <sheetName val="TDSCERT"/>
      <sheetName val="Sheet8"/>
      <sheetName val="Sheet10"/>
      <sheetName val="Sheet11"/>
      <sheetName val="Sheet12"/>
      <sheetName val="Sheet13"/>
      <sheetName val="Sheet14"/>
      <sheetName val="Sheet15"/>
      <sheetName val="Sheet16"/>
      <sheetName val="COMPUTATION"/>
      <sheetName val="GRATUITY"/>
      <sheetName val="BFDLOSS"/>
      <sheetName val="HP"/>
      <sheetName val="LOCWISERENT"/>
      <sheetName val="hp exp"/>
      <sheetName val="depn on letout prop"/>
      <sheetName val="RENT( Exl. JSR)"/>
      <sheetName val="RENT(JSR)"/>
      <sheetName val="CAP GAIN"/>
      <sheetName val="CG(TI Ltd)"/>
      <sheetName val="OTH_INC"/>
      <sheetName val="SALEOFINV&amp;LAND"/>
      <sheetName val="80G"/>
      <sheetName val="TEC KNOW"/>
      <sheetName val="Provisions"/>
      <sheetName val="DEFERREDEXP"/>
      <sheetName val="VRS DEFER"/>
      <sheetName val="VRSDEFER"/>
      <sheetName val="allwyn profit reco"/>
      <sheetName val="BRDNOTE"/>
      <sheetName val="35AB"/>
      <sheetName val="Reco"/>
      <sheetName val="CFD"/>
      <sheetName val="CFDSTATUS1"/>
      <sheetName val="HALLOSSES"/>
      <sheetName val="SH. E Add"/>
      <sheetName val="SH. E Sale"/>
      <sheetName val="TEC KNOW (2)"/>
      <sheetName val="192"/>
      <sheetName val="194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eral"/>
      <sheetName val="A-Bucket"/>
      <sheetName val="A-Matrix"/>
      <sheetName val="Print"/>
      <sheetName val="Summary-P"/>
      <sheetName val="Summary-CF"/>
      <sheetName val="Summary-RentRoll"/>
      <sheetName val="Summary-G1"/>
      <sheetName val="Summary-G2"/>
      <sheetName val="Summary-Valuations"/>
      <sheetName val="Summary-Trustee"/>
      <sheetName val="Summary-CF(Q)"/>
      <sheetName val="A-Property"/>
      <sheetName val="A-UW1"/>
      <sheetName val="A-UW2"/>
      <sheetName val="A-RentRoll"/>
      <sheetName val="A-APP"/>
      <sheetName val="A-AssetBucket"/>
      <sheetName val="O-Property"/>
      <sheetName val="O-UW1"/>
      <sheetName val="O-UW2"/>
      <sheetName val="O-Exp"/>
      <sheetName val="O-Exp2"/>
      <sheetName val="O-RevBase"/>
      <sheetName val="O-RevCAM"/>
      <sheetName val="O-RevMkt"/>
      <sheetName val="O-RevOther"/>
      <sheetName val="O-Dispo"/>
      <sheetName val="O-SD&amp;Dpre"/>
      <sheetName val="O-OccBldg"/>
      <sheetName val="O-OccParking"/>
      <sheetName val="O-Other"/>
      <sheetName val="G-1"/>
      <sheetName val="Exp"/>
      <sheetName val="MktRent"/>
      <sheetName val="Rent"/>
      <sheetName val="Rev"/>
      <sheetName val="LeaseStatus"/>
      <sheetName val="SD"/>
      <sheetName val="Occ"/>
      <sheetName val="Def"/>
      <sheetName val="CRITERIA3"/>
      <sheetName val="Occ, Other Rev, Exp, Dispo"/>
      <sheetName val="A_General"/>
      <sheetName val="Factor -local"/>
      <sheetName val="Factor- cables"/>
    </sheetNames>
    <sheetDataSet>
      <sheetData sheetId="0" refreshError="1">
        <row r="16">
          <cell r="Q16">
            <v>37257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FINAL"/>
      <sheetName val="_REF"/>
      <sheetName val="Rates"/>
      <sheetName val="P&amp;L"/>
      <sheetName val="SCH-A,B,C"/>
      <sheetName val="vb 9&amp;10"/>
      <sheetName val="fa"/>
      <sheetName val="Nov 02 &amp; Dec 02 sal"/>
      <sheetName val="SCH- D"/>
      <sheetName val="2266957"/>
      <sheetName val="Kailas"/>
      <sheetName val="Kalav"/>
      <sheetName val="Data"/>
      <sheetName val="Page1"/>
      <sheetName val="wdr bldg"/>
      <sheetName val="SCH-E,F,G,H,I"/>
      <sheetName val="P&amp;L Schedules"/>
      <sheetName val="SALES-VAL"/>
      <sheetName val="SCH4"/>
      <sheetName val="Break up Sheet"/>
      <sheetName val="TBAL9697 -group wise  sdpl"/>
      <sheetName val="Schedules"/>
      <sheetName val="PA2"/>
      <sheetName val="adp-budget"/>
      <sheetName val="CRITERIA1"/>
      <sheetName val="Trial Balance 06-07"/>
      <sheetName val="New May"/>
      <sheetName val="Results PL"/>
      <sheetName val="tngst1"/>
      <sheetName val="Client Federal Inputs"/>
      <sheetName val="California Credit"/>
      <sheetName val="Details"/>
      <sheetName val="Total DTH Forecast"/>
      <sheetName val="Total Distribution Forecast"/>
      <sheetName val="System"/>
      <sheetName val="Nov_02_&amp;_Dec_02_sal"/>
      <sheetName val="SCH-_D"/>
      <sheetName val="vb_9&amp;10"/>
      <sheetName val="wdr_bldg"/>
      <sheetName val="P&amp;L_Schedules"/>
      <sheetName val="Break_up_Sheet"/>
      <sheetName val="TBAL9697_-group_wise__sdpl"/>
      <sheetName val="Trial_Balance_06-07"/>
      <sheetName val="New_May"/>
      <sheetName val="Results_PL"/>
      <sheetName val="Client_Federal_Inputs"/>
      <sheetName val="California_Credit"/>
      <sheetName val="Total_DTH_Forecast"/>
      <sheetName val="Total_Distribution_Forecast"/>
      <sheetName val="Nov_02_&amp;_Dec_02_sal1"/>
      <sheetName val="SCH-_D1"/>
      <sheetName val="vb_9&amp;101"/>
      <sheetName val="wdr_bldg1"/>
      <sheetName val="P&amp;L_Schedules1"/>
      <sheetName val="Break_up_Sheet1"/>
      <sheetName val="TBAL9697_-group_wise__sdpl1"/>
      <sheetName val="Trial_Balance_06-071"/>
      <sheetName val="New_May1"/>
      <sheetName val="Results_PL1"/>
      <sheetName val="Client_Federal_Inputs1"/>
      <sheetName val="California_Credit1"/>
      <sheetName val="Total_DTH_Forecast1"/>
      <sheetName val="Total_Distribution_Forecast1"/>
      <sheetName val="INV"/>
      <sheetName val="Apr04"/>
      <sheetName val="Aug04"/>
      <sheetName val="Dec04"/>
      <sheetName val="Feb05"/>
      <sheetName val="Nov04"/>
      <sheetName val="Oct04"/>
      <sheetName val="Input"/>
      <sheetName val="FITZ MORT 94"/>
      <sheetName val="Summary Statements"/>
      <sheetName val="DETAIL.XLS"/>
      <sheetName val="Nov_02_&amp;_Dec_02_sal2"/>
      <sheetName val="SCH-_D2"/>
      <sheetName val="vb_9&amp;102"/>
      <sheetName val="wdr_bldg2"/>
      <sheetName val="P&amp;L_Schedules2"/>
      <sheetName val="Break_up_Sheet2"/>
      <sheetName val="TBAL9697_-group_wise__sdpl2"/>
      <sheetName val="Trial_Balance_06-072"/>
      <sheetName val="New_May2"/>
      <sheetName val="Results_PL2"/>
      <sheetName val="Client_Federal_Inputs2"/>
      <sheetName val="California_Credit2"/>
      <sheetName val="Total_DTH_Forecast2"/>
      <sheetName val="Total_Distribution_Forecast2"/>
      <sheetName val="2000"/>
      <sheetName val="EXPENSES"/>
      <sheetName val="FITZ_MORT_94"/>
      <sheetName val="Nov_02_&amp;_Dec_02_sal3"/>
      <sheetName val="SCH-_D3"/>
      <sheetName val="vb_9&amp;103"/>
      <sheetName val="wdr_bldg3"/>
      <sheetName val="P&amp;L_Schedules3"/>
      <sheetName val="Break_up_Sheet3"/>
      <sheetName val="TBAL9697_-group_wise__sdpl3"/>
      <sheetName val="Trial_Balance_06-073"/>
      <sheetName val="Client_Federal_Inputs3"/>
      <sheetName val="California_Credit3"/>
      <sheetName val="New_May3"/>
      <sheetName val="Results_PL3"/>
      <sheetName val="Total_DTH_Forecast3"/>
      <sheetName val="Total_Distribution_Forecast3"/>
      <sheetName val="FITZ_MORT_941"/>
      <sheetName val="pukhraj (HUF)"/>
      <sheetName val="Bs_dft"/>
      <sheetName val="P&amp;l_dft"/>
      <sheetName val="Sch_dft"/>
      <sheetName val="Nov_02_&amp;_Dec_02_sal4"/>
      <sheetName val="SCH-_D4"/>
      <sheetName val="vb_9&amp;104"/>
      <sheetName val="wdr_bldg4"/>
      <sheetName val="P&amp;L_Schedules4"/>
      <sheetName val="Break_up_Sheet4"/>
      <sheetName val="TBAL9697_-group_wise__sdpl4"/>
      <sheetName val="Trial_Balance_06-074"/>
      <sheetName val="New_May4"/>
      <sheetName val="Results_PL4"/>
      <sheetName val="Client_Federal_Inputs4"/>
      <sheetName val="California_Credit4"/>
      <sheetName val="Total_DTH_Forecast4"/>
      <sheetName val="Total_Distribution_Forecast4"/>
      <sheetName val="Summary_Statements"/>
      <sheetName val="DETAIL_XLS"/>
      <sheetName val="FITZ_MORT_942"/>
      <sheetName val="Quarterly Scrap"/>
      <sheetName val="Raw Mtls."/>
      <sheetName val="WIP"/>
      <sheetName val="Finished Goods"/>
      <sheetName val="Raw Data"/>
      <sheetName val="COVER"/>
      <sheetName val="STB4"/>
      <sheetName val="PL"/>
      <sheetName val="sEP2003"/>
      <sheetName val="mp_rev"/>
      <sheetName val="Sheet1"/>
      <sheetName val="Directors"/>
      <sheetName val="Comp"/>
      <sheetName val="15"/>
      <sheetName val="exp-m"/>
      <sheetName val="Table for Template"/>
      <sheetName val="cap01"/>
      <sheetName val="VACANT CTC"/>
      <sheetName val="slab01"/>
      <sheetName val="Returns"/>
      <sheetName val="D.D"/>
      <sheetName val="Sheet2"/>
      <sheetName val="Minibase"/>
      <sheetName val="Area"/>
      <sheetName val="Intro"/>
      <sheetName val="Computation"/>
      <sheetName val="XLR_NoRangeSheet"/>
      <sheetName val="Sch A&amp;B"/>
      <sheetName val="CASHFLOWS"/>
      <sheetName val="SUMMARY"/>
      <sheetName val="Cash Flow Working"/>
      <sheetName val="FORM7"/>
      <sheetName val="Design"/>
      <sheetName val="TB WORLI"/>
      <sheetName val="TB APJ"/>
      <sheetName val="P&amp;L-actuals"/>
      <sheetName val="Basement Budget"/>
      <sheetName val="JV"/>
      <sheetName val="vb_9&amp;105"/>
      <sheetName val="Nov_02_&amp;_Dec_02_sal5"/>
      <sheetName val="SCH-_D5"/>
      <sheetName val="wdr_bldg5"/>
      <sheetName val="P&amp;L_Schedules5"/>
      <sheetName val="Break_up_Sheet5"/>
      <sheetName val="TBAL9697_-group_wise__sdpl5"/>
      <sheetName val="Trial_Balance_06-075"/>
      <sheetName val="Results_PL5"/>
      <sheetName val="Client_Federal_Inputs5"/>
      <sheetName val="California_Credit5"/>
      <sheetName val="Total_DTH_Forecast5"/>
      <sheetName val="Total_Distribution_Forecast5"/>
      <sheetName val="New_May5"/>
      <sheetName val="FITZ_MORT_943"/>
      <sheetName val="Quarterly_Scrap"/>
      <sheetName val="Raw_Mtls_"/>
      <sheetName val="Finished_Goods"/>
      <sheetName val="Raw_Data"/>
      <sheetName val="Summary_Statements1"/>
      <sheetName val="DETAIL_XLS1"/>
      <sheetName val="共機J"/>
      <sheetName val="TB"/>
      <sheetName val="90-120"/>
      <sheetName val="120RECV"/>
      <sheetName val="BS"/>
      <sheetName val="form26"/>
      <sheetName val="sum"/>
      <sheetName val="SCH"/>
      <sheetName val="Model"/>
      <sheetName val="PA- Consutant "/>
      <sheetName val="97-98"/>
      <sheetName val="WIL-Rev Annexures"/>
      <sheetName val="Suman"/>
      <sheetName val="2006-04"/>
      <sheetName val="2006-08"/>
      <sheetName val="2006-06"/>
      <sheetName val="2006-05"/>
      <sheetName val="2006-11"/>
      <sheetName val="2006-10"/>
      <sheetName val="2006-07"/>
      <sheetName val="2006-03"/>
      <sheetName val="2006-09"/>
      <sheetName val="RFIN_519H"/>
      <sheetName val="PG8"/>
      <sheetName val="Rev_Cog_query Xchg"/>
      <sheetName val="KEY INPUTS"/>
      <sheetName val="Front Sheet"/>
      <sheetName val="Sydney"/>
      <sheetName val="200B"/>
      <sheetName val="June"/>
      <sheetName val="May"/>
      <sheetName val="Area St"/>
      <sheetName val="A"/>
      <sheetName val="B"/>
      <sheetName val="F1a-Pile"/>
      <sheetName val="INDIGINEOUS ITEMS "/>
      <sheetName val="Asset Consolidated"/>
      <sheetName val="LCGRAPH"/>
      <sheetName val="vb_9&amp;106"/>
      <sheetName val="Nov_02_&amp;_Dec_02_sal6"/>
      <sheetName val="SCH-_D6"/>
      <sheetName val="wdr_bldg6"/>
      <sheetName val="P&amp;L_Schedules6"/>
      <sheetName val="Break_up_Sheet6"/>
      <sheetName val="TBAL9697_-group_wise__sdpl6"/>
      <sheetName val="Trial_Balance_06-076"/>
      <sheetName val="Total_DTH_Forecast6"/>
      <sheetName val="Total_Distribution_Forecast6"/>
      <sheetName val="Client_Federal_Inputs6"/>
      <sheetName val="California_Credit6"/>
      <sheetName val="FITZ_MORT_944"/>
      <sheetName val="New_May6"/>
      <sheetName val="Results_PL6"/>
      <sheetName val="Summary_Statements2"/>
      <sheetName val="DETAIL_XLS2"/>
      <sheetName val="pukhraj_(HUF)"/>
      <sheetName val="Quarterly_Scrap1"/>
      <sheetName val="Raw_Mtls_1"/>
      <sheetName val="Finished_Goods1"/>
      <sheetName val="Raw_Data1"/>
      <sheetName val="WIL-Rev_Annexures"/>
      <sheetName val="CSCCincSKR"/>
      <sheetName val="Calculator"/>
      <sheetName val="SI"/>
      <sheetName val="IT_DDTP"/>
      <sheetName val="GENERAL"/>
      <sheetName val="10A"/>
      <sheetName val="CFL"/>
      <sheetName val="MATC"/>
      <sheetName val="PART_C"/>
      <sheetName val="CYLA BFLA"/>
      <sheetName val="BALANCE_SHEET"/>
      <sheetName val="80G"/>
      <sheetName val="CalculateTR"/>
      <sheetName val="CG_OS"/>
      <sheetName val="FBI_FB"/>
      <sheetName val="FSI"/>
      <sheetName val="FTP"/>
      <sheetName val="HOUSE_PROPERTY"/>
      <sheetName val="NATUREOFBUSINESS"/>
      <sheetName val="OTHER_INFORMATION"/>
      <sheetName val="GENERAL2"/>
      <sheetName val="SUBSIDIARY DETAILS"/>
      <sheetName val="QUANTITATIVE_DETAILS"/>
      <sheetName val="TR_FA"/>
      <sheetName val="Home"/>
      <sheetName val="DEP_DCG"/>
      <sheetName val="DDT_TDS_TCS"/>
      <sheetName val="DPM_DOA"/>
      <sheetName val="EI"/>
      <sheetName val="BP"/>
      <sheetName val="80_"/>
      <sheetName val="MAT"/>
      <sheetName val="PROFIT_LOSS"/>
      <sheetName val="UD"/>
      <sheetName val="Cover Page"/>
      <sheetName val="Master"/>
      <sheetName val="Master LOV"/>
      <sheetName val=" Financial Report"/>
      <sheetName val="DF"/>
      <sheetName val="BS Schedules"/>
      <sheetName val="ANX"/>
      <sheetName val="Bal Sheet"/>
      <sheetName val="FPS"/>
      <sheetName val="BFNR"/>
      <sheetName val="BBRS"/>
      <sheetName val="BBRD"/>
      <sheetName val="BKPM1"/>
      <sheetName val="BIPR"/>
      <sheetName val="FA reg July-08"/>
      <sheetName val="Lead"/>
      <sheetName val="????(?????)"/>
      <sheetName val="reference"/>
      <sheetName val="Sheet4"/>
      <sheetName val="Sheet3"/>
      <sheetName val="APWk data"/>
      <sheetName val="WIPROGE"/>
      <sheetName val="GLOBAL"/>
      <sheetName val="November 08"/>
      <sheetName val="PF Spine"/>
      <sheetName val="CellPlan"/>
      <sheetName val="Month"/>
      <sheetName val="Sydney_Poly"/>
      <sheetName val="Madrid"/>
      <sheetName val="Sydney_Mono"/>
      <sheetName val="PE CHARGES"/>
      <sheetName val="VACANT_CTC"/>
      <sheetName val="Sch_A&amp;B"/>
      <sheetName val="EcoGraph"/>
      <sheetName val="ranges"/>
      <sheetName val="ANN-F ok1"/>
      <sheetName val="Construction"/>
      <sheetName val="MASTER_RATE ANALYSIS"/>
      <sheetName val="Balance Sheet_US$"/>
      <sheetName val="14"/>
      <sheetName val="3"/>
      <sheetName val="40"/>
      <sheetName val="JAN"/>
      <sheetName val="BS-2003"/>
      <sheetName val="Schedules PL"/>
      <sheetName val="Schedules BS"/>
      <sheetName val="TRIAL BALANCE"/>
      <sheetName val="Apr'05"/>
      <sheetName val="Aug'05"/>
      <sheetName val="Dec'05"/>
      <sheetName val="Feb'06"/>
      <sheetName val="Jan'06"/>
      <sheetName val="Mar'06"/>
      <sheetName val="May'05"/>
      <sheetName val="Nov'05"/>
      <sheetName val="Oct'05"/>
      <sheetName val="Sept'05"/>
      <sheetName val="jan'04"/>
      <sheetName val="Register"/>
      <sheetName val="9020100000"/>
      <sheetName val="ModPlan"/>
      <sheetName val="コスト"/>
      <sheetName val="Cash_Flow_Working"/>
      <sheetName val="Table_for_Template"/>
      <sheetName val="TB_WORLI"/>
      <sheetName val="TB_APJ"/>
      <sheetName val="PA-_Consutant_"/>
      <sheetName val="INDIGINEOUS_ITEMS_"/>
      <sheetName val="Basement_Budget"/>
      <sheetName val="D_D"/>
      <sheetName val="Rev_Cog_query_Xchg"/>
      <sheetName val="CYLA_BFLA"/>
      <sheetName val="SUBSIDIARY_DETAILS"/>
      <sheetName val="Cover_Page"/>
      <sheetName val="Master_LOV"/>
      <sheetName val="_Financial_Report"/>
      <sheetName val="BS_Schedules"/>
      <sheetName val="APWk_data"/>
      <sheetName val="November_08"/>
      <sheetName val="PF_Spine"/>
      <sheetName val="Bal_Sheet"/>
      <sheetName val="FA_reg_July-08"/>
      <sheetName val="Schedules_PL"/>
      <sheetName val="Schedules_BS"/>
      <sheetName val="TRIAL_BALANCE"/>
      <sheetName val="vb_9&amp;107"/>
      <sheetName val="Nov_02_&amp;_Dec_02_sal7"/>
      <sheetName val="SCH-_D7"/>
      <sheetName val="wdr_bldg7"/>
      <sheetName val="P&amp;L_Schedules7"/>
      <sheetName val="Break_up_Sheet7"/>
      <sheetName val="TBAL9697_-group_wise__sdpl7"/>
      <sheetName val="Results_PL7"/>
      <sheetName val="Trial_Balance_06-077"/>
      <sheetName val="Client_Federal_Inputs7"/>
      <sheetName val="California_Credit7"/>
      <sheetName val="Total_DTH_Forecast7"/>
      <sheetName val="Total_Distribution_Forecast7"/>
      <sheetName val="FITZ_MORT_945"/>
      <sheetName val="New_May7"/>
      <sheetName val="Quarterly_Scrap2"/>
      <sheetName val="Raw_Mtls_2"/>
      <sheetName val="Finished_Goods2"/>
      <sheetName val="Raw_Data2"/>
      <sheetName val="Summary_Statements3"/>
      <sheetName val="DETAIL_XLS3"/>
      <sheetName val="pukhraj_(HUF)1"/>
      <sheetName val="Cash_Flow_Working1"/>
      <sheetName val="VACANT_CTC1"/>
      <sheetName val="Sch_A&amp;B1"/>
      <sheetName val="Table_for_Template1"/>
      <sheetName val="TB_WORLI1"/>
      <sheetName val="TB_APJ1"/>
      <sheetName val="PA-_Consutant_1"/>
      <sheetName val="INDIGINEOUS_ITEMS_1"/>
      <sheetName val="Basement_Budget1"/>
      <sheetName val="D_D1"/>
      <sheetName val="WIL-Rev_Annexures1"/>
      <sheetName val="Rev_Cog_query_Xchg1"/>
      <sheetName val="CYLA_BFLA1"/>
      <sheetName val="SUBSIDIARY_DETAILS1"/>
      <sheetName val="Cover_Page1"/>
      <sheetName val="Master_LOV1"/>
      <sheetName val="_Financial_Report1"/>
      <sheetName val="BS_Schedules1"/>
      <sheetName val="APWk_data1"/>
      <sheetName val="November_081"/>
      <sheetName val="PF_Spine1"/>
      <sheetName val="Bal_Sheet1"/>
      <sheetName val="FA_reg_July-081"/>
      <sheetName val="Schedules_PL1"/>
      <sheetName val="Schedules_BS1"/>
      <sheetName val="TRIAL_BALANCE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S-AY05-06"/>
      <sheetName val="Oth income (2)"/>
      <sheetName val="Computation as per AO (2)"/>
      <sheetName val="Computation as per AO (3)"/>
      <sheetName val="Tax Liability"/>
      <sheetName val="Computation as per AO"/>
      <sheetName val="MAT (AO)"/>
      <sheetName val="Computation AY05-06 (Revised)"/>
      <sheetName val="MAT (Revised)"/>
      <sheetName val="AdjAs per return-80IA (Revised)"/>
      <sheetName val="Oth income"/>
      <sheetName val="Computation AY05-06"/>
      <sheetName val="MAT"/>
      <sheetName val="Adj As per return-80IA"/>
      <sheetName val="units generated and sold"/>
      <sheetName val="Book Profit"/>
      <sheetName val="Support working"/>
      <sheetName val="FA Addidions Summery"/>
      <sheetName val="IT Depn-Supply-GEN"/>
      <sheetName val="IT Other Div"/>
      <sheetName val=" Dep Samalkot"/>
      <sheetName val="Depn Rspl"/>
      <sheetName val="Exchange Fluctuation"/>
      <sheetName val="tax-free-2004-2005"/>
      <sheetName val="Clause 21(i) Corporate"/>
      <sheetName val="Clause21(i) Supply"/>
      <sheetName val="21(i)-Contract"/>
      <sheetName val="Clause 21(i) DTPS"/>
      <sheetName val="21 (i)RSPL"/>
      <sheetName val="Donation"/>
      <sheetName val="BSPL"/>
      <sheetName val="RRT"/>
      <sheetName val="TDS "/>
      <sheetName val="Indian_client"/>
      <sheetName val="Bhutan_Client"/>
      <sheetName val="working other income"/>
      <sheetName val="Revised Tax Free income"/>
      <sheetName val="LOT 1"/>
      <sheetName val="Computation AY04-05"/>
      <sheetName val="DATA"/>
      <sheetName val="Sheet1"/>
      <sheetName val="Computation AY04-05 (Revi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2">
          <cell r="A2" t="str">
            <v>RELIANCE ENERGY LIMITED</v>
          </cell>
        </row>
        <row r="655">
          <cell r="A655" t="str">
            <v>RELIANCE ENERGY LIMITED</v>
          </cell>
        </row>
        <row r="656">
          <cell r="A656" t="str">
            <v xml:space="preserve">SCHEDULES ANNEXED TO AND FORMING PART OF THE ACCOUNTS                            </v>
          </cell>
        </row>
        <row r="659">
          <cell r="A659" t="str">
            <v>SCHEDULE 13 - EXPENDITURE OF EPC, CONTRACTS AND ELASTIMOLD DIVISIONS</v>
          </cell>
        </row>
        <row r="660">
          <cell r="A660" t="str">
            <v>(Other than Common Expenditure)</v>
          </cell>
        </row>
        <row r="661">
          <cell r="A661" t="str">
            <v>Cost of Materials and Sub-contract Charges</v>
          </cell>
          <cell r="D661">
            <v>10862739190.07</v>
          </cell>
        </row>
        <row r="663">
          <cell r="A663" t="str">
            <v>Cost of Elastimold</v>
          </cell>
          <cell r="D663">
            <v>12957933</v>
          </cell>
        </row>
        <row r="665">
          <cell r="A665" t="str">
            <v>Rent</v>
          </cell>
          <cell r="D665">
            <v>15926267.24</v>
          </cell>
        </row>
        <row r="666">
          <cell r="A666" t="str">
            <v>Repairs and Maintenance:</v>
          </cell>
        </row>
        <row r="667">
          <cell r="A667" t="str">
            <v>- Buildings</v>
          </cell>
          <cell r="D667">
            <v>5363222.6399999997</v>
          </cell>
        </row>
        <row r="668">
          <cell r="A668" t="str">
            <v xml:space="preserve">- Plant and Machinery </v>
          </cell>
          <cell r="D668">
            <v>11711088.52</v>
          </cell>
        </row>
        <row r="669">
          <cell r="A669" t="str">
            <v>-Other Assets</v>
          </cell>
          <cell r="D669">
            <v>3963988.48</v>
          </cell>
        </row>
        <row r="671">
          <cell r="A671" t="str">
            <v>Salaries, Wages and Bonus</v>
          </cell>
          <cell r="D671">
            <v>124049735.94</v>
          </cell>
        </row>
        <row r="673">
          <cell r="A673" t="str">
            <v>Contribution to Provident Fund and Other Funds</v>
          </cell>
          <cell r="D673">
            <v>14265147.9</v>
          </cell>
        </row>
        <row r="675">
          <cell r="A675" t="str">
            <v>Contribution To Gratuity Fund</v>
          </cell>
          <cell r="D675">
            <v>14076535.84</v>
          </cell>
        </row>
        <row r="677">
          <cell r="A677" t="str">
            <v>Workmen and Staff Welfare Expenses</v>
          </cell>
          <cell r="D677">
            <v>28789179.879999999</v>
          </cell>
        </row>
        <row r="679">
          <cell r="A679" t="str">
            <v>Insurance</v>
          </cell>
          <cell r="D679">
            <v>40813955.270000003</v>
          </cell>
        </row>
        <row r="681">
          <cell r="A681" t="str">
            <v>Rates and Taxes</v>
          </cell>
          <cell r="D681">
            <v>56160235.869999997</v>
          </cell>
        </row>
        <row r="683">
          <cell r="A683" t="str">
            <v xml:space="preserve">Miscellaneous Expenses </v>
          </cell>
          <cell r="D683">
            <v>329244578.82999998</v>
          </cell>
        </row>
        <row r="684">
          <cell r="A684" t="str">
            <v>[Includes Exchange Fluctuation Profit/(Loss) Rs.0.22 lacs (Rs.1.05 crore)]</v>
          </cell>
        </row>
        <row r="685">
          <cell r="A685" t="str">
            <v>Legal and Professional Charges</v>
          </cell>
          <cell r="D685">
            <v>554105</v>
          </cell>
        </row>
        <row r="687">
          <cell r="A687" t="str">
            <v>Loss on sale of assets</v>
          </cell>
          <cell r="D687">
            <v>681995.51</v>
          </cell>
        </row>
        <row r="689">
          <cell r="A689" t="str">
            <v>Bad Debts</v>
          </cell>
          <cell r="D689">
            <v>860216.46</v>
          </cell>
        </row>
        <row r="691">
          <cell r="A691" t="str">
            <v>Provision for Doubtful Debts</v>
          </cell>
          <cell r="D691">
            <v>123311620.01000001</v>
          </cell>
        </row>
        <row r="692">
          <cell r="D692">
            <v>11645468996.459999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over all s curve"/>
      <sheetName val="CritIssues"/>
      <sheetName val="DETAIL SHEET"/>
      <sheetName val="ANALYSIS SHEET"/>
      <sheetName val="CONCERNS"/>
      <sheetName val="Performance Para"/>
      <sheetName val="Total Subs"/>
      <sheetName val="Call Attempts"/>
      <sheetName val="MOU"/>
      <sheetName val="MOU_Subscriber"/>
      <sheetName val="CSR (RIM-RIM)"/>
      <sheetName val="CSR (LEX)"/>
      <sheetName val="CSR (TAX)"/>
      <sheetName val="CSR (Others)"/>
      <sheetName val="Call Setup Success"/>
      <sheetName val="RF Failure Rate"/>
      <sheetName val="Dropped Call Rate"/>
      <sheetName val="Summary"/>
      <sheetName val="North"/>
      <sheetName val="East"/>
      <sheetName val="West"/>
      <sheetName val="South "/>
      <sheetName val="A-General"/>
      <sheetName val="fco"/>
      <sheetName val="Edit(01)"/>
      <sheetName val="over_all_s_curve"/>
      <sheetName val="DETAIL_SHEET"/>
      <sheetName val="ANALYSIS_SHEET"/>
      <sheetName val="Performance_Para"/>
      <sheetName val="Total_Subs"/>
      <sheetName val="Call_Attempts"/>
      <sheetName val="CSR_(RIM-RIM)"/>
      <sheetName val="CSR_(LEX)"/>
      <sheetName val="CSR_(TAX)"/>
      <sheetName val="CSR_(Others)"/>
      <sheetName val="Call_Setup_Success"/>
      <sheetName val="RF_Failure_Rate"/>
      <sheetName val="Dropped_Call_Rate"/>
      <sheetName val="South_"/>
      <sheetName val="over_all_s_curve1"/>
      <sheetName val="DETAIL_SHEET1"/>
      <sheetName val="ANALYSIS_SHEET1"/>
      <sheetName val="Performance_Para1"/>
      <sheetName val="Total_Subs1"/>
      <sheetName val="Call_Attempts1"/>
      <sheetName val="CSR_(RIM-RIM)1"/>
      <sheetName val="CSR_(LEX)1"/>
      <sheetName val="CSR_(TAX)1"/>
      <sheetName val="CSR_(Others)1"/>
      <sheetName val="Call_Setup_Success1"/>
      <sheetName val="RF_Failure_Rate1"/>
      <sheetName val="Dropped_Call_Rate1"/>
      <sheetName val="South_1"/>
      <sheetName val="over_all_s_curve2"/>
      <sheetName val="DETAIL_SHEET2"/>
      <sheetName val="ANALYSIS_SHEET2"/>
      <sheetName val="Performance_Para2"/>
      <sheetName val="Total_Subs2"/>
      <sheetName val="Call_Attempts2"/>
      <sheetName val="CSR_(RIM-RIM)2"/>
      <sheetName val="CSR_(LEX)2"/>
      <sheetName val="CSR_(TAX)2"/>
      <sheetName val="CSR_(Others)2"/>
      <sheetName val="Call_Setup_Success2"/>
      <sheetName val="RF_Failure_Rate2"/>
      <sheetName val="Dropped_Call_Rate2"/>
      <sheetName val="South_2"/>
      <sheetName val="Assmpns"/>
      <sheetName val="Const QMS Dash Board"/>
      <sheetName val="Table"/>
      <sheetName val="spool"/>
      <sheetName val="Const_QMS_Dash_Board"/>
      <sheetName val="NLD - Assum"/>
      <sheetName val="Const_QMS_Dash_Board1"/>
      <sheetName val="Const_QMS_Dash_Board2"/>
      <sheetName val="over_all_s_curve3"/>
      <sheetName val="DETAIL_SHEET3"/>
      <sheetName val="ANALYSIS_SHEET3"/>
      <sheetName val="South_3"/>
      <sheetName val="Performance_Para3"/>
      <sheetName val="Total_Subs3"/>
      <sheetName val="Call_Attempts3"/>
      <sheetName val="CSR_(RIM-RIM)3"/>
      <sheetName val="CSR_(LEX)3"/>
      <sheetName val="CSR_(TAX)3"/>
      <sheetName val="CSR_(Others)3"/>
      <sheetName val="Call_Setup_Success3"/>
      <sheetName val="RF_Failure_Rate3"/>
      <sheetName val="Dropped_Call_Rate3"/>
      <sheetName val="Const_QMS_Dash_Board3"/>
      <sheetName val="Equipment"/>
    </sheetNames>
    <sheetDataSet>
      <sheetData sheetId="0" refreshError="1"/>
      <sheetData sheetId="1"/>
      <sheetData sheetId="2" refreshError="1"/>
      <sheetData sheetId="3" refreshError="1">
        <row r="10">
          <cell r="L10">
            <v>37044</v>
          </cell>
          <cell r="M10">
            <v>37051</v>
          </cell>
          <cell r="N10">
            <v>37058</v>
          </cell>
          <cell r="O10">
            <v>37065</v>
          </cell>
          <cell r="P10">
            <v>37072</v>
          </cell>
          <cell r="Q10">
            <v>37079</v>
          </cell>
          <cell r="R10">
            <v>37086</v>
          </cell>
          <cell r="S10">
            <v>37093</v>
          </cell>
          <cell r="T10">
            <v>37100</v>
          </cell>
          <cell r="U10">
            <v>37107</v>
          </cell>
          <cell r="V10">
            <v>37114</v>
          </cell>
          <cell r="W10">
            <v>37121</v>
          </cell>
          <cell r="X10">
            <v>37128</v>
          </cell>
          <cell r="Y10">
            <v>37135</v>
          </cell>
          <cell r="Z10">
            <v>37142</v>
          </cell>
          <cell r="AA10">
            <v>37149</v>
          </cell>
          <cell r="AB10">
            <v>37156</v>
          </cell>
          <cell r="AC10">
            <v>37163</v>
          </cell>
          <cell r="AD10">
            <v>37170</v>
          </cell>
          <cell r="AE10">
            <v>37177</v>
          </cell>
          <cell r="AF10">
            <v>37184</v>
          </cell>
          <cell r="AG10">
            <v>37191</v>
          </cell>
          <cell r="AH10">
            <v>37198</v>
          </cell>
          <cell r="AI10">
            <v>37205</v>
          </cell>
          <cell r="AJ10">
            <v>37212</v>
          </cell>
          <cell r="AK10">
            <v>37219</v>
          </cell>
          <cell r="AL10">
            <v>37226</v>
          </cell>
          <cell r="AM10">
            <v>37233</v>
          </cell>
          <cell r="AN10">
            <v>37240</v>
          </cell>
          <cell r="AO10">
            <v>37247</v>
          </cell>
          <cell r="AP10">
            <v>37254</v>
          </cell>
          <cell r="AQ10">
            <v>37261</v>
          </cell>
          <cell r="AR10">
            <v>37268</v>
          </cell>
          <cell r="AS10">
            <v>37275</v>
          </cell>
          <cell r="AT10">
            <v>37282</v>
          </cell>
          <cell r="AU10">
            <v>37289</v>
          </cell>
          <cell r="AV10">
            <v>37296</v>
          </cell>
          <cell r="AW10">
            <v>37303</v>
          </cell>
          <cell r="AX10">
            <v>37310</v>
          </cell>
          <cell r="AY10">
            <v>37317</v>
          </cell>
          <cell r="AZ10">
            <v>37324</v>
          </cell>
          <cell r="BA10">
            <v>37331</v>
          </cell>
        </row>
        <row r="12">
          <cell r="L12">
            <v>0.91939793497976841</v>
          </cell>
          <cell r="N12">
            <v>0.99030277661504118</v>
          </cell>
          <cell r="P12">
            <v>1</v>
          </cell>
          <cell r="R12">
            <v>1</v>
          </cell>
          <cell r="T12">
            <v>1</v>
          </cell>
          <cell r="W12">
            <v>1</v>
          </cell>
          <cell r="X12">
            <v>1</v>
          </cell>
          <cell r="Y12">
            <v>1</v>
          </cell>
          <cell r="AA12">
            <v>1</v>
          </cell>
          <cell r="AC12">
            <v>1</v>
          </cell>
          <cell r="AE12">
            <v>1</v>
          </cell>
          <cell r="AH12">
            <v>1</v>
          </cell>
          <cell r="AJ12">
            <v>1</v>
          </cell>
          <cell r="AL12">
            <v>1</v>
          </cell>
          <cell r="AN12">
            <v>1</v>
          </cell>
          <cell r="AP12">
            <v>1</v>
          </cell>
          <cell r="AR12">
            <v>1</v>
          </cell>
          <cell r="AU12">
            <v>1</v>
          </cell>
          <cell r="AW12">
            <v>1</v>
          </cell>
          <cell r="AY12">
            <v>1</v>
          </cell>
          <cell r="BA12">
            <v>1</v>
          </cell>
        </row>
        <row r="13">
          <cell r="L13">
            <v>0.91939793497976841</v>
          </cell>
          <cell r="N13">
            <v>0.92567671271103669</v>
          </cell>
          <cell r="P13">
            <v>0.93132761266917818</v>
          </cell>
          <cell r="R13">
            <v>0.94562927305706712</v>
          </cell>
          <cell r="T13">
            <v>0.95686130877633591</v>
          </cell>
          <cell r="W13">
            <v>0.95686130877633591</v>
          </cell>
          <cell r="X13">
            <v>0.95686130877633591</v>
          </cell>
          <cell r="Y13">
            <v>0.95686130877633591</v>
          </cell>
          <cell r="Z13">
            <v>0.96644342123622162</v>
          </cell>
        </row>
        <row r="15">
          <cell r="L15">
            <v>0.89312549446961464</v>
          </cell>
          <cell r="N15">
            <v>0.92082276953216025</v>
          </cell>
          <cell r="P15">
            <v>0.95570598749506408</v>
          </cell>
          <cell r="R15">
            <v>1.0000076743079518</v>
          </cell>
          <cell r="T15">
            <v>1.0000076743079518</v>
          </cell>
          <cell r="W15">
            <v>1.0000076743079518</v>
          </cell>
          <cell r="X15">
            <v>1</v>
          </cell>
          <cell r="Y15">
            <v>1.0000076743079518</v>
          </cell>
          <cell r="AA15">
            <v>1.0000076743079518</v>
          </cell>
          <cell r="AC15">
            <v>1.0000076743079518</v>
          </cell>
          <cell r="AE15">
            <v>1.0000076743079518</v>
          </cell>
          <cell r="AH15">
            <v>1.0000076743079518</v>
          </cell>
          <cell r="AJ15">
            <v>1.0000076743079518</v>
          </cell>
          <cell r="AL15">
            <v>1.0000076743079518</v>
          </cell>
          <cell r="AN15">
            <v>1.0000076743079518</v>
          </cell>
          <cell r="AP15">
            <v>1.0000076743079518</v>
          </cell>
          <cell r="AR15">
            <v>1.0000076743079518</v>
          </cell>
          <cell r="AU15">
            <v>1.0000076743079518</v>
          </cell>
          <cell r="AW15">
            <v>1.0000076743079518</v>
          </cell>
          <cell r="AY15">
            <v>1.0000076743079518</v>
          </cell>
          <cell r="BA15">
            <v>1.0000076743079518</v>
          </cell>
        </row>
        <row r="16">
          <cell r="L16">
            <v>0.89312549446961464</v>
          </cell>
          <cell r="N16">
            <v>0.92082276953216025</v>
          </cell>
          <cell r="P16">
            <v>0.92786917956066683</v>
          </cell>
          <cell r="R16">
            <v>0.94217129892545737</v>
          </cell>
          <cell r="T16">
            <v>0.95689201690580283</v>
          </cell>
          <cell r="W16">
            <v>0.95689201690580283</v>
          </cell>
          <cell r="X16">
            <v>0.95689201690580283</v>
          </cell>
          <cell r="Y16">
            <v>0.95689201690580283</v>
          </cell>
          <cell r="Z16">
            <v>0.96647443688021251</v>
          </cell>
        </row>
        <row r="18">
          <cell r="L18">
            <v>0</v>
          </cell>
          <cell r="N18">
            <v>0</v>
          </cell>
          <cell r="P18">
            <v>0</v>
          </cell>
          <cell r="R18">
            <v>2.3804307937885542E-3</v>
          </cell>
          <cell r="T18">
            <v>2.2599785770530744E-2</v>
          </cell>
          <cell r="W18">
            <v>8.6974404865170177E-2</v>
          </cell>
          <cell r="X18">
            <v>0.14697440486517016</v>
          </cell>
          <cell r="Y18">
            <v>0.22464055285714485</v>
          </cell>
          <cell r="Z18">
            <v>0.3</v>
          </cell>
          <cell r="AA18">
            <v>0.42172657200446562</v>
          </cell>
          <cell r="AC18">
            <v>0.64032824836789182</v>
          </cell>
          <cell r="AE18">
            <v>0.84088511281930367</v>
          </cell>
          <cell r="AH18">
            <v>0.94993202229797302</v>
          </cell>
          <cell r="AJ18">
            <v>0.98847082204861225</v>
          </cell>
          <cell r="AL18">
            <v>0.99999999999999978</v>
          </cell>
          <cell r="AN18">
            <v>0.99999999999999978</v>
          </cell>
          <cell r="AP18">
            <v>0.99999999999999978</v>
          </cell>
          <cell r="AR18">
            <v>0.99999999999999978</v>
          </cell>
          <cell r="AU18">
            <v>0.99999999999999978</v>
          </cell>
          <cell r="AW18">
            <v>0.99999999999999978</v>
          </cell>
          <cell r="AY18">
            <v>0.99999999999999978</v>
          </cell>
          <cell r="BA18">
            <v>0.99999999999999978</v>
          </cell>
        </row>
        <row r="19">
          <cell r="L19">
            <v>0</v>
          </cell>
          <cell r="N19">
            <v>0</v>
          </cell>
          <cell r="P19">
            <v>0</v>
          </cell>
          <cell r="R19">
            <v>0</v>
          </cell>
          <cell r="S19">
            <v>0</v>
          </cell>
          <cell r="T19">
            <v>0</v>
          </cell>
          <cell r="U19">
            <v>0</v>
          </cell>
          <cell r="V19">
            <v>0</v>
          </cell>
          <cell r="W19">
            <v>0</v>
          </cell>
          <cell r="X19">
            <v>0</v>
          </cell>
          <cell r="Y19">
            <v>0</v>
          </cell>
          <cell r="Z19">
            <v>0</v>
          </cell>
          <cell r="AA19">
            <v>0</v>
          </cell>
          <cell r="AC19">
            <v>0</v>
          </cell>
          <cell r="AE19">
            <v>0</v>
          </cell>
          <cell r="AG19">
            <v>0</v>
          </cell>
          <cell r="AH19">
            <v>0</v>
          </cell>
          <cell r="AJ19">
            <v>0</v>
          </cell>
          <cell r="AL19">
            <v>0</v>
          </cell>
        </row>
        <row r="21">
          <cell r="L21">
            <v>0</v>
          </cell>
          <cell r="N21">
            <v>0</v>
          </cell>
          <cell r="P21">
            <v>6.6916836421089913E-3</v>
          </cell>
          <cell r="R21">
            <v>2.9219154387668218E-2</v>
          </cell>
          <cell r="T21">
            <v>7.7472282534953724E-2</v>
          </cell>
          <cell r="W21">
            <v>0.16754903180586575</v>
          </cell>
          <cell r="X21">
            <v>0.22754903180586575</v>
          </cell>
          <cell r="Y21">
            <v>0.30495825560038586</v>
          </cell>
          <cell r="Z21">
            <v>0.37995825560038587</v>
          </cell>
          <cell r="AA21">
            <v>0.47879200736018385</v>
          </cell>
          <cell r="AC21">
            <v>0.66049695012854148</v>
          </cell>
          <cell r="AE21">
            <v>0.81170798035669511</v>
          </cell>
          <cell r="AH21">
            <v>0.91688301087437651</v>
          </cell>
          <cell r="AJ21">
            <v>0.97238264254081697</v>
          </cell>
          <cell r="AL21">
            <v>0.99465163102722276</v>
          </cell>
          <cell r="AN21">
            <v>0.99999999999999989</v>
          </cell>
          <cell r="AP21">
            <v>0.99999999999999989</v>
          </cell>
          <cell r="AR21">
            <v>0.99999999999999989</v>
          </cell>
          <cell r="AU21">
            <v>0.99999999999999989</v>
          </cell>
          <cell r="AW21">
            <v>0.99999999999999989</v>
          </cell>
          <cell r="AY21">
            <v>0.99999999999999989</v>
          </cell>
          <cell r="BA21">
            <v>0.99999999999999989</v>
          </cell>
        </row>
        <row r="22">
          <cell r="L22">
            <v>0</v>
          </cell>
          <cell r="N22">
            <v>0</v>
          </cell>
          <cell r="P22">
            <v>2.4999264727508016E-3</v>
          </cell>
          <cell r="R22">
            <v>3.8136133250982816E-3</v>
          </cell>
          <cell r="T22">
            <v>5.051202279261878E-2</v>
          </cell>
          <cell r="W22">
            <v>0.10944138164329054</v>
          </cell>
          <cell r="X22">
            <v>0.11799329975174716</v>
          </cell>
          <cell r="Y22">
            <v>0.15210136088582321</v>
          </cell>
          <cell r="Z22">
            <v>0.20461243812837324</v>
          </cell>
          <cell r="AA22">
            <v>0</v>
          </cell>
          <cell r="AC22">
            <v>0</v>
          </cell>
          <cell r="AE22">
            <v>0</v>
          </cell>
          <cell r="AH22">
            <v>0</v>
          </cell>
          <cell r="AJ22">
            <v>0</v>
          </cell>
          <cell r="AL22">
            <v>0</v>
          </cell>
          <cell r="AN22">
            <v>0</v>
          </cell>
        </row>
        <row r="24">
          <cell r="L24">
            <v>1.6743944622193821E-2</v>
          </cell>
          <cell r="N24">
            <v>3.7909999902326998E-2</v>
          </cell>
          <cell r="P24">
            <v>0.12624262161801389</v>
          </cell>
          <cell r="R24">
            <v>0.28782530344911311</v>
          </cell>
          <cell r="T24">
            <v>0.4111375138311959</v>
          </cell>
          <cell r="W24">
            <v>0.47581602311780619</v>
          </cell>
          <cell r="X24">
            <v>0.4878160231178062</v>
          </cell>
          <cell r="Y24">
            <v>0.49533801140541694</v>
          </cell>
          <cell r="Z24">
            <v>0.55533801140541694</v>
          </cell>
          <cell r="AA24">
            <v>0.59589102203642652</v>
          </cell>
          <cell r="AC24">
            <v>0.79676569779691553</v>
          </cell>
          <cell r="AE24">
            <v>0.94298262676212585</v>
          </cell>
          <cell r="AH24">
            <v>0.99160743263701778</v>
          </cell>
          <cell r="AJ24">
            <v>1</v>
          </cell>
          <cell r="AL24">
            <v>1</v>
          </cell>
          <cell r="AN24">
            <v>1</v>
          </cell>
          <cell r="AP24">
            <v>1</v>
          </cell>
          <cell r="AR24">
            <v>1</v>
          </cell>
          <cell r="AU24">
            <v>1</v>
          </cell>
          <cell r="AW24">
            <v>1</v>
          </cell>
          <cell r="AY24">
            <v>1</v>
          </cell>
          <cell r="BA24">
            <v>1</v>
          </cell>
        </row>
        <row r="25">
          <cell r="L25">
            <v>1.6743944622193821E-2</v>
          </cell>
          <cell r="N25">
            <v>3.6069247373642525E-2</v>
          </cell>
          <cell r="P25">
            <v>0.14664904831604755</v>
          </cell>
          <cell r="R25">
            <v>0.20853187698223888</v>
          </cell>
          <cell r="T25">
            <v>0.27250769872620445</v>
          </cell>
          <cell r="W25">
            <v>0.30794904817651469</v>
          </cell>
          <cell r="X25">
            <v>0.33725095126535387</v>
          </cell>
          <cell r="Y25">
            <v>0.34283226613941853</v>
          </cell>
          <cell r="Z25">
            <v>0.38776185087563858</v>
          </cell>
          <cell r="AA25">
            <v>0</v>
          </cell>
          <cell r="AC25">
            <v>0</v>
          </cell>
          <cell r="AE25">
            <v>0</v>
          </cell>
          <cell r="AH25">
            <v>0</v>
          </cell>
          <cell r="AJ25">
            <v>0</v>
          </cell>
        </row>
        <row r="27">
          <cell r="L27">
            <v>1.7849742631617871E-2</v>
          </cell>
          <cell r="N27">
            <v>4.0682826465377381E-2</v>
          </cell>
          <cell r="P27">
            <v>8.1161372049561586E-2</v>
          </cell>
          <cell r="R27">
            <v>0.19783840669570052</v>
          </cell>
          <cell r="T27">
            <v>0.32073986797907061</v>
          </cell>
          <cell r="W27">
            <v>0.43882303324928812</v>
          </cell>
          <cell r="X27">
            <v>0.46382303324928814</v>
          </cell>
          <cell r="Y27">
            <v>0.48570272840584294</v>
          </cell>
          <cell r="Z27">
            <v>0.52070272840584297</v>
          </cell>
          <cell r="AA27">
            <v>0.56468214810457551</v>
          </cell>
          <cell r="AC27">
            <v>0.71385750285195237</v>
          </cell>
          <cell r="AE27">
            <v>0.87673387931881663</v>
          </cell>
          <cell r="AH27">
            <v>0.96623918047161728</v>
          </cell>
          <cell r="AJ27">
            <v>0.99443582773590578</v>
          </cell>
          <cell r="AL27">
            <v>1</v>
          </cell>
          <cell r="AN27">
            <v>1</v>
          </cell>
          <cell r="AP27">
            <v>1</v>
          </cell>
          <cell r="AR27">
            <v>1</v>
          </cell>
          <cell r="AU27">
            <v>1</v>
          </cell>
          <cell r="AW27">
            <v>1</v>
          </cell>
          <cell r="AY27">
            <v>1</v>
          </cell>
          <cell r="BA27">
            <v>1</v>
          </cell>
        </row>
        <row r="28">
          <cell r="L28">
            <v>1.3067253448903762E-2</v>
          </cell>
          <cell r="N28">
            <v>2.1568293666463418E-2</v>
          </cell>
          <cell r="P28">
            <v>7.2626859798765708E-2</v>
          </cell>
          <cell r="R28">
            <v>0.10740542810778078</v>
          </cell>
          <cell r="T28">
            <v>0.20994464730973647</v>
          </cell>
          <cell r="W28">
            <v>0.25789163039974777</v>
          </cell>
          <cell r="X28">
            <v>0.30098984619291547</v>
          </cell>
          <cell r="Y28">
            <v>0.30798393139447766</v>
          </cell>
          <cell r="Z28">
            <v>0.35626230505513645</v>
          </cell>
          <cell r="AA28">
            <v>0</v>
          </cell>
          <cell r="AC28">
            <v>0</v>
          </cell>
          <cell r="AE28">
            <v>0</v>
          </cell>
          <cell r="AH28">
            <v>0</v>
          </cell>
          <cell r="AJ28">
            <v>0</v>
          </cell>
          <cell r="AL28">
            <v>0</v>
          </cell>
        </row>
        <row r="30">
          <cell r="L30">
            <v>0</v>
          </cell>
          <cell r="N30">
            <v>0</v>
          </cell>
          <cell r="P30">
            <v>0</v>
          </cell>
          <cell r="R30">
            <v>0</v>
          </cell>
          <cell r="T30">
            <v>0</v>
          </cell>
          <cell r="W30">
            <v>0</v>
          </cell>
          <cell r="Y30">
            <v>0</v>
          </cell>
          <cell r="AA30">
            <v>2.7977805901403283E-2</v>
          </cell>
          <cell r="AC30">
            <v>0.10779287283849312</v>
          </cell>
          <cell r="AE30">
            <v>0.25931603269483516</v>
          </cell>
          <cell r="AH30">
            <v>0.41865145728765613</v>
          </cell>
          <cell r="AJ30">
            <v>0.46623763374067212</v>
          </cell>
          <cell r="AL30">
            <v>0.51047405986662098</v>
          </cell>
          <cell r="AN30">
            <v>0.56456577560551879</v>
          </cell>
          <cell r="AP30">
            <v>0.6601684895896428</v>
          </cell>
          <cell r="AR30">
            <v>0.79492215804626243</v>
          </cell>
          <cell r="AU30">
            <v>0.90139567913629648</v>
          </cell>
          <cell r="AW30">
            <v>0.96639909927725787</v>
          </cell>
          <cell r="AY30">
            <v>0.99462539028507024</v>
          </cell>
          <cell r="BA30">
            <v>1</v>
          </cell>
        </row>
        <row r="31">
          <cell r="L31">
            <v>0</v>
          </cell>
          <cell r="N31">
            <v>0</v>
          </cell>
          <cell r="P31">
            <v>0</v>
          </cell>
          <cell r="R31">
            <v>0</v>
          </cell>
          <cell r="T31">
            <v>0</v>
          </cell>
          <cell r="W31">
            <v>0</v>
          </cell>
          <cell r="X31">
            <v>0</v>
          </cell>
          <cell r="Y31">
            <v>0</v>
          </cell>
          <cell r="AA31">
            <v>0</v>
          </cell>
          <cell r="AC31">
            <v>0</v>
          </cell>
          <cell r="AE31">
            <v>0</v>
          </cell>
          <cell r="AH31">
            <v>0</v>
          </cell>
          <cell r="AJ31">
            <v>0</v>
          </cell>
          <cell r="AL31">
            <v>0</v>
          </cell>
          <cell r="AN31">
            <v>0</v>
          </cell>
          <cell r="AP31">
            <v>0</v>
          </cell>
          <cell r="AR31">
            <v>0</v>
          </cell>
          <cell r="AU31">
            <v>0</v>
          </cell>
          <cell r="AW31">
            <v>0</v>
          </cell>
          <cell r="AY31">
            <v>0</v>
          </cell>
          <cell r="BA31">
            <v>0</v>
          </cell>
        </row>
        <row r="54">
          <cell r="L54">
            <v>0.44047337977177931</v>
          </cell>
          <cell r="N54">
            <v>0.46006348124269364</v>
          </cell>
          <cell r="P54">
            <v>0.49432992119408287</v>
          </cell>
          <cell r="R54">
            <v>0.55475346079269849</v>
          </cell>
          <cell r="T54">
            <v>0.59383328395116886</v>
          </cell>
          <cell r="W54">
            <v>0.63407603834982917</v>
          </cell>
          <cell r="X54">
            <v>0.64653376856509359</v>
          </cell>
          <cell r="Y54">
            <v>0.67094873696075719</v>
          </cell>
          <cell r="Z54">
            <v>0.68931348798398795</v>
          </cell>
          <cell r="AA54">
            <v>0.72969405543426347</v>
          </cell>
          <cell r="AC54">
            <v>0.81388214962756034</v>
          </cell>
          <cell r="AE54">
            <v>0.89639675585243639</v>
          </cell>
          <cell r="AH54">
            <v>0.94445140444107056</v>
          </cell>
          <cell r="AJ54">
            <v>0.96021505869683488</v>
          </cell>
          <cell r="AL54">
            <v>0.96647065996666137</v>
          </cell>
          <cell r="AN54">
            <v>0.9703736875722615</v>
          </cell>
          <cell r="AP54">
            <v>0.9768810562080471</v>
          </cell>
          <cell r="AR54">
            <v>0.98605330414043613</v>
          </cell>
          <cell r="AU54">
            <v>0.9933006135818605</v>
          </cell>
          <cell r="AW54">
            <v>0.99772518690008594</v>
          </cell>
          <cell r="AY54">
            <v>0.99964645956227516</v>
          </cell>
          <cell r="BA54">
            <v>1.0000122919244645</v>
          </cell>
        </row>
        <row r="55">
          <cell r="L55">
            <v>0.43974091174764435</v>
          </cell>
          <cell r="N55">
            <v>0.45691147572755314</v>
          </cell>
          <cell r="P55">
            <v>0.48175844201387791</v>
          </cell>
          <cell r="R55">
            <v>0.5016635379898855</v>
          </cell>
          <cell r="T55">
            <v>0.53428292554164736</v>
          </cell>
          <cell r="W55">
            <v>0.54838567492262125</v>
          </cell>
          <cell r="X55">
            <v>0.55891371560164804</v>
          </cell>
          <cell r="Y55">
            <v>0.56207611295574722</v>
          </cell>
          <cell r="Z55">
            <v>0.58178408860555331</v>
          </cell>
          <cell r="AA55">
            <v>0</v>
          </cell>
          <cell r="AC55">
            <v>0</v>
          </cell>
          <cell r="AE55">
            <v>0</v>
          </cell>
          <cell r="AH55">
            <v>0</v>
          </cell>
          <cell r="AJ55">
            <v>0</v>
          </cell>
          <cell r="AL55">
            <v>0</v>
          </cell>
          <cell r="AN55">
            <v>0</v>
          </cell>
          <cell r="AP55">
            <v>0</v>
          </cell>
          <cell r="AR55">
            <v>0</v>
          </cell>
          <cell r="AU55">
            <v>0</v>
          </cell>
          <cell r="AW55">
            <v>0</v>
          </cell>
          <cell r="AY55">
            <v>0</v>
          </cell>
          <cell r="BA55">
            <v>0</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refreshError="1"/>
      <sheetData sheetId="24" refreshError="1"/>
      <sheetData sheetId="25" refreshError="1"/>
      <sheetData sheetId="26" refreshError="1"/>
      <sheetData sheetId="27">
        <row r="10">
          <cell r="L10">
            <v>37044</v>
          </cell>
        </row>
      </sheetData>
      <sheetData sheetId="28">
        <row r="10">
          <cell r="L10">
            <v>37044</v>
          </cell>
        </row>
      </sheetData>
      <sheetData sheetId="29">
        <row r="10">
          <cell r="L10">
            <v>37044</v>
          </cell>
        </row>
      </sheetData>
      <sheetData sheetId="30"/>
      <sheetData sheetId="31">
        <row r="10">
          <cell r="L10">
            <v>37044</v>
          </cell>
        </row>
      </sheetData>
      <sheetData sheetId="32"/>
      <sheetData sheetId="33">
        <row r="10">
          <cell r="L10">
            <v>37044</v>
          </cell>
        </row>
      </sheetData>
      <sheetData sheetId="34">
        <row r="10">
          <cell r="L10">
            <v>37044</v>
          </cell>
        </row>
      </sheetData>
      <sheetData sheetId="35"/>
      <sheetData sheetId="36"/>
      <sheetData sheetId="37"/>
      <sheetData sheetId="38"/>
      <sheetData sheetId="39"/>
      <sheetData sheetId="40">
        <row r="10">
          <cell r="L10">
            <v>37044</v>
          </cell>
        </row>
      </sheetData>
      <sheetData sheetId="41" refreshError="1"/>
      <sheetData sheetId="42" refreshError="1"/>
      <sheetData sheetId="43">
        <row r="10">
          <cell r="L10">
            <v>37044</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ow r="10">
          <cell r="L10">
            <v>37044</v>
          </cell>
        </row>
      </sheetData>
      <sheetData sheetId="56"/>
      <sheetData sheetId="57">
        <row r="10">
          <cell r="L10">
            <v>37044</v>
          </cell>
        </row>
      </sheetData>
      <sheetData sheetId="58"/>
      <sheetData sheetId="59"/>
      <sheetData sheetId="60">
        <row r="10">
          <cell r="L10">
            <v>37044</v>
          </cell>
        </row>
      </sheetData>
      <sheetData sheetId="61">
        <row r="10">
          <cell r="L10">
            <v>37044</v>
          </cell>
        </row>
      </sheetData>
      <sheetData sheetId="62">
        <row r="10">
          <cell r="L10">
            <v>37044</v>
          </cell>
        </row>
      </sheetData>
      <sheetData sheetId="63">
        <row r="10">
          <cell r="L10">
            <v>37044</v>
          </cell>
        </row>
      </sheetData>
      <sheetData sheetId="64">
        <row r="10">
          <cell r="L10">
            <v>37044</v>
          </cell>
        </row>
      </sheetData>
      <sheetData sheetId="65">
        <row r="10">
          <cell r="L10">
            <v>37044</v>
          </cell>
        </row>
      </sheetData>
      <sheetData sheetId="66">
        <row r="10">
          <cell r="L10">
            <v>37044</v>
          </cell>
        </row>
      </sheetData>
      <sheetData sheetId="67"/>
      <sheetData sheetId="68" refreshError="1"/>
      <sheetData sheetId="69" refreshError="1"/>
      <sheetData sheetId="70" refreshError="1"/>
      <sheetData sheetId="71" refreshError="1"/>
      <sheetData sheetId="72" refreshError="1"/>
      <sheetData sheetId="73" refreshError="1"/>
      <sheetData sheetId="74"/>
      <sheetData sheetId="75">
        <row r="10">
          <cell r="L10">
            <v>37044</v>
          </cell>
        </row>
      </sheetData>
      <sheetData sheetId="76">
        <row r="10">
          <cell r="L10">
            <v>37044</v>
          </cell>
        </row>
      </sheetData>
      <sheetData sheetId="77">
        <row r="10">
          <cell r="L10">
            <v>37044</v>
          </cell>
        </row>
      </sheetData>
      <sheetData sheetId="78">
        <row r="10">
          <cell r="L10">
            <v>37044</v>
          </cell>
        </row>
      </sheetData>
      <sheetData sheetId="79">
        <row r="10">
          <cell r="L10">
            <v>37044</v>
          </cell>
        </row>
      </sheetData>
      <sheetData sheetId="80">
        <row r="10">
          <cell r="L10">
            <v>37044</v>
          </cell>
        </row>
      </sheetData>
      <sheetData sheetId="81">
        <row r="10">
          <cell r="L10">
            <v>37044</v>
          </cell>
        </row>
      </sheetData>
      <sheetData sheetId="82">
        <row r="10">
          <cell r="L10">
            <v>37044</v>
          </cell>
        </row>
      </sheetData>
      <sheetData sheetId="83"/>
      <sheetData sheetId="84"/>
      <sheetData sheetId="85"/>
      <sheetData sheetId="86"/>
      <sheetData sheetId="87"/>
      <sheetData sheetId="88"/>
      <sheetData sheetId="89"/>
      <sheetData sheetId="90"/>
      <sheetData sheetId="91"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_Page"/>
      <sheetName val="TB_data"/>
      <sheetName val="Bal_TB"/>
      <sheetName val="Pivot Table"/>
      <sheetName val="Sum_Sch"/>
      <sheetName val="Creditors"/>
      <sheetName val="BS"/>
      <sheetName val="P_L"/>
      <sheetName val="Add_Dep"/>
      <sheetName val="Dep"/>
      <sheetName val="F.A.-Sch"/>
      <sheetName val="BS_Sch"/>
      <sheetName val="P&amp;L_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phil_codes"/>
      <sheetName val="gmr_tb"/>
      <sheetName val="phil-tb"/>
      <sheetName val="phil"/>
      <sheetName val="GMR"/>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2)"/>
      <sheetName val="Sheet1"/>
      <sheetName val="Sheet2"/>
      <sheetName val="Sheet3"/>
      <sheetName val="#REF"/>
      <sheetName val="_REF"/>
      <sheetName val="WACC_VDF"/>
      <sheetName val="STI"/>
      <sheetName val="DETAIL SHEET"/>
      <sheetName val="StaffWelfare"/>
      <sheetName val="TB-03-06"/>
      <sheetName val="3CD-ANX"/>
      <sheetName val="TRIALBALANCE"/>
      <sheetName val="SUMMARY SHEET"/>
      <sheetName val="Rates"/>
      <sheetName val="FORM-16A ( MONTHLY DETAILED )"/>
      <sheetName val="WACC"/>
      <sheetName val="Computation"/>
      <sheetName val="TB"/>
      <sheetName val="BASIC SAL CALCULATION"/>
      <sheetName val="TB_Dec-adj"/>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96-97"/>
      <sheetName val="BAL96_97"/>
      <sheetName val="ANNUALAC"/>
      <sheetName val="income tax"/>
      <sheetName val="MAT"/>
      <sheetName val="houseprop"/>
      <sheetName val="dep"/>
      <sheetName val="wealthtax "/>
      <sheetName val="pl96-97"/>
      <sheetName val="TB"/>
      <sheetName val="BS SCH"/>
      <sheetName val="BS"/>
      <sheetName val="P &amp; L"/>
      <sheetName val="F Asset"/>
      <sheetName val="abstract"/>
      <sheetName val="Sheet1"/>
      <sheetName val="Sheet2"/>
      <sheetName val="Sheet3"/>
    </sheetNames>
    <sheetDataSet>
      <sheetData sheetId="0" refreshError="1"/>
      <sheetData sheetId="1"/>
      <sheetData sheetId="2" refreshError="1"/>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Co #"/>
      <sheetName val="JE"/>
      <sheetName val="Tony"/>
      <sheetName val="Co 59"/>
      <sheetName val="59-1999"/>
      <sheetName val="Total - Summary"/>
      <sheetName val="Co50"/>
      <sheetName val="Co56"/>
      <sheetName val="Co40"/>
      <sheetName val="Co64"/>
      <sheetName val="Co17"/>
      <sheetName val="Co44"/>
      <sheetName val="Co33"/>
      <sheetName val="Co65"/>
      <sheetName val="Co 01"/>
    </sheetNames>
    <sheetDataSet>
      <sheetData sheetId="0" refreshError="1"/>
      <sheetData sheetId="1" refreshError="1"/>
      <sheetData sheetId="2" refreshError="1"/>
      <sheetData sheetId="3" refreshError="1"/>
      <sheetData sheetId="4" refreshError="1">
        <row r="5">
          <cell r="B5">
            <v>66.394208313872028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S"/>
      <sheetName val="Tickmarks"/>
      <sheetName val="O.S. check"/>
      <sheetName val="Sub test- IOB EEFC"/>
      <sheetName val="CMA - IOB EEFC"/>
      <sheetName val="Sub test- HDFC 958"/>
      <sheetName val="CMA - HDFC"/>
      <sheetName val="Sub test - IOB"/>
      <sheetName val="CMA - IOB"/>
      <sheetName val="Sheet1"/>
    </sheetNames>
    <sheetDataSet>
      <sheetData sheetId="0"/>
      <sheetData sheetId="1" refreshError="1"/>
      <sheetData sheetId="2" refreshError="1"/>
      <sheetData sheetId="3" refreshError="1"/>
      <sheetData sheetId="4"/>
      <sheetData sheetId="5" refreshError="1"/>
      <sheetData sheetId="6"/>
      <sheetData sheetId="7" refreshError="1"/>
      <sheetData sheetId="8"/>
      <sheetData sheetId="9"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Leadsheet &amp; Movement"/>
      <sheetName val="#REF"/>
    </sheetNames>
    <sheetDataSet>
      <sheetData sheetId="0" refreshError="1"/>
      <sheetData sheetId="1"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App"/>
      <sheetName val="March 08 - def tax"/>
      <sheetName val="Def Tax"/>
      <sheetName val="Tax"/>
      <sheetName val="Mat"/>
      <sheetName val="Book Loss for Mat"/>
      <sheetName val="DEP IT"/>
    </sheetNames>
    <sheetDataSet>
      <sheetData sheetId="0"/>
      <sheetData sheetId="1"/>
      <sheetData sheetId="2"/>
      <sheetData sheetId="3"/>
      <sheetData sheetId="4"/>
      <sheetData sheetId="5"/>
      <sheetData sheetId="6"/>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BS"/>
    </sheetNames>
    <sheetDataSet>
      <sheetData sheetId="0" refreshError="1"/>
      <sheetData sheetId="1" refreshError="1">
        <row r="1">
          <cell r="L1">
            <v>1</v>
          </cell>
        </row>
      </sheetData>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Tags"/>
      <sheetName val="CntrlVlv"/>
      <sheetName val="FlowMtr"/>
      <sheetName val="IsolnVlv"/>
      <sheetName val="MOVs"/>
      <sheetName val="RelVlvs"/>
      <sheetName val="Overall"/>
      <sheetName val="ETASlippage"/>
      <sheetName val="BND-Merox-LNUU"/>
      <sheetName val="BSD-CPP"/>
      <sheetName val="BSN-Arom"/>
      <sheetName val="CD-FCC"/>
      <sheetName val="JP-Os&amp;Us"/>
      <sheetName val="JP-R_RLoading"/>
      <sheetName val="MDM-SHP_TAME"/>
      <sheetName val="MDM-RURW"/>
      <sheetName val="PBMR-Marine&amp;MTF"/>
      <sheetName val="RLG-CrudeHTrtr"/>
      <sheetName val="RMS-Utility"/>
      <sheetName val="SC-ATU_SWS"/>
      <sheetName val="SC-Coker"/>
      <sheetName val="InputActDelETA"/>
      <sheetName val="ProfileETAQrys"/>
      <sheetName val="InputPO_Del"/>
      <sheetName val="ProfilePO_DelQrys"/>
      <sheetName val="ChtData"/>
      <sheetName val="ChtData2"/>
      <sheetName val="Module1"/>
      <sheetName val="Module2"/>
      <sheetName val="Sale 30-4-2006"/>
      <sheetName val="Input"/>
      <sheetName val="C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tion of Threshold"/>
      <sheetName val="Data Sheet"/>
      <sheetName val="Threshold Table"/>
      <sheetName val="Tickmarks"/>
      <sheetName val="Company"/>
      <sheetName val="wwww"/>
      <sheetName val="Input"/>
      <sheetName val="Proj 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s"/>
      <sheetName val="T.P&amp;L"/>
      <sheetName val="U.BS"/>
      <sheetName val="W.CF"/>
    </sheetNames>
    <sheetDataSet>
      <sheetData sheetId="0" refreshError="1">
        <row r="2">
          <cell r="AM2" t="str">
            <v>Business Plan 2003-04</v>
          </cell>
        </row>
      </sheetData>
      <sheetData sheetId="1" refreshError="1"/>
      <sheetData sheetId="2" refreshError="1"/>
      <sheetData sheetId="3"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amp; Inputs"/>
      <sheetName val="EVA"/>
      <sheetName val="NOPAT"/>
      <sheetName val="Capital"/>
      <sheetName val="IS"/>
      <sheetName val="BS"/>
      <sheetName val="Amortisation"/>
      <sheetName val="Tax"/>
      <sheetName val="CWIP"/>
      <sheetName val="Excess Cash"/>
      <sheetName val="Checks _ Inputs"/>
      <sheetName val="wwww"/>
      <sheetName val="PF ann. 3CD"/>
      <sheetName val="Company"/>
      <sheetName val="Journal Vouchers"/>
      <sheetName val="BANKINT"/>
      <sheetName val="InputPO_Del"/>
      <sheetName val="Capital_by_Years_Valuation"/>
      <sheetName val="ReportsParameters"/>
      <sheetName val="Data"/>
      <sheetName val="Uplinking Exp"/>
      <sheetName val="Lookup"/>
      <sheetName val="Int-Dep &amp; Tax"/>
      <sheetName val="Trial vijay"/>
      <sheetName val="EVA Annual Calculation Template"/>
      <sheetName val="tables"/>
      <sheetName val="Schedule 1"/>
      <sheetName val="Schedule 2"/>
      <sheetName val="Schedule 3"/>
      <sheetName val="Schedule 3(a) "/>
      <sheetName val="Schedule 3(a)"/>
      <sheetName val="Schedule 4 "/>
      <sheetName val="Schedule 4"/>
      <sheetName val="Schedule 4 (a)"/>
      <sheetName val="Schedule 4(a)"/>
      <sheetName val="Schedule 5"/>
      <sheetName val="Schedule 6  "/>
      <sheetName val="Schedule 7"/>
      <sheetName val="Schedule 8  "/>
      <sheetName val="Schedule 6"/>
      <sheetName val="Schedule 8 "/>
      <sheetName val="clause 21(i)(B) Appx 7"/>
      <sheetName val="clause 21(ii)(B)-Annx11"/>
      <sheetName val="clause 21(ii)(B)a-Annx12"/>
      <sheetName val="reco deoosit"/>
      <sheetName val="Schedule 8a"/>
      <sheetName val="Schedule 9"/>
      <sheetName val="Schedule 9a"/>
      <sheetName val="Schedule 10"/>
      <sheetName val="Schedule 11"/>
      <sheetName val="Working"/>
      <sheetName val="Clause 32-Appx10"/>
      <sheetName val="Checks_&amp;_Inputs"/>
      <sheetName val="Excess_Cash"/>
      <sheetName val="PF_ann__3CD"/>
      <sheetName val="Checks___Inputs"/>
      <sheetName val="Journal_Vouchers"/>
      <sheetName val="Uplinking_Exp"/>
      <sheetName val="Int-Dep_&amp;_Tax"/>
      <sheetName val="Trial_vijay"/>
      <sheetName val="EVA_Annual_Calculation_Template"/>
      <sheetName val="Opdata_(2)"/>
      <sheetName val="Input"/>
      <sheetName val="b"/>
      <sheetName val="contb"/>
      <sheetName val="grpng"/>
      <sheetName val="Checks_&amp;_Inputs1"/>
      <sheetName val="Excess_Cash1"/>
      <sheetName val="Checks___Inputs1"/>
      <sheetName val="raw material"/>
      <sheetName val="Validation"/>
      <sheetName val="Space"/>
      <sheetName val="Sales"/>
      <sheetName val="List_ratios"/>
      <sheetName val="Liability Mgmt"/>
      <sheetName val="Total"/>
      <sheetName val="Valid Data"/>
      <sheetName val="Table 5"/>
      <sheetName val="proposallinked"/>
      <sheetName val="WORKRES"/>
      <sheetName val="Determination of Threshold"/>
      <sheetName val="MAR EX"/>
      <sheetName val="Signatories"/>
      <sheetName val="Sheet9"/>
      <sheetName val="Activity Codes"/>
      <sheetName val="UK - plan"/>
      <sheetName val="Payroll"/>
      <sheetName val="Net"/>
      <sheetName val="T"/>
      <sheetName val="TB apr-01"/>
      <sheetName val="Checks_&amp;_Inputs2"/>
      <sheetName val="Excess_Cash2"/>
      <sheetName val="Checks___Inputs2"/>
      <sheetName val="PF_ann__3CD1"/>
      <sheetName val="Journal_Vouchers1"/>
      <sheetName val="Uplinking_Exp1"/>
      <sheetName val="Int-Dep_&amp;_Tax1"/>
      <sheetName val="Trial_vijay1"/>
      <sheetName val="EVA_Annual_Calculation_Templat1"/>
      <sheetName val="Schedule_1"/>
      <sheetName val="Schedule_2"/>
      <sheetName val="Schedule_3"/>
      <sheetName val="Schedule_3(a)_"/>
      <sheetName val="Schedule_3(a)"/>
      <sheetName val="Schedule_4_"/>
      <sheetName val="Schedule_4"/>
      <sheetName val="Schedule_4_(a)"/>
      <sheetName val="Schedule_4(a)"/>
      <sheetName val="Schedule_5"/>
      <sheetName val="Schedule_6__"/>
      <sheetName val="Schedule_7"/>
      <sheetName val="Schedule_8__"/>
      <sheetName val="Schedule_6"/>
      <sheetName val="Schedule_8_"/>
      <sheetName val="clause_21(i)(B)_Appx_7"/>
      <sheetName val="clause_21(ii)(B)-Annx11"/>
      <sheetName val="clause_21(ii)(B)a-Annx12"/>
      <sheetName val="reco_deoosit"/>
      <sheetName val="Schedule_8a"/>
      <sheetName val="Schedule_9"/>
      <sheetName val="Schedule_9a"/>
      <sheetName val="Schedule_10"/>
      <sheetName val="Schedule_11"/>
      <sheetName val="Clause_32-Appx10"/>
      <sheetName val="MAR_EX"/>
      <sheetName val="Valid_Data"/>
      <sheetName val="UK_-_plan"/>
      <sheetName val="raw_material"/>
      <sheetName val="Liability_Mgmt"/>
      <sheetName val="Table_5"/>
      <sheetName val="TB_apr-01"/>
      <sheetName val="Determination_of_Threshold"/>
      <sheetName val="Trial_Balance"/>
      <sheetName val="Freehold Land "/>
      <sheetName val="Dont Alter"/>
      <sheetName val="BP Data Sheet"/>
      <sheetName val="v"/>
      <sheetName val="spc"/>
      <sheetName val="Original"/>
      <sheetName val="Sch 3 Depr"/>
      <sheetName val="Instructions"/>
      <sheetName val="MEAL99 "/>
      <sheetName val="MEAL2KACTUAL"/>
      <sheetName val="Assumptions"/>
      <sheetName val="16.IC-RP list"/>
    </sheetNames>
    <sheetDataSet>
      <sheetData sheetId="0" refreshError="1">
        <row r="2">
          <cell r="B2" t="str">
            <v>Baylabs</v>
          </cell>
        </row>
        <row r="16">
          <cell r="C16">
            <v>0.3</v>
          </cell>
        </row>
        <row r="17">
          <cell r="C17">
            <v>0.3</v>
          </cell>
        </row>
      </sheetData>
      <sheetData sheetId="1" refreshError="1"/>
      <sheetData sheetId="2" refreshError="1"/>
      <sheetData sheetId="3" refreshError="1"/>
      <sheetData sheetId="4" refreshError="1">
        <row r="2">
          <cell r="B2" t="str">
            <v>To Retained Earnings</v>
          </cell>
          <cell r="D2">
            <v>203261.8</v>
          </cell>
          <cell r="E2">
            <v>303914.8</v>
          </cell>
          <cell r="F2">
            <v>1448238.3143923855</v>
          </cell>
          <cell r="G2">
            <v>2529814</v>
          </cell>
          <cell r="H2">
            <v>0</v>
          </cell>
          <cell r="I2">
            <v>0</v>
          </cell>
          <cell r="J2">
            <v>0</v>
          </cell>
          <cell r="K2">
            <v>0</v>
          </cell>
          <cell r="L2">
            <v>0</v>
          </cell>
          <cell r="M2">
            <v>0</v>
          </cell>
          <cell r="N2">
            <v>0</v>
          </cell>
        </row>
        <row r="3">
          <cell r="B3" t="str">
            <v>Check</v>
          </cell>
          <cell r="D3">
            <v>0</v>
          </cell>
          <cell r="E3">
            <v>0</v>
          </cell>
          <cell r="F3">
            <v>0</v>
          </cell>
          <cell r="G3">
            <v>0</v>
          </cell>
          <cell r="H3">
            <v>0</v>
          </cell>
          <cell r="I3">
            <v>0</v>
          </cell>
          <cell r="J3">
            <v>0</v>
          </cell>
          <cell r="K3">
            <v>0</v>
          </cell>
          <cell r="L3">
            <v>0</v>
          </cell>
          <cell r="M3">
            <v>0</v>
          </cell>
          <cell r="N3">
            <v>0</v>
          </cell>
        </row>
        <row r="4">
          <cell r="B4" t="str">
            <v>Baylabs</v>
          </cell>
          <cell r="D4" t="str">
            <v>99 YTD</v>
          </cell>
          <cell r="E4">
            <v>2000</v>
          </cell>
          <cell r="F4">
            <v>2001</v>
          </cell>
          <cell r="G4">
            <v>2002</v>
          </cell>
          <cell r="H4">
            <v>2003</v>
          </cell>
          <cell r="I4">
            <v>2004</v>
          </cell>
          <cell r="J4">
            <v>2005</v>
          </cell>
          <cell r="K4">
            <v>2006</v>
          </cell>
          <cell r="L4">
            <v>2007</v>
          </cell>
          <cell r="M4">
            <v>2008</v>
          </cell>
          <cell r="N4">
            <v>2009</v>
          </cell>
        </row>
        <row r="7">
          <cell r="B7" t="str">
            <v>Total Sales</v>
          </cell>
          <cell r="D7">
            <v>486897</v>
          </cell>
          <cell r="E7">
            <v>1459297</v>
          </cell>
          <cell r="F7">
            <v>9749736</v>
          </cell>
          <cell r="G7">
            <v>17491008</v>
          </cell>
          <cell r="H7">
            <v>0</v>
          </cell>
          <cell r="I7">
            <v>0</v>
          </cell>
          <cell r="J7">
            <v>0</v>
          </cell>
          <cell r="K7">
            <v>0</v>
          </cell>
          <cell r="L7">
            <v>0</v>
          </cell>
          <cell r="M7">
            <v>0</v>
          </cell>
          <cell r="N7">
            <v>0</v>
          </cell>
        </row>
        <row r="8">
          <cell r="C8" t="str">
            <v>Damages</v>
          </cell>
          <cell r="D8">
            <v>0</v>
          </cell>
          <cell r="E8">
            <v>0</v>
          </cell>
          <cell r="F8">
            <v>0</v>
          </cell>
          <cell r="G8">
            <v>0</v>
          </cell>
          <cell r="H8">
            <v>0</v>
          </cell>
          <cell r="I8">
            <v>0</v>
          </cell>
          <cell r="J8">
            <v>0</v>
          </cell>
          <cell r="K8">
            <v>0</v>
          </cell>
          <cell r="L8">
            <v>0</v>
          </cell>
          <cell r="M8">
            <v>0</v>
          </cell>
          <cell r="N8">
            <v>0</v>
          </cell>
        </row>
        <row r="9">
          <cell r="C9" t="str">
            <v>Royalty</v>
          </cell>
          <cell r="D9">
            <v>0</v>
          </cell>
          <cell r="E9">
            <v>0</v>
          </cell>
          <cell r="F9">
            <v>0</v>
          </cell>
          <cell r="G9">
            <v>0</v>
          </cell>
          <cell r="H9">
            <v>0</v>
          </cell>
          <cell r="I9">
            <v>0</v>
          </cell>
          <cell r="J9">
            <v>0</v>
          </cell>
          <cell r="K9">
            <v>0</v>
          </cell>
          <cell r="L9">
            <v>0</v>
          </cell>
          <cell r="M9">
            <v>0</v>
          </cell>
          <cell r="N9">
            <v>0</v>
          </cell>
        </row>
        <row r="10">
          <cell r="C10" t="str">
            <v>Rebate</v>
          </cell>
          <cell r="D10">
            <v>0</v>
          </cell>
          <cell r="E10">
            <v>0</v>
          </cell>
          <cell r="F10">
            <v>0</v>
          </cell>
          <cell r="G10">
            <v>0</v>
          </cell>
          <cell r="H10">
            <v>0</v>
          </cell>
          <cell r="I10">
            <v>0</v>
          </cell>
          <cell r="J10">
            <v>0</v>
          </cell>
          <cell r="K10">
            <v>0</v>
          </cell>
          <cell r="L10">
            <v>0</v>
          </cell>
          <cell r="M10">
            <v>0</v>
          </cell>
          <cell r="N10">
            <v>0</v>
          </cell>
        </row>
        <row r="11">
          <cell r="C11" t="str">
            <v>Settlement Discount</v>
          </cell>
          <cell r="D11">
            <v>0</v>
          </cell>
          <cell r="E11">
            <v>0</v>
          </cell>
          <cell r="F11">
            <v>0</v>
          </cell>
          <cell r="G11">
            <v>0</v>
          </cell>
          <cell r="H11">
            <v>0</v>
          </cell>
          <cell r="I11">
            <v>0</v>
          </cell>
          <cell r="J11">
            <v>0</v>
          </cell>
          <cell r="K11">
            <v>0</v>
          </cell>
          <cell r="L11">
            <v>0</v>
          </cell>
          <cell r="M11">
            <v>0</v>
          </cell>
          <cell r="N11">
            <v>0</v>
          </cell>
        </row>
        <row r="12">
          <cell r="C12" t="str">
            <v>Book</v>
          </cell>
          <cell r="D12">
            <v>0</v>
          </cell>
          <cell r="E12">
            <v>0</v>
          </cell>
          <cell r="F12">
            <v>0</v>
          </cell>
          <cell r="G12">
            <v>0</v>
          </cell>
          <cell r="H12">
            <v>0</v>
          </cell>
          <cell r="I12">
            <v>0</v>
          </cell>
          <cell r="J12">
            <v>0</v>
          </cell>
          <cell r="K12">
            <v>0</v>
          </cell>
          <cell r="L12">
            <v>0</v>
          </cell>
          <cell r="M12">
            <v>0</v>
          </cell>
          <cell r="N12">
            <v>0</v>
          </cell>
        </row>
        <row r="13">
          <cell r="D13" t="str">
            <v xml:space="preserve"> </v>
          </cell>
          <cell r="E13" t="str">
            <v xml:space="preserve"> </v>
          </cell>
          <cell r="F13" t="str">
            <v xml:space="preserve"> </v>
          </cell>
          <cell r="G13" t="str">
            <v xml:space="preserve"> </v>
          </cell>
          <cell r="H13" t="str">
            <v xml:space="preserve"> </v>
          </cell>
          <cell r="I13" t="str">
            <v xml:space="preserve"> </v>
          </cell>
          <cell r="J13" t="str">
            <v xml:space="preserve"> </v>
          </cell>
          <cell r="K13" t="str">
            <v xml:space="preserve"> </v>
          </cell>
          <cell r="L13" t="str">
            <v xml:space="preserve"> </v>
          </cell>
          <cell r="M13" t="str">
            <v xml:space="preserve"> </v>
          </cell>
          <cell r="N13" t="str">
            <v xml:space="preserve"> </v>
          </cell>
        </row>
        <row r="14">
          <cell r="B14" t="str">
            <v>Nett Sales</v>
          </cell>
          <cell r="D14">
            <v>486897</v>
          </cell>
          <cell r="E14">
            <v>1459297</v>
          </cell>
          <cell r="F14">
            <v>9749736</v>
          </cell>
          <cell r="G14">
            <v>17491008</v>
          </cell>
          <cell r="H14">
            <v>0</v>
          </cell>
          <cell r="I14">
            <v>0</v>
          </cell>
          <cell r="J14">
            <v>0</v>
          </cell>
          <cell r="K14">
            <v>0</v>
          </cell>
          <cell r="L14">
            <v>0</v>
          </cell>
          <cell r="M14">
            <v>0</v>
          </cell>
          <cell r="N14">
            <v>0</v>
          </cell>
        </row>
        <row r="16">
          <cell r="B16" t="str">
            <v>Cost of Sales</v>
          </cell>
          <cell r="D16">
            <v>92724</v>
          </cell>
          <cell r="E16">
            <v>384444</v>
          </cell>
          <cell r="F16">
            <v>3669712.1222965918</v>
          </cell>
          <cell r="G16">
            <v>6801276</v>
          </cell>
          <cell r="H16">
            <v>0</v>
          </cell>
          <cell r="I16">
            <v>0</v>
          </cell>
          <cell r="J16">
            <v>0</v>
          </cell>
          <cell r="K16">
            <v>0</v>
          </cell>
          <cell r="L16">
            <v>0</v>
          </cell>
          <cell r="M16">
            <v>0</v>
          </cell>
          <cell r="N16">
            <v>0</v>
          </cell>
        </row>
        <row r="17">
          <cell r="C17" t="str">
            <v>Purchases</v>
          </cell>
          <cell r="D17">
            <v>0</v>
          </cell>
          <cell r="E17">
            <v>0</v>
          </cell>
          <cell r="F17">
            <v>0</v>
          </cell>
          <cell r="G17">
            <v>0</v>
          </cell>
          <cell r="H17">
            <v>0</v>
          </cell>
          <cell r="I17">
            <v>0</v>
          </cell>
          <cell r="J17">
            <v>0</v>
          </cell>
          <cell r="K17">
            <v>0</v>
          </cell>
          <cell r="L17">
            <v>0</v>
          </cell>
          <cell r="M17">
            <v>0</v>
          </cell>
          <cell r="N17">
            <v>0</v>
          </cell>
        </row>
        <row r="18">
          <cell r="C18" t="str">
            <v>Raw Materials</v>
          </cell>
          <cell r="D18">
            <v>0</v>
          </cell>
          <cell r="E18">
            <v>0</v>
          </cell>
          <cell r="F18">
            <v>0</v>
          </cell>
          <cell r="G18">
            <v>0</v>
          </cell>
          <cell r="H18">
            <v>0</v>
          </cell>
          <cell r="I18">
            <v>0</v>
          </cell>
          <cell r="J18">
            <v>0</v>
          </cell>
          <cell r="K18">
            <v>0</v>
          </cell>
          <cell r="L18">
            <v>0</v>
          </cell>
          <cell r="M18">
            <v>0</v>
          </cell>
          <cell r="N18">
            <v>0</v>
          </cell>
        </row>
        <row r="19">
          <cell r="C19" t="str">
            <v>Containers</v>
          </cell>
          <cell r="D19">
            <v>0</v>
          </cell>
          <cell r="E19">
            <v>0</v>
          </cell>
          <cell r="F19">
            <v>0</v>
          </cell>
          <cell r="G19">
            <v>0</v>
          </cell>
          <cell r="H19">
            <v>0</v>
          </cell>
          <cell r="I19">
            <v>0</v>
          </cell>
          <cell r="J19">
            <v>0</v>
          </cell>
          <cell r="K19">
            <v>0</v>
          </cell>
          <cell r="L19">
            <v>0</v>
          </cell>
          <cell r="M19">
            <v>0</v>
          </cell>
          <cell r="N19">
            <v>0</v>
          </cell>
        </row>
        <row r="20">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row>
        <row r="21">
          <cell r="B21" t="str">
            <v>Gross Profit</v>
          </cell>
          <cell r="D21">
            <v>394173</v>
          </cell>
          <cell r="E21">
            <v>1074853</v>
          </cell>
          <cell r="F21">
            <v>6080023.8777034078</v>
          </cell>
          <cell r="G21">
            <v>10689732</v>
          </cell>
          <cell r="H21">
            <v>0</v>
          </cell>
          <cell r="I21">
            <v>0</v>
          </cell>
          <cell r="J21">
            <v>0</v>
          </cell>
          <cell r="K21">
            <v>0</v>
          </cell>
          <cell r="L21">
            <v>0</v>
          </cell>
          <cell r="M21">
            <v>0</v>
          </cell>
          <cell r="N21">
            <v>0</v>
          </cell>
        </row>
        <row r="22">
          <cell r="C22" t="str">
            <v>Gross Margin</v>
          </cell>
          <cell r="D22">
            <v>0.80956136513472043</v>
          </cell>
          <cell r="E22">
            <v>0.73655534137327772</v>
          </cell>
          <cell r="F22">
            <v>0.62360907799999998</v>
          </cell>
          <cell r="G22">
            <v>0.61115585791282012</v>
          </cell>
          <cell r="H22" t="str">
            <v>n/a</v>
          </cell>
          <cell r="I22" t="str">
            <v>n/a</v>
          </cell>
          <cell r="J22" t="str">
            <v>n/a</v>
          </cell>
          <cell r="K22" t="str">
            <v>n/a</v>
          </cell>
          <cell r="L22" t="str">
            <v>n/a</v>
          </cell>
          <cell r="M22" t="str">
            <v>n/a</v>
          </cell>
          <cell r="N22" t="str">
            <v>n/a</v>
          </cell>
        </row>
        <row r="24">
          <cell r="B24" t="str">
            <v>Direct Expenses</v>
          </cell>
          <cell r="D24">
            <v>103944</v>
          </cell>
          <cell r="E24">
            <v>565834</v>
          </cell>
          <cell r="F24">
            <v>3761112</v>
          </cell>
          <cell r="G24">
            <v>6725712</v>
          </cell>
          <cell r="H24">
            <v>0</v>
          </cell>
          <cell r="I24">
            <v>0</v>
          </cell>
          <cell r="J24">
            <v>0</v>
          </cell>
          <cell r="K24">
            <v>0</v>
          </cell>
          <cell r="L24">
            <v>0</v>
          </cell>
          <cell r="M24">
            <v>0</v>
          </cell>
          <cell r="N24">
            <v>0</v>
          </cell>
        </row>
        <row r="25">
          <cell r="C25" t="str">
            <v>Direct</v>
          </cell>
          <cell r="D25">
            <v>17009</v>
          </cell>
          <cell r="E25">
            <v>284419</v>
          </cell>
          <cell r="F25">
            <v>1860144</v>
          </cell>
          <cell r="G25">
            <v>3326364</v>
          </cell>
          <cell r="H25">
            <v>0</v>
          </cell>
          <cell r="I25">
            <v>0</v>
          </cell>
          <cell r="J25">
            <v>0</v>
          </cell>
          <cell r="K25">
            <v>0</v>
          </cell>
          <cell r="L25">
            <v>0</v>
          </cell>
          <cell r="M25">
            <v>0</v>
          </cell>
          <cell r="N25">
            <v>0</v>
          </cell>
        </row>
        <row r="26">
          <cell r="C26" t="str">
            <v>Indirect</v>
          </cell>
          <cell r="D26">
            <v>86935</v>
          </cell>
          <cell r="E26">
            <v>281415</v>
          </cell>
          <cell r="F26">
            <v>1900968</v>
          </cell>
          <cell r="G26">
            <v>3399348</v>
          </cell>
          <cell r="H26">
            <v>0</v>
          </cell>
          <cell r="I26">
            <v>0</v>
          </cell>
          <cell r="J26">
            <v>0</v>
          </cell>
          <cell r="K26">
            <v>0</v>
          </cell>
          <cell r="L26">
            <v>0</v>
          </cell>
          <cell r="M26">
            <v>0</v>
          </cell>
          <cell r="N26">
            <v>0</v>
          </cell>
        </row>
        <row r="27">
          <cell r="C27" t="str">
            <v>Launch</v>
          </cell>
          <cell r="D27">
            <v>0</v>
          </cell>
          <cell r="E27">
            <v>0</v>
          </cell>
          <cell r="F27">
            <v>0</v>
          </cell>
          <cell r="G27">
            <v>0</v>
          </cell>
          <cell r="H27">
            <v>0</v>
          </cell>
          <cell r="I27">
            <v>0</v>
          </cell>
          <cell r="J27">
            <v>0</v>
          </cell>
          <cell r="K27">
            <v>0</v>
          </cell>
          <cell r="L27">
            <v>0</v>
          </cell>
          <cell r="M27">
            <v>0</v>
          </cell>
          <cell r="N27">
            <v>0</v>
          </cell>
        </row>
        <row r="29">
          <cell r="B29" t="str">
            <v>Other Operating Expenses</v>
          </cell>
          <cell r="D29">
            <v>0</v>
          </cell>
          <cell r="E29">
            <v>0</v>
          </cell>
          <cell r="F29">
            <v>0</v>
          </cell>
          <cell r="G29">
            <v>0</v>
          </cell>
          <cell r="H29">
            <v>0</v>
          </cell>
          <cell r="I29">
            <v>0</v>
          </cell>
          <cell r="J29">
            <v>0</v>
          </cell>
          <cell r="K29">
            <v>0</v>
          </cell>
          <cell r="L29">
            <v>0</v>
          </cell>
          <cell r="M29">
            <v>0</v>
          </cell>
          <cell r="N29">
            <v>0</v>
          </cell>
        </row>
        <row r="30">
          <cell r="C30" t="str">
            <v>Artwork / Design</v>
          </cell>
          <cell r="D30">
            <v>0</v>
          </cell>
          <cell r="E30">
            <v>0</v>
          </cell>
          <cell r="F30">
            <v>0</v>
          </cell>
          <cell r="G30">
            <v>0</v>
          </cell>
          <cell r="H30">
            <v>0</v>
          </cell>
          <cell r="I30">
            <v>0</v>
          </cell>
          <cell r="J30">
            <v>0</v>
          </cell>
          <cell r="K30">
            <v>0</v>
          </cell>
          <cell r="L30">
            <v>0</v>
          </cell>
          <cell r="M30">
            <v>0</v>
          </cell>
          <cell r="N30">
            <v>0</v>
          </cell>
        </row>
        <row r="32">
          <cell r="B32" t="str">
            <v>Advertising &amp; Promotion Expenses</v>
          </cell>
          <cell r="D32">
            <v>0</v>
          </cell>
          <cell r="E32">
            <v>0</v>
          </cell>
          <cell r="F32">
            <v>0</v>
          </cell>
          <cell r="G32">
            <v>0</v>
          </cell>
          <cell r="H32">
            <v>0</v>
          </cell>
          <cell r="I32">
            <v>0</v>
          </cell>
          <cell r="J32">
            <v>0</v>
          </cell>
          <cell r="K32">
            <v>0</v>
          </cell>
          <cell r="L32">
            <v>0</v>
          </cell>
          <cell r="M32">
            <v>0</v>
          </cell>
          <cell r="N32">
            <v>0</v>
          </cell>
        </row>
        <row r="33">
          <cell r="C33" t="str">
            <v>Advertising - Launch</v>
          </cell>
          <cell r="D33">
            <v>0</v>
          </cell>
          <cell r="E33">
            <v>0</v>
          </cell>
          <cell r="F33">
            <v>0</v>
          </cell>
          <cell r="G33">
            <v>0</v>
          </cell>
          <cell r="H33">
            <v>0</v>
          </cell>
          <cell r="I33">
            <v>0</v>
          </cell>
          <cell r="J33">
            <v>0</v>
          </cell>
          <cell r="K33">
            <v>0</v>
          </cell>
          <cell r="L33">
            <v>0</v>
          </cell>
          <cell r="M33">
            <v>0</v>
          </cell>
          <cell r="N33">
            <v>0</v>
          </cell>
        </row>
        <row r="35">
          <cell r="B35" t="str">
            <v>Research &amp; Design Expenses</v>
          </cell>
          <cell r="D35">
            <v>0</v>
          </cell>
          <cell r="E35">
            <v>0</v>
          </cell>
          <cell r="F35">
            <v>0</v>
          </cell>
          <cell r="G35">
            <v>0</v>
          </cell>
          <cell r="H35">
            <v>0</v>
          </cell>
          <cell r="I35">
            <v>0</v>
          </cell>
          <cell r="J35">
            <v>0</v>
          </cell>
          <cell r="K35">
            <v>0</v>
          </cell>
          <cell r="L35">
            <v>0</v>
          </cell>
          <cell r="M35">
            <v>0</v>
          </cell>
          <cell r="N35">
            <v>0</v>
          </cell>
        </row>
        <row r="36">
          <cell r="C36" t="str">
            <v>Product Maintenance</v>
          </cell>
          <cell r="D36">
            <v>0</v>
          </cell>
          <cell r="E36">
            <v>0</v>
          </cell>
          <cell r="F36">
            <v>0</v>
          </cell>
          <cell r="G36">
            <v>0</v>
          </cell>
          <cell r="H36">
            <v>0</v>
          </cell>
          <cell r="I36">
            <v>0</v>
          </cell>
          <cell r="J36">
            <v>0</v>
          </cell>
          <cell r="K36">
            <v>0</v>
          </cell>
          <cell r="L36">
            <v>0</v>
          </cell>
          <cell r="M36">
            <v>0</v>
          </cell>
          <cell r="N36">
            <v>0</v>
          </cell>
        </row>
        <row r="37">
          <cell r="C37" t="str">
            <v>True R&amp;D</v>
          </cell>
          <cell r="D37">
            <v>0</v>
          </cell>
          <cell r="E37">
            <v>0</v>
          </cell>
          <cell r="F37">
            <v>0</v>
          </cell>
          <cell r="G37">
            <v>0</v>
          </cell>
          <cell r="H37">
            <v>0</v>
          </cell>
          <cell r="I37">
            <v>0</v>
          </cell>
          <cell r="J37">
            <v>0</v>
          </cell>
          <cell r="K37">
            <v>0</v>
          </cell>
          <cell r="L37">
            <v>0</v>
          </cell>
          <cell r="M37">
            <v>0</v>
          </cell>
          <cell r="N37">
            <v>0</v>
          </cell>
        </row>
        <row r="39">
          <cell r="B39" t="str">
            <v>New Products</v>
          </cell>
          <cell r="D39">
            <v>0</v>
          </cell>
          <cell r="E39">
            <v>75000</v>
          </cell>
          <cell r="F39">
            <v>250000</v>
          </cell>
          <cell r="G39">
            <v>350000</v>
          </cell>
          <cell r="H39">
            <v>0</v>
          </cell>
          <cell r="I39">
            <v>0</v>
          </cell>
          <cell r="J39">
            <v>0</v>
          </cell>
          <cell r="K39">
            <v>0</v>
          </cell>
          <cell r="L39">
            <v>0</v>
          </cell>
          <cell r="M39">
            <v>0</v>
          </cell>
          <cell r="N39">
            <v>0</v>
          </cell>
        </row>
        <row r="40">
          <cell r="C40" t="str">
            <v>Development R&amp;D</v>
          </cell>
          <cell r="D40">
            <v>0</v>
          </cell>
          <cell r="E40">
            <v>0</v>
          </cell>
          <cell r="F40">
            <v>0</v>
          </cell>
          <cell r="G40">
            <v>0</v>
          </cell>
          <cell r="H40">
            <v>0</v>
          </cell>
          <cell r="I40">
            <v>0</v>
          </cell>
          <cell r="J40">
            <v>0</v>
          </cell>
          <cell r="K40">
            <v>0</v>
          </cell>
          <cell r="L40">
            <v>0</v>
          </cell>
          <cell r="M40">
            <v>0</v>
          </cell>
          <cell r="N40">
            <v>0</v>
          </cell>
        </row>
        <row r="41">
          <cell r="C41" t="str">
            <v>Launch R&amp;D</v>
          </cell>
          <cell r="D41">
            <v>0</v>
          </cell>
          <cell r="E41">
            <v>75000</v>
          </cell>
          <cell r="F41">
            <v>250000</v>
          </cell>
          <cell r="G41">
            <v>350000</v>
          </cell>
          <cell r="H41">
            <v>0</v>
          </cell>
          <cell r="I41">
            <v>0</v>
          </cell>
          <cell r="J41">
            <v>0</v>
          </cell>
          <cell r="K41">
            <v>0</v>
          </cell>
          <cell r="L41">
            <v>0</v>
          </cell>
          <cell r="M41">
            <v>0</v>
          </cell>
          <cell r="N41">
            <v>0</v>
          </cell>
        </row>
        <row r="42">
          <cell r="C42" t="str">
            <v>Patent</v>
          </cell>
          <cell r="D42">
            <v>0</v>
          </cell>
          <cell r="E42">
            <v>0</v>
          </cell>
          <cell r="F42">
            <v>0</v>
          </cell>
          <cell r="G42">
            <v>0</v>
          </cell>
          <cell r="H42">
            <v>0</v>
          </cell>
          <cell r="I42">
            <v>0</v>
          </cell>
          <cell r="J42">
            <v>0</v>
          </cell>
          <cell r="K42">
            <v>0</v>
          </cell>
          <cell r="L42">
            <v>0</v>
          </cell>
          <cell r="M42">
            <v>0</v>
          </cell>
          <cell r="N42">
            <v>0</v>
          </cell>
        </row>
        <row r="44">
          <cell r="B44" t="str">
            <v>General &amp; Administrative Expenses</v>
          </cell>
          <cell r="D44">
            <v>0</v>
          </cell>
          <cell r="E44">
            <v>0</v>
          </cell>
          <cell r="F44">
            <v>0</v>
          </cell>
          <cell r="G44">
            <v>0</v>
          </cell>
          <cell r="H44">
            <v>0</v>
          </cell>
          <cell r="I44">
            <v>0</v>
          </cell>
          <cell r="J44">
            <v>0</v>
          </cell>
          <cell r="K44">
            <v>0</v>
          </cell>
          <cell r="L44">
            <v>0</v>
          </cell>
          <cell r="M44">
            <v>0</v>
          </cell>
          <cell r="N44">
            <v>0</v>
          </cell>
        </row>
        <row r="45">
          <cell r="C45" t="str">
            <v>Laboratory Tests / Results</v>
          </cell>
          <cell r="D45">
            <v>0</v>
          </cell>
          <cell r="E45">
            <v>0</v>
          </cell>
          <cell r="F45">
            <v>0</v>
          </cell>
          <cell r="G45">
            <v>0</v>
          </cell>
          <cell r="H45">
            <v>0</v>
          </cell>
          <cell r="I45">
            <v>0</v>
          </cell>
          <cell r="J45">
            <v>0</v>
          </cell>
          <cell r="K45">
            <v>0</v>
          </cell>
          <cell r="L45">
            <v>0</v>
          </cell>
          <cell r="M45">
            <v>0</v>
          </cell>
          <cell r="N45">
            <v>0</v>
          </cell>
        </row>
        <row r="46">
          <cell r="C46" t="str">
            <v>Legal Fees, Audit Fees &amp; Regulatory Fees</v>
          </cell>
          <cell r="D46">
            <v>0</v>
          </cell>
          <cell r="E46">
            <v>0</v>
          </cell>
          <cell r="F46">
            <v>0</v>
          </cell>
          <cell r="G46">
            <v>0</v>
          </cell>
          <cell r="H46">
            <v>0</v>
          </cell>
          <cell r="I46">
            <v>0</v>
          </cell>
          <cell r="J46">
            <v>0</v>
          </cell>
          <cell r="K46">
            <v>0</v>
          </cell>
          <cell r="L46">
            <v>0</v>
          </cell>
          <cell r="M46">
            <v>0</v>
          </cell>
          <cell r="N46">
            <v>0</v>
          </cell>
        </row>
        <row r="47">
          <cell r="C47" t="str">
            <v>Freight Paid</v>
          </cell>
          <cell r="D47">
            <v>0</v>
          </cell>
          <cell r="E47">
            <v>0</v>
          </cell>
          <cell r="F47">
            <v>0</v>
          </cell>
          <cell r="G47">
            <v>0</v>
          </cell>
          <cell r="H47">
            <v>0</v>
          </cell>
          <cell r="I47">
            <v>0</v>
          </cell>
          <cell r="J47">
            <v>0</v>
          </cell>
          <cell r="K47">
            <v>0</v>
          </cell>
          <cell r="L47">
            <v>0</v>
          </cell>
          <cell r="M47">
            <v>0</v>
          </cell>
          <cell r="N47">
            <v>0</v>
          </cell>
        </row>
        <row r="48">
          <cell r="C48" t="str">
            <v>Travelling Expenses</v>
          </cell>
          <cell r="D48">
            <v>0</v>
          </cell>
          <cell r="E48">
            <v>0</v>
          </cell>
          <cell r="F48">
            <v>0</v>
          </cell>
          <cell r="G48">
            <v>0</v>
          </cell>
          <cell r="H48">
            <v>0</v>
          </cell>
          <cell r="I48">
            <v>0</v>
          </cell>
          <cell r="J48">
            <v>0</v>
          </cell>
          <cell r="K48">
            <v>0</v>
          </cell>
          <cell r="L48">
            <v>0</v>
          </cell>
          <cell r="M48">
            <v>0</v>
          </cell>
          <cell r="N48">
            <v>0</v>
          </cell>
        </row>
        <row r="49">
          <cell r="C49" t="str">
            <v>Rent</v>
          </cell>
          <cell r="D49">
            <v>0</v>
          </cell>
          <cell r="E49">
            <v>0</v>
          </cell>
          <cell r="F49">
            <v>0</v>
          </cell>
          <cell r="G49">
            <v>0</v>
          </cell>
          <cell r="H49">
            <v>0</v>
          </cell>
          <cell r="I49">
            <v>0</v>
          </cell>
          <cell r="J49">
            <v>0</v>
          </cell>
          <cell r="K49">
            <v>0</v>
          </cell>
          <cell r="L49">
            <v>0</v>
          </cell>
          <cell r="M49">
            <v>0</v>
          </cell>
          <cell r="N49">
            <v>0</v>
          </cell>
        </row>
        <row r="50">
          <cell r="C50" t="str">
            <v>Salaries</v>
          </cell>
          <cell r="D50">
            <v>0</v>
          </cell>
          <cell r="E50">
            <v>0</v>
          </cell>
          <cell r="F50">
            <v>0</v>
          </cell>
          <cell r="G50">
            <v>0</v>
          </cell>
          <cell r="H50">
            <v>0</v>
          </cell>
          <cell r="I50">
            <v>0</v>
          </cell>
          <cell r="J50">
            <v>0</v>
          </cell>
          <cell r="K50">
            <v>0</v>
          </cell>
          <cell r="L50">
            <v>0</v>
          </cell>
          <cell r="M50">
            <v>0</v>
          </cell>
          <cell r="N50">
            <v>0</v>
          </cell>
        </row>
        <row r="51">
          <cell r="C51" t="str">
            <v>Depreciation</v>
          </cell>
          <cell r="D51">
            <v>0</v>
          </cell>
          <cell r="E51">
            <v>0</v>
          </cell>
          <cell r="F51">
            <v>0</v>
          </cell>
          <cell r="G51">
            <v>0</v>
          </cell>
          <cell r="H51">
            <v>0</v>
          </cell>
          <cell r="I51">
            <v>0</v>
          </cell>
          <cell r="J51">
            <v>0</v>
          </cell>
          <cell r="K51">
            <v>0</v>
          </cell>
          <cell r="L51">
            <v>0</v>
          </cell>
          <cell r="M51">
            <v>0</v>
          </cell>
          <cell r="N51">
            <v>0</v>
          </cell>
        </row>
        <row r="52">
          <cell r="C52" t="str">
            <v>Insurance</v>
          </cell>
          <cell r="D52">
            <v>0</v>
          </cell>
          <cell r="E52">
            <v>0</v>
          </cell>
          <cell r="F52">
            <v>0</v>
          </cell>
          <cell r="G52">
            <v>0</v>
          </cell>
          <cell r="H52">
            <v>0</v>
          </cell>
          <cell r="I52">
            <v>0</v>
          </cell>
          <cell r="J52">
            <v>0</v>
          </cell>
          <cell r="K52">
            <v>0</v>
          </cell>
          <cell r="L52">
            <v>0</v>
          </cell>
          <cell r="M52">
            <v>0</v>
          </cell>
          <cell r="N52">
            <v>0</v>
          </cell>
        </row>
        <row r="53">
          <cell r="C53" t="str">
            <v>Other Admin Costs</v>
          </cell>
          <cell r="D53">
            <v>0</v>
          </cell>
          <cell r="E53">
            <v>0</v>
          </cell>
          <cell r="F53">
            <v>0</v>
          </cell>
          <cell r="G53">
            <v>0</v>
          </cell>
          <cell r="H53">
            <v>0</v>
          </cell>
          <cell r="I53">
            <v>0</v>
          </cell>
          <cell r="J53">
            <v>0</v>
          </cell>
          <cell r="K53">
            <v>0</v>
          </cell>
          <cell r="L53">
            <v>0</v>
          </cell>
          <cell r="M53">
            <v>0</v>
          </cell>
          <cell r="N53">
            <v>0</v>
          </cell>
        </row>
        <row r="54">
          <cell r="D54" t="str">
            <v xml:space="preserve"> </v>
          </cell>
          <cell r="E54" t="str">
            <v xml:space="preserve"> </v>
          </cell>
          <cell r="F54" t="str">
            <v xml:space="preserve"> </v>
          </cell>
          <cell r="G54" t="str">
            <v xml:space="preserve"> </v>
          </cell>
          <cell r="H54" t="str">
            <v xml:space="preserve"> </v>
          </cell>
          <cell r="I54" t="str">
            <v xml:space="preserve"> </v>
          </cell>
          <cell r="J54" t="str">
            <v xml:space="preserve"> </v>
          </cell>
          <cell r="K54" t="str">
            <v xml:space="preserve"> </v>
          </cell>
          <cell r="L54" t="str">
            <v xml:space="preserve"> </v>
          </cell>
          <cell r="M54" t="str">
            <v xml:space="preserve"> </v>
          </cell>
          <cell r="N54" t="str">
            <v xml:space="preserve"> </v>
          </cell>
        </row>
        <row r="60">
          <cell r="C60" t="str">
            <v>Other Income / (Expense) [Operating]</v>
          </cell>
          <cell r="D60">
            <v>145</v>
          </cell>
          <cell r="E60">
            <v>145</v>
          </cell>
          <cell r="F60">
            <v>0</v>
          </cell>
          <cell r="G60">
            <v>0</v>
          </cell>
          <cell r="H60">
            <v>0</v>
          </cell>
          <cell r="I60">
            <v>0</v>
          </cell>
          <cell r="J60">
            <v>0</v>
          </cell>
          <cell r="K60">
            <v>0</v>
          </cell>
          <cell r="L60">
            <v>0</v>
          </cell>
          <cell r="M60">
            <v>0</v>
          </cell>
          <cell r="N60">
            <v>0</v>
          </cell>
        </row>
        <row r="61">
          <cell r="C61" t="str">
            <v>Other Income / (Expense) [Non-Operating]</v>
          </cell>
          <cell r="D61">
            <v>0</v>
          </cell>
          <cell r="E61">
            <v>0</v>
          </cell>
          <cell r="F61">
            <v>0</v>
          </cell>
          <cell r="G61">
            <v>0</v>
          </cell>
          <cell r="H61">
            <v>0</v>
          </cell>
          <cell r="I61">
            <v>0</v>
          </cell>
          <cell r="J61">
            <v>0</v>
          </cell>
          <cell r="K61">
            <v>0</v>
          </cell>
          <cell r="L61">
            <v>0</v>
          </cell>
          <cell r="M61">
            <v>0</v>
          </cell>
          <cell r="N61">
            <v>0</v>
          </cell>
        </row>
        <row r="75">
          <cell r="B75" t="str">
            <v>Income Tax Provision @30%</v>
          </cell>
          <cell r="D75">
            <v>87112.2</v>
          </cell>
          <cell r="E75">
            <v>130249.2</v>
          </cell>
          <cell r="F75">
            <v>620673.56331102236</v>
          </cell>
          <cell r="G75">
            <v>1084206</v>
          </cell>
          <cell r="H75">
            <v>0</v>
          </cell>
          <cell r="I75">
            <v>0</v>
          </cell>
          <cell r="J75">
            <v>0</v>
          </cell>
          <cell r="K75">
            <v>0</v>
          </cell>
          <cell r="L75">
            <v>0</v>
          </cell>
          <cell r="M75">
            <v>0</v>
          </cell>
          <cell r="N75">
            <v>0</v>
          </cell>
        </row>
      </sheetData>
      <sheetData sheetId="5" refreshError="1">
        <row r="2">
          <cell r="B2" t="str">
            <v>Total Capital Employed (per orig. source)</v>
          </cell>
          <cell r="D2">
            <v>0</v>
          </cell>
          <cell r="E2">
            <v>223261.8</v>
          </cell>
          <cell r="F2">
            <v>323914.79999999981</v>
          </cell>
          <cell r="G2">
            <v>1772153.1143923842</v>
          </cell>
          <cell r="H2">
            <v>4301967.1143923812</v>
          </cell>
          <cell r="I2">
            <v>0</v>
          </cell>
          <cell r="J2">
            <v>0</v>
          </cell>
          <cell r="K2">
            <v>0</v>
          </cell>
          <cell r="L2">
            <v>0</v>
          </cell>
          <cell r="M2">
            <v>0</v>
          </cell>
          <cell r="N2">
            <v>0</v>
          </cell>
          <cell r="O2">
            <v>0</v>
          </cell>
        </row>
        <row r="3">
          <cell r="B3" t="str">
            <v>Check</v>
          </cell>
          <cell r="D3">
            <v>0</v>
          </cell>
          <cell r="E3">
            <v>0</v>
          </cell>
          <cell r="F3">
            <v>0</v>
          </cell>
          <cell r="G3">
            <v>0</v>
          </cell>
          <cell r="H3">
            <v>0</v>
          </cell>
          <cell r="I3">
            <v>0</v>
          </cell>
          <cell r="J3">
            <v>0</v>
          </cell>
          <cell r="K3">
            <v>0</v>
          </cell>
          <cell r="L3">
            <v>0</v>
          </cell>
          <cell r="M3">
            <v>0</v>
          </cell>
          <cell r="N3">
            <v>0</v>
          </cell>
          <cell r="O3">
            <v>0</v>
          </cell>
        </row>
        <row r="7">
          <cell r="C7" t="str">
            <v>Cheque Account</v>
          </cell>
          <cell r="D7">
            <v>0</v>
          </cell>
          <cell r="E7">
            <v>34790</v>
          </cell>
          <cell r="F7">
            <v>359162.29389999982</v>
          </cell>
          <cell r="G7">
            <v>1675555.8898367397</v>
          </cell>
          <cell r="H7">
            <v>4617981.20617007</v>
          </cell>
          <cell r="I7">
            <v>0</v>
          </cell>
          <cell r="J7">
            <v>0</v>
          </cell>
          <cell r="K7">
            <v>0</v>
          </cell>
          <cell r="L7">
            <v>0</v>
          </cell>
          <cell r="M7">
            <v>0</v>
          </cell>
          <cell r="N7">
            <v>0</v>
          </cell>
          <cell r="O7">
            <v>0</v>
          </cell>
        </row>
        <row r="8">
          <cell r="C8" t="str">
            <v>Petty Cash</v>
          </cell>
          <cell r="D8">
            <v>0</v>
          </cell>
          <cell r="E8">
            <v>0</v>
          </cell>
          <cell r="F8">
            <v>0</v>
          </cell>
          <cell r="G8">
            <v>0</v>
          </cell>
          <cell r="H8">
            <v>0</v>
          </cell>
          <cell r="I8">
            <v>0</v>
          </cell>
          <cell r="J8">
            <v>0</v>
          </cell>
          <cell r="K8">
            <v>0</v>
          </cell>
          <cell r="L8">
            <v>0</v>
          </cell>
          <cell r="M8">
            <v>0</v>
          </cell>
          <cell r="N8">
            <v>0</v>
          </cell>
          <cell r="O8">
            <v>0</v>
          </cell>
        </row>
        <row r="9">
          <cell r="B9" t="str">
            <v>Cash &amp; Bank Balances</v>
          </cell>
          <cell r="D9">
            <v>0</v>
          </cell>
          <cell r="E9">
            <v>34790</v>
          </cell>
          <cell r="F9">
            <v>359162.29389999982</v>
          </cell>
          <cell r="G9">
            <v>1675555.8898367397</v>
          </cell>
          <cell r="H9">
            <v>4617981.20617007</v>
          </cell>
          <cell r="I9">
            <v>0</v>
          </cell>
          <cell r="J9">
            <v>0</v>
          </cell>
          <cell r="K9">
            <v>0</v>
          </cell>
          <cell r="L9">
            <v>0</v>
          </cell>
          <cell r="M9">
            <v>0</v>
          </cell>
          <cell r="N9">
            <v>0</v>
          </cell>
          <cell r="O9">
            <v>0</v>
          </cell>
        </row>
        <row r="11">
          <cell r="C11" t="str">
            <v>Trade Debtors</v>
          </cell>
          <cell r="D11">
            <v>0</v>
          </cell>
          <cell r="E11">
            <v>378050</v>
          </cell>
          <cell r="F11">
            <v>102981.9</v>
          </cell>
          <cell r="G11">
            <v>926224.91999999993</v>
          </cell>
          <cell r="H11">
            <v>1661645.7599999998</v>
          </cell>
          <cell r="I11">
            <v>0</v>
          </cell>
          <cell r="J11">
            <v>0</v>
          </cell>
          <cell r="K11">
            <v>0</v>
          </cell>
          <cell r="L11">
            <v>0</v>
          </cell>
          <cell r="M11">
            <v>0</v>
          </cell>
          <cell r="N11">
            <v>0</v>
          </cell>
          <cell r="O11">
            <v>0</v>
          </cell>
        </row>
        <row r="12">
          <cell r="C12" t="str">
            <v>Other Debtors &amp; Deposits</v>
          </cell>
          <cell r="D12">
            <v>0</v>
          </cell>
          <cell r="E12">
            <v>0</v>
          </cell>
          <cell r="F12">
            <v>0</v>
          </cell>
          <cell r="G12">
            <v>0</v>
          </cell>
          <cell r="H12">
            <v>0</v>
          </cell>
          <cell r="I12">
            <v>0</v>
          </cell>
          <cell r="J12">
            <v>0</v>
          </cell>
          <cell r="K12">
            <v>0</v>
          </cell>
          <cell r="L12">
            <v>0</v>
          </cell>
          <cell r="M12">
            <v>0</v>
          </cell>
          <cell r="N12">
            <v>0</v>
          </cell>
          <cell r="O12">
            <v>0</v>
          </cell>
        </row>
        <row r="13">
          <cell r="C13" t="str">
            <v>less Provision for Doubtful Debts</v>
          </cell>
          <cell r="D13">
            <v>0</v>
          </cell>
          <cell r="E13">
            <v>0</v>
          </cell>
          <cell r="F13">
            <v>0</v>
          </cell>
          <cell r="G13">
            <v>0</v>
          </cell>
          <cell r="H13">
            <v>0</v>
          </cell>
          <cell r="I13">
            <v>0</v>
          </cell>
          <cell r="J13">
            <v>0</v>
          </cell>
          <cell r="K13">
            <v>0</v>
          </cell>
          <cell r="L13">
            <v>0</v>
          </cell>
          <cell r="M13">
            <v>0</v>
          </cell>
          <cell r="N13">
            <v>0</v>
          </cell>
          <cell r="O13">
            <v>0</v>
          </cell>
        </row>
        <row r="16">
          <cell r="C16" t="str">
            <v>Stock</v>
          </cell>
          <cell r="D16">
            <v>0</v>
          </cell>
          <cell r="E16">
            <v>0</v>
          </cell>
          <cell r="F16">
            <v>305809.34352471604</v>
          </cell>
          <cell r="G16">
            <v>566773</v>
          </cell>
          <cell r="H16">
            <v>566773</v>
          </cell>
          <cell r="I16">
            <v>0</v>
          </cell>
          <cell r="J16">
            <v>0</v>
          </cell>
          <cell r="K16">
            <v>0</v>
          </cell>
          <cell r="L16">
            <v>0</v>
          </cell>
          <cell r="M16">
            <v>0</v>
          </cell>
          <cell r="N16">
            <v>0</v>
          </cell>
          <cell r="O16">
            <v>0</v>
          </cell>
        </row>
        <row r="17">
          <cell r="C17" t="str">
            <v>less Provision for Stock Obsolescence</v>
          </cell>
          <cell r="D17">
            <v>0</v>
          </cell>
          <cell r="E17">
            <v>0</v>
          </cell>
          <cell r="F17">
            <v>0</v>
          </cell>
          <cell r="G17">
            <v>0</v>
          </cell>
          <cell r="H17">
            <v>0</v>
          </cell>
          <cell r="I17">
            <v>0</v>
          </cell>
          <cell r="J17">
            <v>0</v>
          </cell>
          <cell r="K17">
            <v>0</v>
          </cell>
          <cell r="L17">
            <v>0</v>
          </cell>
          <cell r="M17">
            <v>0</v>
          </cell>
          <cell r="N17">
            <v>0</v>
          </cell>
          <cell r="O17">
            <v>0</v>
          </cell>
        </row>
        <row r="20">
          <cell r="B20" t="str">
            <v>Other Current Assets</v>
          </cell>
          <cell r="D20">
            <v>0</v>
          </cell>
          <cell r="E20">
            <v>0</v>
          </cell>
          <cell r="F20">
            <v>0</v>
          </cell>
          <cell r="G20">
            <v>0</v>
          </cell>
          <cell r="H20">
            <v>0</v>
          </cell>
          <cell r="I20">
            <v>0</v>
          </cell>
          <cell r="J20">
            <v>0</v>
          </cell>
          <cell r="K20">
            <v>0</v>
          </cell>
          <cell r="L20">
            <v>0</v>
          </cell>
          <cell r="M20">
            <v>0</v>
          </cell>
          <cell r="N20">
            <v>0</v>
          </cell>
          <cell r="O20">
            <v>0</v>
          </cell>
        </row>
        <row r="24">
          <cell r="C24" t="str">
            <v>Trade Creditors</v>
          </cell>
          <cell r="D24">
            <v>0</v>
          </cell>
          <cell r="E24">
            <v>59052</v>
          </cell>
          <cell r="F24">
            <v>348622.65161817626</v>
          </cell>
          <cell r="G24">
            <v>646121.22</v>
          </cell>
          <cell r="H24">
            <v>646121.22</v>
          </cell>
          <cell r="I24">
            <v>0</v>
          </cell>
          <cell r="J24">
            <v>0</v>
          </cell>
          <cell r="K24">
            <v>0</v>
          </cell>
          <cell r="L24">
            <v>0</v>
          </cell>
          <cell r="M24">
            <v>0</v>
          </cell>
          <cell r="N24">
            <v>0</v>
          </cell>
          <cell r="O24">
            <v>0</v>
          </cell>
        </row>
        <row r="25">
          <cell r="C25" t="str">
            <v>Other Creditors &amp; Accruals</v>
          </cell>
          <cell r="D25">
            <v>0</v>
          </cell>
          <cell r="E25">
            <v>0</v>
          </cell>
          <cell r="F25">
            <v>0</v>
          </cell>
          <cell r="G25">
            <v>0</v>
          </cell>
          <cell r="H25">
            <v>0</v>
          </cell>
          <cell r="I25">
            <v>0</v>
          </cell>
          <cell r="J25">
            <v>0</v>
          </cell>
          <cell r="K25">
            <v>0</v>
          </cell>
          <cell r="L25">
            <v>0</v>
          </cell>
          <cell r="M25">
            <v>0</v>
          </cell>
          <cell r="N25">
            <v>0</v>
          </cell>
          <cell r="O25">
            <v>0</v>
          </cell>
        </row>
        <row r="26">
          <cell r="C26" t="str">
            <v>VAT Payable</v>
          </cell>
          <cell r="D26">
            <v>0</v>
          </cell>
          <cell r="E26">
            <v>43414</v>
          </cell>
          <cell r="F26">
            <v>-34833.114193460242</v>
          </cell>
          <cell r="G26">
            <v>-643.2878666666802</v>
          </cell>
          <cell r="H26">
            <v>63182.868466666623</v>
          </cell>
          <cell r="I26">
            <v>0</v>
          </cell>
          <cell r="J26">
            <v>0</v>
          </cell>
          <cell r="K26">
            <v>0</v>
          </cell>
          <cell r="L26">
            <v>0</v>
          </cell>
          <cell r="M26">
            <v>0</v>
          </cell>
          <cell r="N26">
            <v>0</v>
          </cell>
          <cell r="O26">
            <v>0</v>
          </cell>
        </row>
        <row r="27">
          <cell r="C27" t="str">
            <v>Provision for Taxation</v>
          </cell>
          <cell r="D27">
            <v>0</v>
          </cell>
          <cell r="E27">
            <v>87112.2</v>
          </cell>
          <cell r="F27">
            <v>130249.19999999998</v>
          </cell>
          <cell r="G27">
            <v>750922.76331102219</v>
          </cell>
          <cell r="H27">
            <v>1835128.7633110222</v>
          </cell>
          <cell r="I27">
            <v>0</v>
          </cell>
          <cell r="J27">
            <v>0</v>
          </cell>
          <cell r="K27">
            <v>0</v>
          </cell>
          <cell r="L27">
            <v>0</v>
          </cell>
          <cell r="M27">
            <v>0</v>
          </cell>
          <cell r="N27">
            <v>0</v>
          </cell>
          <cell r="O27">
            <v>0</v>
          </cell>
        </row>
        <row r="28">
          <cell r="C28" t="str">
            <v>Other Current Liabilities (Interest-free)</v>
          </cell>
          <cell r="D28">
            <v>0</v>
          </cell>
          <cell r="E28">
            <v>0</v>
          </cell>
          <cell r="F28">
            <v>0</v>
          </cell>
          <cell r="G28">
            <v>0</v>
          </cell>
          <cell r="H28">
            <v>0</v>
          </cell>
          <cell r="I28">
            <v>0</v>
          </cell>
          <cell r="J28">
            <v>0</v>
          </cell>
          <cell r="K28">
            <v>0</v>
          </cell>
          <cell r="L28">
            <v>0</v>
          </cell>
          <cell r="M28">
            <v>0</v>
          </cell>
          <cell r="N28">
            <v>0</v>
          </cell>
          <cell r="O28">
            <v>0</v>
          </cell>
        </row>
        <row r="35">
          <cell r="B35" t="str">
            <v>Fixed Assets</v>
          </cell>
          <cell r="D35">
            <v>0</v>
          </cell>
          <cell r="E35">
            <v>0</v>
          </cell>
          <cell r="F35">
            <v>0</v>
          </cell>
          <cell r="G35">
            <v>0</v>
          </cell>
          <cell r="H35">
            <v>0</v>
          </cell>
          <cell r="I35">
            <v>0</v>
          </cell>
          <cell r="J35">
            <v>0</v>
          </cell>
          <cell r="K35">
            <v>0</v>
          </cell>
          <cell r="L35">
            <v>0</v>
          </cell>
          <cell r="M35">
            <v>0</v>
          </cell>
          <cell r="N35">
            <v>0</v>
          </cell>
          <cell r="O35">
            <v>0</v>
          </cell>
        </row>
        <row r="36">
          <cell r="B36" t="str">
            <v>Investments [Operating]</v>
          </cell>
          <cell r="D36">
            <v>0</v>
          </cell>
          <cell r="E36">
            <v>0</v>
          </cell>
          <cell r="F36">
            <v>0</v>
          </cell>
          <cell r="G36">
            <v>0</v>
          </cell>
          <cell r="H36">
            <v>0</v>
          </cell>
          <cell r="I36">
            <v>0</v>
          </cell>
          <cell r="J36">
            <v>0</v>
          </cell>
          <cell r="K36">
            <v>0</v>
          </cell>
          <cell r="L36">
            <v>0</v>
          </cell>
          <cell r="M36">
            <v>0</v>
          </cell>
          <cell r="N36">
            <v>0</v>
          </cell>
          <cell r="O36">
            <v>0</v>
          </cell>
        </row>
        <row r="37">
          <cell r="B37" t="str">
            <v>Investments [Non-Operating]</v>
          </cell>
          <cell r="D37">
            <v>0</v>
          </cell>
          <cell r="E37">
            <v>0</v>
          </cell>
          <cell r="F37">
            <v>0</v>
          </cell>
          <cell r="G37">
            <v>0</v>
          </cell>
          <cell r="H37">
            <v>0</v>
          </cell>
          <cell r="I37">
            <v>0</v>
          </cell>
          <cell r="J37">
            <v>0</v>
          </cell>
          <cell r="K37">
            <v>0</v>
          </cell>
          <cell r="L37">
            <v>0</v>
          </cell>
          <cell r="M37">
            <v>0</v>
          </cell>
          <cell r="N37">
            <v>0</v>
          </cell>
          <cell r="O37">
            <v>0</v>
          </cell>
        </row>
        <row r="42">
          <cell r="B42" t="str">
            <v>Share Capital</v>
          </cell>
          <cell r="D42">
            <v>0</v>
          </cell>
          <cell r="E42">
            <v>20000</v>
          </cell>
          <cell r="F42">
            <v>20000</v>
          </cell>
          <cell r="G42">
            <v>20000</v>
          </cell>
          <cell r="H42">
            <v>20000</v>
          </cell>
          <cell r="I42">
            <v>0</v>
          </cell>
          <cell r="J42">
            <v>0</v>
          </cell>
          <cell r="K42">
            <v>0</v>
          </cell>
          <cell r="L42">
            <v>0</v>
          </cell>
          <cell r="M42">
            <v>0</v>
          </cell>
          <cell r="N42">
            <v>0</v>
          </cell>
          <cell r="O42">
            <v>0</v>
          </cell>
        </row>
        <row r="43">
          <cell r="B43" t="str">
            <v>Retained Earnings</v>
          </cell>
          <cell r="D43">
            <v>0</v>
          </cell>
          <cell r="E43">
            <v>0</v>
          </cell>
          <cell r="F43">
            <v>0</v>
          </cell>
          <cell r="G43">
            <v>303914.8</v>
          </cell>
          <cell r="H43">
            <v>1752153.1143923856</v>
          </cell>
          <cell r="I43">
            <v>0</v>
          </cell>
          <cell r="J43">
            <v>0</v>
          </cell>
          <cell r="K43">
            <v>0</v>
          </cell>
          <cell r="L43">
            <v>0</v>
          </cell>
          <cell r="M43">
            <v>0</v>
          </cell>
          <cell r="N43">
            <v>0</v>
          </cell>
          <cell r="O43">
            <v>0</v>
          </cell>
        </row>
        <row r="44">
          <cell r="B44" t="str">
            <v>Current Period Profit</v>
          </cell>
          <cell r="D44">
            <v>0</v>
          </cell>
          <cell r="E44">
            <v>203261.8</v>
          </cell>
          <cell r="F44">
            <v>303914.8</v>
          </cell>
          <cell r="G44">
            <v>1448238.3143923855</v>
          </cell>
          <cell r="H44">
            <v>2529814</v>
          </cell>
          <cell r="I44">
            <v>0</v>
          </cell>
          <cell r="J44">
            <v>0</v>
          </cell>
          <cell r="K44">
            <v>0</v>
          </cell>
          <cell r="L44">
            <v>0</v>
          </cell>
          <cell r="M44">
            <v>0</v>
          </cell>
          <cell r="N44">
            <v>0</v>
          </cell>
          <cell r="O44">
            <v>0</v>
          </cell>
        </row>
        <row r="55">
          <cell r="B55" t="str">
            <v>Cumulative Goodwill w/o</v>
          </cell>
          <cell r="D55">
            <v>0</v>
          </cell>
          <cell r="E55">
            <v>0</v>
          </cell>
          <cell r="F55">
            <v>0</v>
          </cell>
          <cell r="G55">
            <v>0</v>
          </cell>
          <cell r="H55">
            <v>0</v>
          </cell>
          <cell r="I55">
            <v>0</v>
          </cell>
          <cell r="J55">
            <v>0</v>
          </cell>
          <cell r="K55">
            <v>0</v>
          </cell>
          <cell r="L55">
            <v>0</v>
          </cell>
          <cell r="M55">
            <v>0</v>
          </cell>
          <cell r="N55">
            <v>0</v>
          </cell>
          <cell r="O55">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sheetData sheetId="57"/>
      <sheetData sheetId="58"/>
      <sheetData sheetId="59"/>
      <sheetData sheetId="60"/>
      <sheetData sheetId="61"/>
      <sheetData sheetId="62"/>
      <sheetData sheetId="63"/>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2">
          <cell r="B2" t="str">
            <v>Baylabs</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right"/>
      <sheetName val="Assume"/>
      <sheetName val="Print Menu"/>
      <sheetName val="Reset-Module"/>
      <sheetName val="Export"/>
      <sheetName val="Adjustments"/>
      <sheetName val="Income Statement Input"/>
      <sheetName val="Balance Sheet Input"/>
      <sheetName val="Support Schedules"/>
      <sheetName val="Income Statement"/>
      <sheetName val="Balance Sheet"/>
      <sheetName val="NOPAT"/>
      <sheetName val="NOPAT-SBS"/>
      <sheetName val="Capital"/>
      <sheetName val="Capital-SBS"/>
      <sheetName val="Cum Unusual"/>
      <sheetName val="COT"/>
      <sheetName val="CET"/>
      <sheetName val="EVA"/>
      <sheetName val="MVA"/>
      <sheetName val="Graphs-MVA"/>
      <sheetName val="EVA-MVA"/>
      <sheetName val="Graphs-EVA"/>
      <sheetName val="PerfSum"/>
      <sheetName val="SixPanel"/>
      <sheetName val="Forecast-Input"/>
      <sheetName val="Engine NOPAT"/>
      <sheetName val="Engine CAPITAL"/>
      <sheetName val="Valuation"/>
      <sheetName val="Charts"/>
      <sheetName val="Validation"/>
      <sheetName val="Leases"/>
      <sheetName val="Capitalized Expense"/>
      <sheetName val="wwww"/>
      <sheetName val="Hide-Module"/>
      <sheetName val="ruSure-Module"/>
      <sheetName val="Print Module"/>
      <sheetName val="BS"/>
      <sheetName val="Checks &amp; Inputs"/>
      <sheetName val="IS"/>
      <sheetName val="PF ann. 3CD"/>
      <sheetName val="F-B"/>
      <sheetName val="F-B-21"/>
      <sheetName val="F-B-3"/>
      <sheetName val="F-B-4"/>
      <sheetName val="Net"/>
      <sheetName val="ExcelEVA Model-Samtel"/>
      <sheetName val="entitlements"/>
      <sheetName val="Lead Sheets"/>
      <sheetName val="Control"/>
      <sheetName val="COA in Acct Group"/>
      <sheetName val="INDEPENDENT"/>
      <sheetName val="accs"/>
      <sheetName val="fa"/>
      <sheetName val="PL"/>
      <sheetName val="Parameters"/>
      <sheetName val="FORM-16A ( MONTHLY DETAILED )"/>
      <sheetName val="Print_Menu"/>
      <sheetName val="Income_Statement_Input"/>
      <sheetName val="Balance_Sheet_Input"/>
      <sheetName val="Support_Schedules"/>
      <sheetName val="Income_Statement"/>
      <sheetName val="Balance_Sheet"/>
      <sheetName val="Cum_Unusual"/>
      <sheetName val="Engine_NOPAT"/>
      <sheetName val="Engine_CAPITAL"/>
      <sheetName val="Capitalized_Expense"/>
      <sheetName val="Print_Module"/>
      <sheetName val="Print_Menu2"/>
      <sheetName val="Income_Statement_Input2"/>
      <sheetName val="Balance_Sheet_Input2"/>
      <sheetName val="Support_Schedules2"/>
      <sheetName val="Income_Statement2"/>
      <sheetName val="Balance_Sheet2"/>
      <sheetName val="Cum_Unusual2"/>
      <sheetName val="Engine_NOPAT2"/>
      <sheetName val="Engine_CAPITAL2"/>
      <sheetName val="Capitalized_Expense2"/>
      <sheetName val="Print_Module2"/>
      <sheetName val="Checks_&amp;_Inputs2"/>
      <sheetName val="Checks_&amp;_Inputs"/>
      <sheetName val="Print_Menu1"/>
      <sheetName val="Income_Statement_Input1"/>
      <sheetName val="Balance_Sheet_Input1"/>
      <sheetName val="Support_Schedules1"/>
      <sheetName val="Income_Statement1"/>
      <sheetName val="Balance_Sheet1"/>
      <sheetName val="Cum_Unusual1"/>
      <sheetName val="Engine_NOPAT1"/>
      <sheetName val="Engine_CAPITAL1"/>
      <sheetName val="Capitalized_Expense1"/>
      <sheetName val="Print_Module1"/>
      <sheetName val="Checks_&amp;_Inputs1"/>
      <sheetName val="2000"/>
      <sheetName val="Company"/>
      <sheetName val="EAST"/>
      <sheetName val="OCAOCL"/>
      <sheetName val="Original"/>
      <sheetName val="COA_in_Acct_Group"/>
      <sheetName val="FA (2)"/>
      <sheetName val="BSPL"/>
      <sheetName val="Assumptions"/>
      <sheetName val="PM"/>
      <sheetName val="b"/>
      <sheetName val="Detailed P&amp;L"/>
      <sheetName val="Conditions"/>
      <sheetName val="Liability Mgmt"/>
      <sheetName val="cc"/>
      <sheetName val="C Section"/>
      <sheetName val="FORM_16A _ MONTHLY DETAILED _"/>
      <sheetName val="ExcelEVA_Model-Samtel"/>
      <sheetName val="Lead_Sheets"/>
      <sheetName val="PF_ann__3CD"/>
      <sheetName val="FORM-16A_(_MONTHLY_DETAILED_)"/>
      <sheetName val="FORM_16A___MONTHLY_DETAILED__"/>
      <sheetName val="Financials"/>
      <sheetName val="SUPP08"/>
      <sheetName val="TB for BS"/>
      <sheetName val="TDC France"/>
      <sheetName val="Other"/>
      <sheetName val="Draft (Egypt Data source)"/>
      <sheetName val="Print_Menu3"/>
      <sheetName val="Income_Statement_Input3"/>
      <sheetName val="Balance_Sheet_Input3"/>
      <sheetName val="Support_Schedules3"/>
      <sheetName val="Income_Statement3"/>
      <sheetName val="Balance_Sheet3"/>
      <sheetName val="Cum_Unusual3"/>
      <sheetName val="Engine_NOPAT3"/>
      <sheetName val="Engine_CAPITAL3"/>
      <sheetName val="Capitalized_Expense3"/>
      <sheetName val="Print_Module3"/>
      <sheetName val="Checks_&amp;_Inputs3"/>
      <sheetName val="PF_ann__3CD1"/>
      <sheetName val="ExcelEVA_Model-Samtel1"/>
      <sheetName val="Lead_Sheets1"/>
      <sheetName val="COA_in_Acct_Group1"/>
      <sheetName val="FORM-16A_(_MONTHLY_DETAILED_)1"/>
      <sheetName val="FORM_16A___MONTHLY_DETAILED__1"/>
      <sheetName val="FA_(2)"/>
      <sheetName val="TB_for_BS"/>
      <sheetName val="TDC_France"/>
      <sheetName val="Draft_(Egypt_Data_source)"/>
      <sheetName val="Detailed_P&amp;L"/>
      <sheetName val="Liability_Mgmt"/>
      <sheetName val="C_Section"/>
      <sheetName val="Signatories"/>
      <sheetName val="Civil_Work"/>
      <sheetName val="INV"/>
      <sheetName val="Assmpns"/>
      <sheetName val="std.wt."/>
      <sheetName val="std_wt_"/>
      <sheetName val="std_wt_1"/>
      <sheetName val="Input"/>
      <sheetName val="Tables"/>
      <sheetName val="Sheet1"/>
      <sheetName val="inc rec - 96 Bud"/>
      <sheetName val="Int-Dep &amp; Tax"/>
      <sheetName val="S4 (2)"/>
      <sheetName val="IC-RP list"/>
      <sheetName val="Annex 1 &amp;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59">
          <cell r="C59" t="str">
            <v>Cash Operating Taxes</v>
          </cell>
        </row>
        <row r="60">
          <cell r="C60" t="str">
            <v>Accrued Operating Taxes</v>
          </cell>
        </row>
        <row r="61">
          <cell r="C61" t="str">
            <v>Effective Taxes</v>
          </cell>
        </row>
        <row r="62">
          <cell r="C62" t="str">
            <v>Cash Effective Taxes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Region"/>
      <sheetName val="Assumptions"/>
      <sheetName val="Data"/>
      <sheetName val="Bloomberg"/>
      <sheetName val="Setting"/>
      <sheetName val="Descrip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Co #"/>
      <sheetName val="JE"/>
      <sheetName val="Tony"/>
      <sheetName val="Co 59"/>
      <sheetName val="59-1999"/>
      <sheetName val="Total - Summary"/>
      <sheetName val="Co50"/>
      <sheetName val="Co56"/>
      <sheetName val="Co40"/>
      <sheetName val="Co64"/>
      <sheetName val="Co17"/>
      <sheetName val="Co44"/>
      <sheetName val="Co33"/>
      <sheetName val="Co65"/>
      <sheetName val="Co 01"/>
    </sheetNames>
    <sheetDataSet>
      <sheetData sheetId="0"/>
      <sheetData sheetId="1"/>
      <sheetData sheetId="2"/>
      <sheetData sheetId="3"/>
      <sheetData sheetId="4">
        <row r="5">
          <cell r="B5">
            <v>66.394208313872028</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mp;MCapex"/>
      <sheetName val="S&amp;M assumptions"/>
      <sheetName val="opex"/>
      <sheetName val="network assumptions"/>
      <sheetName val="assptions"/>
      <sheetName val="Qtrly"/>
      <sheetName val="FWT realization"/>
      <sheetName val="interconnect"/>
      <sheetName val="data.exp"/>
      <sheetName val="Qtrly PresN"/>
      <sheetName val="FY"/>
      <sheetName val="month wise"/>
      <sheetName val="data_exp"/>
      <sheetName val="Article"/>
      <sheetName val="Sheet3 (2)"/>
      <sheetName val="IOU-factory-9"/>
      <sheetName val="IOU-sales-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 Statement"/>
      <sheetName val="Bal Pmt"/>
      <sheetName val="Sheet1"/>
      <sheetName val="Sum"/>
      <sheetName val="Names"/>
      <sheetName val="Summary"/>
      <sheetName val="Data"/>
      <sheetName val="Sheet2"/>
      <sheetName val="Pymt 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 Equip."/>
      <sheetName val="GH Equip"/>
      <sheetName val="Master"/>
      <sheetName val="DPE"/>
      <sheetName val="F &amp; F PY"/>
      <sheetName val="XREF"/>
    </sheetNames>
    <sheetDataSet>
      <sheetData sheetId="0"/>
      <sheetData sheetId="1"/>
      <sheetData sheetId="2"/>
      <sheetData sheetId="3"/>
      <sheetData sheetId="4"/>
      <sheetData sheetId="5"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562"/>
      <sheetName val="562"/>
      <sheetName val="PR569"/>
      <sheetName val="569"/>
      <sheetName val="PR573"/>
      <sheetName val="573"/>
      <sheetName val="PR596"/>
      <sheetName val="596"/>
      <sheetName val="546"/>
      <sheetName val="SUMMARY"/>
      <sheetName val="SUMMARY (2)"/>
      <sheetName val="TB 31 Mar 10 15 MTHS"/>
      <sheetName val="Schedule No.1"/>
      <sheetName val="PTN"/>
      <sheetName val="Fund Req. May 15"/>
      <sheetName val="Fund Req."/>
      <sheetName val="CF"/>
      <sheetName val="현금흐름표"/>
      <sheetName val="SAPBEXqueries"/>
      <sheetName val="Con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6">
          <cell r="E36">
            <v>0</v>
          </cell>
          <cell r="F36">
            <v>21.16</v>
          </cell>
          <cell r="G36">
            <v>2.2739999999999996</v>
          </cell>
          <cell r="H36">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 Update - Pd 4"/>
      <sheetName val="RB Update - Pd 3"/>
      <sheetName val="RB Update - Pd 2"/>
      <sheetName val="RB Update - Pd 1"/>
      <sheetName val="Pd 13, 1999 or Budget-Yr 2000"/>
      <sheetName val="Centerwise_Monthly"/>
      <sheetName val="data.exp"/>
      <sheetName val="Pd 13_ 1999 or Budget_Yr 2000"/>
      <sheetName val="worksheet"/>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sheetName val="Inc.Statment_inputs"/>
      <sheetName val="Bal_Sheet"/>
      <sheetName val="Intangadjst"/>
      <sheetName val="Adjst"/>
      <sheetName val="Nopatop"/>
      <sheetName val="Nopatfin"/>
      <sheetName val="Capop"/>
      <sheetName val="Capfin"/>
      <sheetName val="Capsbs"/>
      <sheetName val="Nopatsbs"/>
      <sheetName val="Tax"/>
      <sheetName val="EVA"/>
      <sheetName val="EvaGraph"/>
      <sheetName val="MVA"/>
      <sheetName val="EvaMva"/>
      <sheetName val="MvaGraph"/>
      <sheetName val="Sumperf"/>
      <sheetName val="SixP"/>
      <sheetName val="CostofCap"/>
      <sheetName val="PyrllDeduc"/>
      <sheetName val="wwww"/>
      <sheetName val="BS"/>
      <sheetName val="Checks &amp; Inputs"/>
      <sheetName val="IS"/>
      <sheetName val="PF ann. 3CD"/>
      <sheetName val="data.exp"/>
      <sheetName val="INDEPENDENT"/>
    </sheetNames>
    <sheetDataSet>
      <sheetData sheetId="0" refreshError="1">
        <row r="16">
          <cell r="J16" t="str">
            <v xml:space="preserve"> Rupees Lakhs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co of Additions"/>
      <sheetName val="Additions"/>
      <sheetName val="RECO SALE  SchD (2)"/>
      <sheetName val="Deletions"/>
      <sheetName val="Schedule"/>
      <sheetName val="O Equip."/>
      <sheetName val="F &amp; F 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blockwise"/>
      <sheetName val="XREF"/>
      <sheetName val="Tickmarks"/>
      <sheetName val="ANNE2"/>
    </sheetNames>
    <sheetDataSet>
      <sheetData sheetId="0" refreshError="1"/>
      <sheetData sheetId="1" refreshError="1"/>
      <sheetData sheetId="2" refreshError="1"/>
      <sheetData sheetId="3" refreshError="1"/>
      <sheetData sheetId="4"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s &amp; Interest Summary"/>
      <sheetName val="New CARO"/>
      <sheetName val="Sheet Index"/>
      <sheetName val="Cover Sheet"/>
      <sheetName val="Main Sheet"/>
      <sheetName val="Balance Confirmation"/>
      <sheetName val="ILFS Balance Confirmation"/>
      <sheetName val="Delay sheet"/>
      <sheetName val="NCD IL&amp;FS"/>
      <sheetName val="DDB Summary wrking"/>
      <sheetName val="TL BOB"/>
      <sheetName val="TL CBI"/>
      <sheetName val="TL IDBI"/>
      <sheetName val="TL SBI"/>
      <sheetName val="TL JKB"/>
      <sheetName val="TL SBH"/>
      <sheetName val="TL LIC"/>
      <sheetName val="TL IL&amp;FS"/>
      <sheetName val="TL CDR IL&amp;FS"/>
      <sheetName val="LOC 100cr ILFS"/>
      <sheetName val="DDB Rev Details"/>
      <sheetName val="XREF"/>
      <sheetName val="Tickmarks"/>
      <sheetName val="Summary"/>
      <sheetName val="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quirements"/>
      <sheetName val="Issues"/>
      <sheetName val="Share capital &amp; Application"/>
      <sheetName val="TopSheet"/>
      <sheetName val="Capital work in progress"/>
      <sheetName val="Depreciation Reco"/>
      <sheetName val="Debtors"/>
      <sheetName val="Confirmation combined"/>
      <sheetName val="Advances"/>
      <sheetName val="Adv pymt of taxes"/>
      <sheetName val="Prepaid exps"/>
      <sheetName val="Creditors"/>
      <sheetName val="FD Income and Int. Accrued"/>
      <sheetName val="Security Deposit"/>
      <sheetName val="Provision for expenses"/>
      <sheetName val="Statutory Dues"/>
      <sheetName val="Rent"/>
      <sheetName val="Directors fees"/>
      <sheetName val="Managerial Rem."/>
      <sheetName val="Foriegn Cur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PLANTS"/>
      <sheetName val="TALSTOCKVAL"/>
      <sheetName val="BKCSTOCKVAL"/>
      <sheetName val="MAHSTOCKVAL"/>
    </sheetNames>
    <sheetDataSet>
      <sheetData sheetId="0"/>
      <sheetData sheetId="1"/>
      <sheetData sheetId="2"/>
      <sheetData sheetId="3"/>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physical verifiection"/>
      <sheetName val="Capital WIP"/>
      <sheetName val="Leasehold mprovements"/>
      <sheetName val="Fa Register blockwise"/>
      <sheetName val="Fixed Assets Top Sheet"/>
      <sheetName val="Depreciation on op wdv"/>
      <sheetName val="Sheet1"/>
      <sheetName val="FA Register"/>
      <sheetName val="XREF"/>
      <sheetName val="Tickmarks"/>
      <sheetName val="Top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Done"/>
      <sheetName val="Analytical"/>
      <sheetName val="PF"/>
      <sheetName val="Superannuation Working"/>
      <sheetName val="Leave Encashment"/>
      <sheetName val="Gratuity"/>
      <sheetName val="Additions"/>
      <sheetName val="Increment"/>
      <sheetName val="Resignation"/>
      <sheetName val="Working for Analysis"/>
      <sheetName val="Emp Reco"/>
      <sheetName val="Salary Analysis"/>
      <sheetName val="Apr 05"/>
      <sheetName val="May 05"/>
      <sheetName val="June 05"/>
      <sheetName val="July 05"/>
      <sheetName val="Aug 05"/>
      <sheetName val="Sep 05"/>
      <sheetName val="Oct 05"/>
      <sheetName val="Nov 05"/>
      <sheetName val="Dec 05"/>
      <sheetName val="Jan06"/>
      <sheetName val="Feb06"/>
      <sheetName val="Mar06"/>
      <sheetName val="Arrear"/>
      <sheetName val="Total Salary"/>
      <sheetName val="Tickmarks"/>
      <sheetName val="Leasehold mprovements"/>
      <sheetName val="XREF"/>
    </sheetNames>
    <sheetDataSet>
      <sheetData sheetId="0" refreshError="1"/>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DOM"/>
      <sheetName val="NETTING OFF-Mar-15"/>
      <sheetName val="STD2001"/>
      <sheetName val="Vendors"/>
      <sheetName val="Ten_Crudes"/>
      <sheetName val="BS-Sch-E"/>
      <sheetName val="XREF"/>
    </sheetNames>
    <sheetDataSet>
      <sheetData sheetId="0"/>
      <sheetData sheetId="1">
        <row r="404">
          <cell r="E404">
            <v>1799717705.1699994</v>
          </cell>
        </row>
      </sheetData>
      <sheetData sheetId="2" refreshError="1"/>
      <sheetData sheetId="3" refreshError="1"/>
      <sheetData sheetId="4" refreshError="1"/>
      <sheetData sheetId="5" refreshError="1"/>
      <sheetData sheetId="6"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 D"/>
      <sheetName val="145A"/>
      <sheetName val="ANN E"/>
      <sheetName val="ANNE1"/>
      <sheetName val="ANNE2"/>
      <sheetName val="Reco of Additions"/>
      <sheetName val="RECO SALE - I.T"/>
      <sheetName val="RECO SALE  SchD"/>
      <sheetName val="Ann F"/>
      <sheetName val="Ann F "/>
      <sheetName val="  Ann G final"/>
      <sheetName val="Ann  H"/>
      <sheetName val="Ann-G1"/>
      <sheetName val="Ann   I"/>
      <sheetName val="Ann  J"/>
      <sheetName val="Service tax collection"/>
      <sheetName val="Ann J1"/>
      <sheetName val="ANN K"/>
      <sheetName val="Ann I1 (2)"/>
      <sheetName val="ANN L"/>
      <sheetName val="ANN M"/>
      <sheetName val="Ann  N"/>
      <sheetName val="Ann-O"/>
      <sheetName val="Ann P"/>
      <sheetName val="XREF"/>
      <sheetName val="Clause 20"/>
      <sheetName val="Tickmarks"/>
      <sheetName val="leave-encash working"/>
      <sheetName val="Ann N"/>
      <sheetName val="sch h1"/>
      <sheetName val="sch h 2"/>
      <sheetName val="Ann "/>
      <sheetName val="note to Sch H2 Sr. 3"/>
      <sheetName val="Sch H"/>
      <sheetName val="Resign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WIP Computers"/>
      <sheetName val="Addition 2010-11"/>
      <sheetName val="CWIP P&amp;M"/>
      <sheetName val="CWIP-Building"/>
      <sheetName val="Sheet1"/>
      <sheetName val="Sheet2"/>
      <sheetName val="Sheet3"/>
      <sheetName val="test"/>
      <sheetName val=""/>
      <sheetName val="GL_comparison"/>
      <sheetName val="WDV Workings"/>
      <sheetName val="Lead"/>
      <sheetName val="WS 2"/>
      <sheetName val="Consumption"/>
      <sheetName val="MF NAV&amp;MARKET VALUE 31.03.2006"/>
    </sheetNames>
    <sheetDataSet>
      <sheetData sheetId="0"/>
      <sheetData sheetId="1"/>
      <sheetData sheetId="2">
        <row r="15">
          <cell r="D15">
            <v>4620987.45</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pre.Entry"/>
      <sheetName val="Fixed Assets"/>
      <sheetName val="FA Schedule"/>
      <sheetName val="Addition 2010-11"/>
      <sheetName val="Sch-5 Cross Check"/>
      <sheetName val="FA - VAP"/>
      <sheetName val="Sch-5"/>
      <sheetName val="Schedule"/>
      <sheetName val="ADDITION SUMMARY"/>
      <sheetName val="Addition Details-Q4"/>
      <sheetName val="CWIP OTHERS"/>
      <sheetName val="CWIP-Building"/>
      <sheetName val="CWIP Computers"/>
      <sheetName val="CWIP E&amp;I"/>
      <sheetName val="XREF"/>
      <sheetName val="Tickmarks"/>
      <sheetName val="CWIP P&amp;M"/>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
      <sheetName val="XREF"/>
      <sheetName val="Tickmarks"/>
      <sheetName val="#REF"/>
      <sheetName val="Final FA register blockwise"/>
      <sheetName val="blockwise"/>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 07"/>
      <sheetName val="Sept 06"/>
      <sheetName val="Tickmarks"/>
      <sheetName val="COMPUTATION"/>
    </sheetNames>
    <sheetDataSet>
      <sheetData sheetId="0" refreshError="1"/>
      <sheetData sheetId="1"/>
      <sheetData sheetId="2"/>
      <sheetData sheetId="3"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3CD Final"/>
      <sheetName val="Annexure-I "/>
      <sheetName val="ANN -II TO 3CD (2)"/>
      <sheetName val="Annex-1"/>
      <sheetName val="Annex-2"/>
      <sheetName val="Annexure-3  "/>
      <sheetName val="Annex 3A "/>
      <sheetName val="Annex 3A  - Final"/>
      <sheetName val="Annexure-3B "/>
      <sheetName val="Annexure-4"/>
      <sheetName val="Annex -5"/>
      <sheetName val="Annx-6"/>
      <sheetName val="Annx-7"/>
      <sheetName val="Annex-8A"/>
      <sheetName val="Annex-8B"/>
      <sheetName val="Annex - 9"/>
      <sheetName val="Annexure- 10"/>
      <sheetName val="Annexure 11"/>
      <sheetName val="Annexure-12 qty"/>
      <sheetName val="Annexure-13 Ratio "/>
      <sheetName val="summary"/>
      <sheetName val="Details "/>
      <sheetName val="working"/>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_Sch"/>
      <sheetName val="31.03.05"/>
      <sheetName val="Furniture and Fixtures"/>
      <sheetName val="Office Equiptments"/>
      <sheetName val="Vehicles"/>
      <sheetName val="DPE_Computers"/>
      <sheetName val="Expressway"/>
      <sheetName val="XREF"/>
      <sheetName val="Tickmarks"/>
      <sheetName val="Sept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10"/>
      <sheetName val="SCH 11A"/>
      <sheetName val="SCH 11B"/>
      <sheetName val="SCH 11C"/>
      <sheetName val="SCH 11D"/>
      <sheetName val="SCH 11E"/>
      <sheetName val="SCH 11F"/>
      <sheetName val="SCH 11G"/>
      <sheetName val="SCH 11H"/>
      <sheetName val="SCH 11 I"/>
      <sheetName val="SCH 11J"/>
      <sheetName val="SCH 12"/>
      <sheetName val="SCH 12A"/>
      <sheetName val="SCH 12B"/>
      <sheetName val="SCHD 12C"/>
      <sheetName val="SCH 12D"/>
      <sheetName val="SCH 12E"/>
      <sheetName val="SCH 13"/>
      <sheetName val="Tit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inal - Anita"/>
      <sheetName val="Final"/>
      <sheetName val="Provfor Doubt Debts "/>
      <sheetName val="XREF"/>
      <sheetName val="Fixed asset register"/>
      <sheetName val="Consumption"/>
      <sheetName val="Stocks Annexure"/>
      <sheetName val="SALES"/>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 POLICY"/>
      <sheetName val="NEW POLICY"/>
      <sheetName val="IMPACT"/>
      <sheetName val="XREF"/>
      <sheetName val="Tickmarks"/>
    </sheetNames>
    <sheetDataSet>
      <sheetData sheetId="0" refreshError="1"/>
      <sheetData sheetId="1" refreshError="1"/>
      <sheetData sheetId="2" refreshError="1"/>
      <sheetData sheetId="3" refreshError="1"/>
      <sheetData sheetId="4"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uotations Procedure"/>
      <sheetName val="Schedule 2006-2007"/>
      <sheetName val="Schedule 2005-2006"/>
      <sheetName val="Schedule C - 2004-2005"/>
      <sheetName val="Vadodara Halol Toll Road"/>
      <sheetName val="Claim Adjust"/>
      <sheetName val="VH Road"/>
      <sheetName val="Office Premises"/>
      <sheetName val="Furniture and Fixtures"/>
      <sheetName val="Office Equipments"/>
      <sheetName val="Data Processing Equipments"/>
      <sheetName val="Vehicles"/>
      <sheetName val="Electrical Installations"/>
      <sheetName val="P&amp;L sale of assets"/>
      <sheetName val="Variance Analysis"/>
      <sheetName val="VHR for 30 years mARCH 2007"/>
      <sheetName val="VHR for 30 years March 2006"/>
      <sheetName val="XREF"/>
      <sheetName val="Tickmarks"/>
      <sheetName val="CWIP"/>
      <sheetName val="VHR for 30 years"/>
      <sheetName val="Investments (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blockwise"/>
      <sheetName val="finally a reg"/>
      <sheetName val="wkg"/>
      <sheetName val="XREF"/>
      <sheetName val="Tickmarks"/>
      <sheetName val="blockwise"/>
      <sheetName val="FA final reg"/>
      <sheetName val="Sheet1"/>
      <sheetName val="#REF"/>
      <sheetName val="A&amp;M Road"/>
      <sheetName val="DPE"/>
      <sheetName val="Elect. Install."/>
      <sheetName val="F&amp;F"/>
      <sheetName val="Office Equip."/>
      <sheetName val="Office Premises"/>
      <sheetName val="Vehicles"/>
    </sheetNames>
    <sheetDataSet>
      <sheetData sheetId="0"/>
      <sheetData sheetId="1"/>
      <sheetData sheetId="2"/>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pe"/>
      <sheetName val="ANN -II TO 3CD"/>
      <sheetName val="Pivot of expenses"/>
      <sheetName val="Working"/>
      <sheetName val="Working of Medical Claim"/>
      <sheetName val="FBT Challan details F-09"/>
      <sheetName val="SA Contr"/>
      <sheetName val="FBT Ledger download Apr.08  "/>
      <sheetName val="FBT Ledger download Apr.08  Fin"/>
      <sheetName val="Dump for taxable"/>
      <sheetName val="XREF"/>
      <sheetName val="Tickmarks"/>
    </sheetNames>
    <sheetDataSet>
      <sheetData sheetId="0"/>
      <sheetData sheetId="1"/>
      <sheetData sheetId="2"/>
      <sheetData sheetId="3">
        <row r="20">
          <cell r="E20">
            <v>9679889.7600000016</v>
          </cell>
        </row>
      </sheetData>
      <sheetData sheetId="4"/>
      <sheetData sheetId="5"/>
      <sheetData sheetId="6"/>
      <sheetData sheetId="7"/>
      <sheetData sheetId="8"/>
      <sheetData sheetId="9"/>
      <sheetData sheetId="10"/>
      <sheetData sheetId="1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1. Policy"/>
      <sheetName val="3. Depreciation Test"/>
      <sheetName val="2. Balance Test"/>
      <sheetName val="4. Repairs &amp; Maintenance"/>
      <sheetName val="Tickmarks "/>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E"/>
      <sheetName val="F &amp; F"/>
      <sheetName val="Vehicles"/>
      <sheetName val="O Equip."/>
      <sheetName val="GH Equip"/>
      <sheetName val="XREF"/>
      <sheetName val="Tickmarks"/>
    </sheetNames>
    <sheetDataSet>
      <sheetData sheetId="0"/>
      <sheetData sheetId="1"/>
      <sheetData sheetId="2"/>
      <sheetData sheetId="3"/>
      <sheetData sheetId="4" refreshError="1"/>
      <sheetData sheetId="5"/>
      <sheetData sheetId="6"/>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ed Parties"/>
      <sheetName val="Pl-EXCL"/>
      <sheetName val="pL-iNCL"/>
      <sheetName val="Sheet3"/>
      <sheetName val="P&amp;L"/>
      <sheetName val="BS"/>
      <sheetName val="VARIANCE ANALYSIS "/>
      <sheetName val="cash flow"/>
      <sheetName val="Sch 1-4"/>
      <sheetName val="Sch-5"/>
      <sheetName val="Sch-6-11"/>
      <sheetName val="Sch 12 &amp;13"/>
      <sheetName val="P&amp;L Sch 14-16"/>
      <sheetName val="P&amp;L Sch 17-19"/>
      <sheetName val="Data Entry"/>
      <sheetName val="TRIAL BALANCE (2)"/>
      <sheetName val="TRIAL BALANCE"/>
      <sheetName val="TB Download"/>
      <sheetName val="TBdownload-2002"/>
      <sheetName val="CC wise Download"/>
      <sheetName val="SIFGROUPINGS"/>
      <sheetName val="SIF P&amp;L BS"/>
      <sheetName val="SIF P&amp;L"/>
      <sheetName val="SIF Workings"/>
      <sheetName val="SIF Results Back up"/>
      <sheetName val="PROVISIONS"/>
      <sheetName val="P &amp; L Approach(OB)"/>
      <sheetName val="P &amp; L Approach(CB) "/>
      <sheetName val="AS-22"/>
      <sheetName val="Nagar provisions"/>
      <sheetName val="CL PROVISION"/>
      <sheetName val="SIF R20&amp;R30 "/>
      <sheetName val="SIF-Sent to France"/>
      <sheetName val="sch-IV"/>
      <sheetName val="TBM ANALYSI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ing"/>
      <sheetName val="Check list"/>
      <sheetName val="Summary"/>
      <sheetName val="Bal Sheet as per grouping"/>
      <sheetName val="Bal Sheet"/>
      <sheetName val="Sell Exp"/>
      <sheetName val="S&amp;M for Jap Rep"/>
      <sheetName val="comments t suchiya"/>
      <sheetName val="comments"/>
      <sheetName val="mfg fin with .5 adm cost"/>
      <sheetName val="mfg without .5 adm cost"/>
      <sheetName val="Working-Mar 2000"/>
      <sheetName val="Tally Control"/>
      <sheetName val="OSF"/>
      <sheetName val="qty"/>
      <sheetName val="COGS"/>
      <sheetName val="Comments (2)"/>
      <sheetName val="Plant goals"/>
      <sheetName val="Capex &amp; Headcount"/>
      <sheetName val="Rev &amp; GP"/>
      <sheetName val="PL"/>
      <sheetName val="Fin.Summ."/>
      <sheetName val="Sales &amp; Pdn.Summ."/>
      <sheetName val="BS"/>
      <sheetName val="WIP"/>
      <sheetName val="Kobayashi Detail"/>
      <sheetName val="Sheet1"/>
      <sheetName val="FA sch as per Jap Rep."/>
      <sheetName val="Sheet2"/>
      <sheetName val="Half Yrly"/>
      <sheetName val="Control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oans &amp; aDVANCES (2)"/>
      <sheetName val="Loans &amp; aDVANCES"/>
      <sheetName val="Curr Assets "/>
      <sheetName val="Borrowing Bifurcation"/>
      <sheetName val="PGC"/>
      <sheetName val="B S"/>
      <sheetName val="P L"/>
      <sheetName val="Reserves"/>
      <sheetName val="Invest Break"/>
      <sheetName val="Other Loans "/>
      <sheetName val="Tier II Capital "/>
      <sheetName val="Investments"/>
      <sheetName val="Borrowing Summary"/>
      <sheetName val="Investment Summary"/>
      <sheetName val="Curr Liab Provs "/>
      <sheetName val="DEPOSITS"/>
      <sheetName val="Interest Accrued on Inv"/>
      <sheetName val="Adv Recd"/>
      <sheetName val="Misc Liability"/>
      <sheetName val="Sundry Debtors"/>
      <sheetName val="Interst Accrued on Loans"/>
      <sheetName val="Prepaid Expenses iss"/>
      <sheetName val="Prepaid Expenses"/>
      <sheetName val="Interest Accrued (Liability)"/>
      <sheetName val="Sundry Creditors"/>
      <sheetName val="Gross 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_res"/>
      <sheetName val="InputPO_Del"/>
      <sheetName val="Summary"/>
      <sheetName val="P &amp; L - BenchMark -All Biz (II)"/>
      <sheetName val="P_&amp;_L_-_BenchMark_-All_Biz_(II)"/>
      <sheetName val="P_&amp;_L_-_BenchMark_-All_Biz_(II1"/>
      <sheetName val="P_&amp;_L_-_BenchMark_-All_Biz_(II2"/>
      <sheetName val="Compiled P&amp;L"/>
      <sheetName val="4. TOP 25 QTY &amp; VALUE WISE "/>
      <sheetName val="INDIVIDUAL GRAPH DATA"/>
      <sheetName val="HOTO Status"/>
      <sheetName val="HOTO Status - Own Built"/>
      <sheetName val="HOTO Status- Leased"/>
      <sheetName val="@RISK Correlations"/>
      <sheetName val="@RISK_Correlations"/>
      <sheetName val="oresreqsum"/>
      <sheetName val="2.00-03 Final Budget"/>
      <sheetName val="1.2"/>
      <sheetName val="STR_PLAN2"/>
      <sheetName val="Lists"/>
      <sheetName val="Notes"/>
      <sheetName val="GL"/>
      <sheetName val="Input"/>
      <sheetName val="DET0900"/>
      <sheetName val="Const QMS Dash Board"/>
      <sheetName val="A G PIPING"/>
      <sheetName val="OVER ALL"/>
      <sheetName val="@RISK_Correlations2"/>
      <sheetName val="HOTO_Status1"/>
      <sheetName val="HOTO_Status_-_Own_Built1"/>
      <sheetName val="HOTO_Status-_Leased1"/>
      <sheetName val="Const_QMS_Dash_Board1"/>
      <sheetName val="A_G_PIPING1"/>
      <sheetName val="OVER_ALL1"/>
      <sheetName val="@RISK_Correlations1"/>
      <sheetName val="HOTO_Status"/>
      <sheetName val="HOTO_Status_-_Own_Built"/>
      <sheetName val="HOTO_Status-_Leased"/>
      <sheetName val="Const_QMS_Dash_Board"/>
      <sheetName val="A_G_PIPING"/>
      <sheetName val="OVER_ALL"/>
      <sheetName val="19-PERF"/>
      <sheetName val="NLD - Assum"/>
      <sheetName val="Capex-fixed"/>
      <sheetName val="BPC"/>
      <sheetName val="RMMB_Convcst"/>
      <sheetName val="SOLUT006"/>
      <sheetName val="CRUDE"/>
      <sheetName val="BOQ+Data"/>
      <sheetName val="Cap_Porta Cabins"/>
      <sheetName val="Cap_Shut_Scaf"/>
      <sheetName val="12 Taxes &amp; Duties."/>
      <sheetName val="13 Overhead_Demob_Financial"/>
      <sheetName val="BAL-PAGE-8"/>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めも"/>
      <sheetName val="ｓｔｏｒｙ"/>
      <sheetName val="ﾏﾆｭｱﾙ"/>
      <sheetName val="ふんどし0308"/>
      <sheetName val="1"/>
      <sheetName val="1new0308"/>
      <sheetName val="対象顧客0309"/>
      <sheetName val="対象顧客0309 (2)"/>
    </sheetNames>
    <sheetDataSet>
      <sheetData sheetId="0"/>
      <sheetData sheetId="1"/>
      <sheetData sheetId="2"/>
      <sheetData sheetId="3"/>
      <sheetData sheetId="4" refreshError="1"/>
      <sheetData sheetId="5"/>
      <sheetData sheetId="6"/>
      <sheetData sheetId="7"/>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UNK"/>
      <sheetName val="平残連結"/>
      <sheetName val="平残DFL"/>
      <sheetName val="平残LOAN"/>
      <sheetName val="平残ﾚﾝﾀﾙ"/>
      <sheetName val="平残投資"/>
      <sheetName val="残高連結"/>
      <sheetName val="残高DFL"/>
      <sheetName val="残高LOAN"/>
      <sheetName val="残高ﾚﾝﾀﾙ"/>
      <sheetName val="残高投資"/>
      <sheetName val="人"/>
      <sheetName val="DFL連結"/>
      <sheetName val="LOAN連結"/>
      <sheetName val="ﾚﾝﾀﾙ連結"/>
      <sheetName val="その他連結"/>
      <sheetName val="受取手数料"/>
      <sheetName val="再ﾘｰｽ収益"/>
      <sheetName val="諸原価連結"/>
      <sheetName val="発生連結"/>
      <sheetName val="利息連結"/>
      <sheetName val="ﾚﾝﾀ償却連結"/>
      <sheetName val="その他原価"/>
      <sheetName val="支払手数料"/>
      <sheetName val="販管連結"/>
      <sheetName val="繰入連結"/>
      <sheetName val="雑損失"/>
      <sheetName val="粗利調整"/>
      <sheetName val="仕切ｺｽﾄ"/>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sheetData sheetId="25"/>
      <sheetData sheetId="26" refreshError="1"/>
      <sheetData sheetId="27"/>
      <sheetData sheetId="28"/>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平残連結"/>
      <sheetName val="平残DFL"/>
      <sheetName val="平残LOAN"/>
      <sheetName val="平残ﾚﾝﾀﾙ"/>
      <sheetName val="平残投資"/>
      <sheetName val="残高連結"/>
      <sheetName val="残高DFL"/>
      <sheetName val="残高LOAN"/>
      <sheetName val="残高ﾚﾝﾀﾙ"/>
      <sheetName val="残高投資"/>
      <sheetName val="末人員"/>
      <sheetName val="平均人員"/>
      <sheetName val="DFL連結"/>
      <sheetName val="LOAN連結"/>
      <sheetName val="ﾚﾝﾀﾙ連結"/>
      <sheetName val="その他連結"/>
      <sheetName val="受取手数料"/>
      <sheetName val="再ﾘｰｽ収益"/>
      <sheetName val="諸原価連結"/>
      <sheetName val="利息連結"/>
      <sheetName val="その他原価"/>
      <sheetName val="ﾚﾝﾀﾙ原価連結"/>
      <sheetName val="支払手数料"/>
      <sheetName val="販管連結"/>
      <sheetName val="貸倒繰入連結"/>
      <sheetName val="雑損失"/>
      <sheetName val="粗利調整"/>
      <sheetName val="仕切ｺｽﾄ"/>
      <sheetName val="発生連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まとめ"/>
      <sheetName val="0312"/>
      <sheetName val="有価"/>
      <sheetName val="0309"/>
      <sheetName val="Sheet1"/>
    </sheetNames>
    <sheetDataSet>
      <sheetData sheetId="0"/>
      <sheetData sheetId="1"/>
      <sheetData sheetId="2"/>
      <sheetData sheetId="3"/>
      <sheetData sheetId="4" refreshError="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関連会社明細"/>
      <sheetName val="子会社まとめ"/>
      <sheetName val="関連会社まとめ"/>
      <sheetName val="子会社明細"/>
    </sheetNames>
    <sheetDataSet>
      <sheetData sheetId="0" refreshError="1"/>
      <sheetData sheetId="1"/>
      <sheetData sheetId="2"/>
      <sheetData sheetId="3"/>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売却可能公債"/>
      <sheetName val="短期"/>
      <sheetName val="売却可能株式"/>
    </sheetNames>
    <sheetDataSet>
      <sheetData sheetId="0" refreshError="1"/>
      <sheetData sheetId="1" refreshError="1"/>
      <sheetData sheetId="2"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別比較"/>
      <sheetName val="課別税前"/>
      <sheetName val="課別税前 (前期)"/>
      <sheetName val="前当期利息"/>
      <sheetName val="前当期営業収入"/>
      <sheetName val="前当期資産"/>
      <sheetName val="3部提出用累計"/>
      <sheetName val="ROUND用"/>
      <sheetName val="組替後"/>
      <sheetName val="ﾃﾞｰﾀ変換"/>
      <sheetName val="SAPﾃﾞｰﾀ貼付用"/>
      <sheetName val="前期ROUND用"/>
      <sheetName val="前期ROUND用0104"/>
      <sheetName val="前期ROUND用0106"/>
      <sheetName val="ROUND用0204"/>
      <sheetName val="ROUND用0204単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船舶"/>
      <sheetName val="テーマ"/>
      <sheetName val="備忘"/>
      <sheetName val="四半期毎MICﾃﾞｰﾀ転記"/>
      <sheetName val="融資二部修正・04年09月追加・船舶修正"/>
      <sheetName val="９５年３月期～"/>
      <sheetName val="事業ﾏﾄﾘｯｸｽ②"/>
      <sheetName val="200403"/>
      <sheetName val="ogawa ﾃﾞｰﾀﾒﾝﾃ上の注意"/>
      <sheetName val="ogawa用"/>
      <sheetName val="0412　ＯＵＣ修正"/>
      <sheetName val="事業ﾎﾟｰ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計画室（1-26）"/>
      <sheetName val="変更点"/>
      <sheetName val="投資会社等"/>
      <sheetName val="ｶﾝﾘﾔｸｲﾝ"/>
      <sheetName val="分析1"/>
      <sheetName val="分析2"/>
      <sheetName val="平均人員ｻﾏﾘｰ"/>
      <sheetName val="平均人員明細"/>
      <sheetName val="SGA明細"/>
      <sheetName val="修正後TB"/>
      <sheetName val="単体SGA"/>
      <sheetName val="G配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ed Parties"/>
      <sheetName val="P&amp;L"/>
      <sheetName val="BS"/>
      <sheetName val="VARIANCE ANALYSIS "/>
      <sheetName val="Sch 1-4"/>
      <sheetName val="Sch-5"/>
      <sheetName val="Sch-6-11"/>
      <sheetName val="Sch 12 &amp;13"/>
      <sheetName val="P&amp;L Sch 14-16"/>
      <sheetName val="P&amp;L Sch 17-19"/>
      <sheetName val="Data Entry"/>
      <sheetName val="TRIAL BALANCE (2)"/>
      <sheetName val="TRIAL BALANCE"/>
      <sheetName val="TB Download"/>
      <sheetName val="TBdownload-2002"/>
      <sheetName val="CC wise Download"/>
      <sheetName val="SIF P&amp;L BS"/>
      <sheetName val="SIF P&amp;L"/>
      <sheetName val="SIF Workings"/>
      <sheetName val="SIF Results Back up"/>
      <sheetName val="PROVISIONS"/>
      <sheetName val="Pl-Incl"/>
      <sheetName val="pl-Excl"/>
      <sheetName val="sch-I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ifuadd"/>
      <sheetName val="四半期毎MICﾃﾞｰﾀ転記"/>
    </sheetNames>
    <definedNames>
      <definedName name="配賦.box2_select"/>
      <definedName name="配賦.OptionChk1"/>
      <definedName name="配賦.OptionChk2"/>
      <definedName name="配賦.OptionChk3"/>
    </definedNames>
    <sheetDataSet>
      <sheetData sheetId="0" refreshError="1"/>
      <sheetData sheetId="1"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Summary"/>
      <sheetName val="NAV Method Valuation"/>
      <sheetName val="DCF Valuation"/>
      <sheetName val="WACC"/>
      <sheetName val="Working Capital Computation"/>
      <sheetName val="CF"/>
      <sheetName val="Ast-Smt"/>
      <sheetName val="Lib-Smt"/>
      <sheetName val="Debt Computation"/>
      <sheetName val="Op-Smt"/>
      <sheetName val="Valid"/>
      <sheetName val="WCC"/>
      <sheetName val="Fin-Ind."/>
      <sheetName val="ABF"/>
      <sheetName val="F-FL."/>
      <sheetName val="DSCR"/>
      <sheetName val="TL_in"/>
      <sheetName val="DPG_in"/>
      <sheetName val="Sheet1"/>
      <sheetName val="TL"/>
    </sheetNames>
    <sheetDataSet>
      <sheetData sheetId="0">
        <row r="9">
          <cell r="C9">
            <v>19.325657799999998</v>
          </cell>
        </row>
      </sheetData>
      <sheetData sheetId="1">
        <row r="12">
          <cell r="C12">
            <v>330</v>
          </cell>
        </row>
      </sheetData>
      <sheetData sheetId="2">
        <row r="15">
          <cell r="C15">
            <v>10</v>
          </cell>
        </row>
      </sheetData>
      <sheetData sheetId="3"/>
      <sheetData sheetId="4"/>
      <sheetData sheetId="5">
        <row r="3">
          <cell r="B3">
            <v>2024</v>
          </cell>
          <cell r="C3">
            <v>2025</v>
          </cell>
          <cell r="D3">
            <v>2026</v>
          </cell>
          <cell r="E3">
            <v>2027</v>
          </cell>
          <cell r="F3">
            <v>2028</v>
          </cell>
          <cell r="G3">
            <v>2029</v>
          </cell>
          <cell r="H3">
            <v>2030</v>
          </cell>
        </row>
      </sheetData>
      <sheetData sheetId="6">
        <row r="52">
          <cell r="S52">
            <v>1458.6</v>
          </cell>
          <cell r="T52">
            <v>1468.6</v>
          </cell>
          <cell r="U52">
            <v>1498.6</v>
          </cell>
          <cell r="V52">
            <v>1528.6</v>
          </cell>
          <cell r="W52">
            <v>1558.6</v>
          </cell>
          <cell r="X52">
            <v>1588.6</v>
          </cell>
          <cell r="Y52">
            <v>1608.6</v>
          </cell>
          <cell r="Z52">
            <v>1628.6</v>
          </cell>
        </row>
      </sheetData>
      <sheetData sheetId="7">
        <row r="27">
          <cell r="S27">
            <v>37.485900000000001</v>
          </cell>
          <cell r="T27">
            <v>36.200000000000003</v>
          </cell>
          <cell r="U27">
            <v>44</v>
          </cell>
          <cell r="V27">
            <v>44</v>
          </cell>
          <cell r="W27">
            <v>44</v>
          </cell>
          <cell r="X27">
            <v>44</v>
          </cell>
          <cell r="Y27">
            <v>44</v>
          </cell>
          <cell r="Z27">
            <v>44</v>
          </cell>
        </row>
        <row r="51">
          <cell r="S51">
            <v>370.25</v>
          </cell>
          <cell r="T51">
            <v>352.25</v>
          </cell>
          <cell r="U51">
            <v>308.25</v>
          </cell>
          <cell r="V51">
            <v>264.25</v>
          </cell>
          <cell r="W51">
            <v>220.25</v>
          </cell>
          <cell r="X51">
            <v>176.25</v>
          </cell>
          <cell r="Y51">
            <v>132.25</v>
          </cell>
          <cell r="Z51">
            <v>88.25</v>
          </cell>
        </row>
      </sheetData>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Summary"/>
      <sheetName val="NAV Method Valuation"/>
      <sheetName val="DCF Valuation"/>
      <sheetName val="WACC"/>
      <sheetName val="Op-Smt"/>
      <sheetName val="Ast-Smt"/>
      <sheetName val="Lib-Smt"/>
      <sheetName val="CF"/>
      <sheetName val="Interest Computation"/>
      <sheetName val="Valid"/>
      <sheetName val="WCC"/>
      <sheetName val="Fin-Ind."/>
      <sheetName val="ABF"/>
      <sheetName val="F-FL."/>
      <sheetName val="DSCR"/>
      <sheetName val="TL_in"/>
      <sheetName val="DPG_in"/>
      <sheetName val="Sheet1"/>
      <sheetName val="TL"/>
    </sheetNames>
    <sheetDataSet>
      <sheetData sheetId="0" refreshError="1"/>
      <sheetData sheetId="1" refreshError="1"/>
      <sheetData sheetId="2" refreshError="1"/>
      <sheetData sheetId="3" refreshError="1"/>
      <sheetData sheetId="4"/>
      <sheetData sheetId="5">
        <row r="10">
          <cell r="X10">
            <v>50</v>
          </cell>
        </row>
      </sheetData>
      <sheetData sheetId="6">
        <row r="18">
          <cell r="T18">
            <v>158.1953</v>
          </cell>
          <cell r="U18">
            <v>158.1953</v>
          </cell>
          <cell r="V18">
            <v>158.1953</v>
          </cell>
          <cell r="W18">
            <v>158.1953</v>
          </cell>
          <cell r="X18">
            <v>158.1953</v>
          </cell>
          <cell r="Y18">
            <v>158.1953</v>
          </cell>
          <cell r="Z18">
            <v>158.1953</v>
          </cell>
          <cell r="AA18">
            <v>158.1953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Debt Sch"/>
      <sheetName val="Depreciation Schedule"/>
      <sheetName val="RKA CAPM"/>
      <sheetName val="NRPPL RKA P&amp;L"/>
      <sheetName val="RKA P&amp;L"/>
      <sheetName val="Summary_S1 PSA"/>
    </sheetNames>
    <sheetDataSet>
      <sheetData sheetId="0">
        <row r="3">
          <cell r="M3">
            <v>365</v>
          </cell>
        </row>
      </sheetData>
      <sheetData sheetId="1"/>
      <sheetData sheetId="2"/>
      <sheetData sheetId="3"/>
      <sheetData sheetId="4"/>
      <sheetData sheetId="5"/>
      <sheetData sheetId="6"/>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ie to be posted"/>
      <sheetName val="comparative Statement"/>
      <sheetName val="Revnote_org"/>
      <sheetName val="Revnote Q1old"/>
      <sheetName val="Revnote Q2"/>
      <sheetName val="Revnote Q1 June 21"/>
      <sheetName val="Mainpage Q1"/>
      <sheetName val="Revnote Q2 Sept 21"/>
      <sheetName val="Mainpage Q2"/>
      <sheetName val="Revnote Q4."/>
      <sheetName val="Revnote Q3 Dec 21"/>
      <sheetName val="Mainpage Q3"/>
      <sheetName val="Mainpage Q3 Previous"/>
      <sheetName val="Mainpage Q2 Con"/>
      <sheetName val="Mainpage (conso)"/>
      <sheetName val="Mainpage Q1 old"/>
      <sheetName val="Mainpage Q4"/>
      <sheetName val="Mainpage Q3 Con Previous"/>
      <sheetName val="Mainpage Q4 Con"/>
      <sheetName val="Publication Q1"/>
      <sheetName val="Publication Q3"/>
      <sheetName val="Revnote Q4 March 2022"/>
      <sheetName val="Mainpage Q4 FY2021-22"/>
      <sheetName val="Mainpage Q3 Con"/>
      <sheetName val="Publication Q2"/>
      <sheetName val="Mainpage  Q2 Con old"/>
      <sheetName val="Publication Q2 old"/>
      <sheetName val="Mainpage Q4 Con FY2021-22"/>
      <sheetName val="Publication Q4"/>
      <sheetName val="BS "/>
      <sheetName val="BS Cons"/>
      <sheetName val="P&amp;L(Consolidated)"/>
      <sheetName val="Bsheet (Consolidated)"/>
      <sheetName val="Detailed BS for cash flow"/>
      <sheetName val="CF (2)"/>
      <sheetName val="Revnote-Board"/>
      <sheetName val="Sheet2"/>
      <sheetName val="Groping as on 29.07.2019"/>
      <sheetName val="tb 08.08.2019"/>
      <sheetName val="data"/>
      <sheetName val="Stock stmt"/>
      <sheetName val="Sheet1"/>
      <sheetName val="DTL "/>
      <sheetName val="234B n C"/>
      <sheetName val="Land_2018"/>
      <sheetName val="Land"/>
      <sheetName val="Sec, 43B"/>
      <sheetName val="Tax"/>
      <sheetName val="MAT"/>
      <sheetName val="JESCO pandl "/>
      <sheetName val="TB"/>
      <sheetName val="groupings"/>
      <sheetName val="NF Balancesheet"/>
      <sheetName val="NF P&amp;L"/>
      <sheetName val="NF SOCE"/>
      <sheetName val="Bsheet"/>
      <sheetName val="P&amp;L "/>
      <sheetName val="CF"/>
      <sheetName val="CF-old 10.06.22"/>
      <sheetName val="CF (XBRL FORMAT)"/>
      <sheetName val="CF (cons)"/>
      <sheetName val="CF CONS (XBRL FORMAT)"/>
      <sheetName val="SOCIE"/>
      <sheetName val="Notes"/>
      <sheetName val="Sch 3"/>
      <sheetName val="Sch - PPE"/>
      <sheetName val="Sch 3A"/>
      <sheetName val="Sch 4"/>
      <sheetName val="Sch 5"/>
      <sheetName val="sch 6-9"/>
      <sheetName val="sch 10-11"/>
      <sheetName val="Sch 12"/>
      <sheetName val="sch 13"/>
      <sheetName val="sch 14"/>
      <sheetName val="sch 15-18"/>
      <sheetName val="sch 19"/>
      <sheetName val="sch 20.1"/>
      <sheetName val="Sch 20"/>
      <sheetName val="sch 21-25"/>
      <sheetName val="Sch 25.1"/>
      <sheetName val="sch 26-28"/>
      <sheetName val="Sch 29- 31"/>
      <sheetName val="Sch 32-33"/>
      <sheetName val="qty data"/>
      <sheetName val="Sch 34"/>
      <sheetName val="Sch 35-36"/>
      <sheetName val="Sch 37"/>
      <sheetName val="Sch 38"/>
      <sheetName val="Sch 39-47"/>
      <sheetName val="Ac Ratios Sheet2"/>
      <sheetName val="Ac ratio data"/>
      <sheetName val="Entries"/>
      <sheetName val="IT Dep"/>
      <sheetName val="Forex"/>
      <sheetName val="Minority Interest"/>
      <sheetName val="P&amp;L Summary"/>
      <sheetName val="P&amp;L Schedules with BA"/>
      <sheetName val="P&amp;L Schedules WOut BA"/>
      <sheetName val="BS Schedules with BA"/>
      <sheetName val="BS Summary"/>
      <sheetName val="BS Schedules Wout B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9">
          <cell r="C9" t="str">
            <v>(a) Property, Plant and Equipment</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MENT0708"/>
      <sheetName val="Related Party"/>
      <sheetName val="NOTES"/>
      <sheetName val="Prov schedule"/>
      <sheetName val="SCH -IV OSL-EXPENSES"/>
      <sheetName val="Schedule"/>
      <sheetName val="GRIR"/>
      <sheetName val="Cal of EPS"/>
      <sheetName val="cash flow"/>
      <sheetName val="Final Main  (2)"/>
      <sheetName val="Final Main "/>
      <sheetName val="Grouping Report "/>
      <sheetName val="TB Tracking"/>
      <sheetName val="Sheet4"/>
      <sheetName val="Master TB"/>
      <sheetName val="Final TB"/>
      <sheetName val="vendor as on Mar 31"/>
      <sheetName val="entry"/>
      <sheetName val="master vendor bal 31.03.08"/>
      <sheetName val="FBT Calculation"/>
      <sheetName val="deferred Tax liability"/>
      <sheetName val="ICD int cal"/>
      <sheetName val="TB 4 working 31.03.08 as 22.07"/>
      <sheetName val="TB as on 31.03.08 as on 3.7.08"/>
      <sheetName val="RElated part purchase"/>
      <sheetName val="Sheet1"/>
      <sheetName val="Shareholding pattern 2007-08"/>
      <sheetName val="Tb as of Mar31 as on 22.07.08"/>
      <sheetName val="TB as on 17.07.08 for Mar'08"/>
    </sheetNames>
    <sheetDataSet>
      <sheetData sheetId="0" refreshError="1"/>
      <sheetData sheetId="1" refreshError="1"/>
      <sheetData sheetId="2" refreshError="1"/>
      <sheetData sheetId="3" refreshError="1"/>
      <sheetData sheetId="4" refreshError="1">
        <row r="15">
          <cell r="G15">
            <v>81076801.310000002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VER"/>
      <sheetName val="INDEX"/>
      <sheetName val="BAL"/>
      <sheetName val="P&amp;L"/>
      <sheetName val="NOTES "/>
      <sheetName val="COA-IPCL"/>
      <sheetName val="BKCSTOCKVAL"/>
      <sheetName val="Wimax(13)"/>
      <sheetName val="Wimax_90+(14)"/>
      <sheetName val="oresreqsum"/>
      <sheetName val="Switch"/>
      <sheetName val="RCIL-Conso-details"/>
      <sheetName val="assumptions"/>
      <sheetName val="Consolidated"/>
      <sheetName val="Assump"/>
      <sheetName val="Controls"/>
      <sheetName val="BS"/>
      <sheetName val="NOTES_"/>
      <sheetName val="GlobalVariables"/>
      <sheetName val="ALL-IBANK-BRS"/>
      <sheetName val="Sheet2"/>
      <sheetName val="Calculation_Master"/>
      <sheetName val="Input"/>
      <sheetName val="factors"/>
      <sheetName val="Factor_-local"/>
      <sheetName val="fco"/>
      <sheetName val="Recon"/>
      <sheetName val="Sheet1"/>
      <sheetName val="Factor-_cables"/>
      <sheetName val="Statements"/>
      <sheetName val="Factors-overall"/>
      <sheetName val="IRU_Pivot"/>
      <sheetName val="LEA_Pivot"/>
      <sheetName val="Master_Price_List"/>
      <sheetName val="DMS_Configurator"/>
      <sheetName val="Contract_Value_summary"/>
      <sheetName val="Michael_Magliato"/>
      <sheetName val="Variables"/>
      <sheetName val="DETAIL_SHEET"/>
      <sheetName val="CBS"/>
      <sheetName val="Network_Procurement_Tracker"/>
      <sheetName val="NOTES_1"/>
      <sheetName val="NOTES_2"/>
      <sheetName val="entitlements"/>
      <sheetName val="PLJAN"/>
      <sheetName val="cover for tax"/>
      <sheetName val="FORM-16"/>
      <sheetName val="Summary_Local"/>
      <sheetName val="FX"/>
      <sheetName val="currency (2)"/>
      <sheetName val="Scenarios"/>
      <sheetName val="Sheet2 (2)"/>
      <sheetName val="Input 3"/>
      <sheetName val="Chart of Account"/>
      <sheetName val="NOTES_3"/>
      <sheetName val="Chart_of_Account"/>
      <sheetName val="NOTES_4"/>
      <sheetName val="Chart_of_Account1"/>
      <sheetName val="NOTES_5"/>
      <sheetName val="Chart_of_Account2"/>
      <sheetName val="NOTES_6"/>
      <sheetName val="Chart_of_Account3"/>
      <sheetName val="NOTES_7"/>
      <sheetName val="Chart_of_Account4"/>
      <sheetName val="NOTES_8"/>
      <sheetName val="Chart_of_Account5"/>
      <sheetName val="NOTES_9"/>
      <sheetName val="Chart_of_Account6"/>
      <sheetName val="NOTES_10"/>
      <sheetName val="Chart_of_Account7"/>
      <sheetName val="Excess Calc"/>
      <sheetName val="LS"/>
      <sheetName val="XREF"/>
      <sheetName val="Comp-SVP"/>
      <sheetName val="NOTES_11"/>
      <sheetName val="Chart_of_Account8"/>
      <sheetName val="NOTES_12"/>
      <sheetName val="Chart_of_Account9"/>
      <sheetName val="Sheet14"/>
      <sheetName val="RM-PM"/>
      <sheetName val="Definitions"/>
      <sheetName val="4_Analysis"/>
      <sheetName val="5 Star Hotel"/>
      <sheetName val="Physical(2)"/>
      <sheetName val="S.3.6_GL Dump"/>
      <sheetName val="Excess_Calc"/>
      <sheetName val="cover_for_tax"/>
      <sheetName val="currency_(2)"/>
      <sheetName val="Sheet2_(2)"/>
      <sheetName val="Excess_Calc1"/>
      <sheetName val="InterimFinancial statements3006"/>
      <sheetName val="SPT vs PHI"/>
      <sheetName val="BLK2"/>
      <sheetName val="BLK3"/>
      <sheetName val="E &amp; R"/>
      <sheetName val="radar"/>
      <sheetName val="UG"/>
    </sheetNames>
    <sheetDataSet>
      <sheetData sheetId="0" refreshError="1">
        <row r="2">
          <cell r="B2" t="str">
            <v>RELIANCE INFOCOM B.V., Amsterdam</v>
          </cell>
        </row>
        <row r="4">
          <cell r="B4" t="str">
            <v>June 30, 2003</v>
          </cell>
        </row>
        <row r="5">
          <cell r="B5" t="str">
            <v>March 31, 2003</v>
          </cell>
        </row>
        <row r="11">
          <cell r="B11" t="str">
            <v>Balance Sheet as at June 30, 2003</v>
          </cell>
        </row>
        <row r="13">
          <cell r="B13" t="str">
            <v>April 1, 2003 through June 30, 2003</v>
          </cell>
        </row>
      </sheetData>
      <sheetData sheetId="1" refreshError="1"/>
      <sheetData sheetId="2" refreshError="1"/>
      <sheetData sheetId="3" refreshError="1"/>
      <sheetData sheetId="4" refreshError="1"/>
      <sheetData sheetId="5" refreshError="1">
        <row r="45">
          <cell r="F45">
            <v>1061673</v>
          </cell>
          <cell r="H45">
            <v>1061673</v>
          </cell>
        </row>
        <row r="61">
          <cell r="H61">
            <v>1112000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5">
          <cell r="F45">
            <v>1061673</v>
          </cell>
        </row>
      </sheetData>
      <sheetData sheetId="34">
        <row r="45">
          <cell r="F45">
            <v>1061673</v>
          </cell>
        </row>
      </sheetData>
      <sheetData sheetId="35"/>
      <sheetData sheetId="36"/>
      <sheetData sheetId="37"/>
      <sheetData sheetId="38">
        <row r="11">
          <cell r="B11" t="str">
            <v>PNS sales/run rate/equipment rental</v>
          </cell>
        </row>
      </sheetData>
      <sheetData sheetId="39">
        <row r="11">
          <cell r="B11" t="str">
            <v>PNS sales/run rate/equipment rental</v>
          </cell>
        </row>
      </sheetData>
      <sheetData sheetId="40">
        <row r="11">
          <cell r="B11" t="str">
            <v>PNS sales/run rate/equipment rental</v>
          </cell>
        </row>
      </sheetData>
      <sheetData sheetId="41">
        <row r="11">
          <cell r="B11" t="str">
            <v>PNS sales/run rate/equipment rental</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11">
          <cell r="B11" t="str">
            <v>PNS sales/run rate/equipment rental</v>
          </cell>
        </row>
      </sheetData>
      <sheetData sheetId="56">
        <row r="11">
          <cell r="B11" t="str">
            <v>PNS sales/run rate/equipment rental</v>
          </cell>
        </row>
      </sheetData>
      <sheetData sheetId="57">
        <row r="11">
          <cell r="B11" t="str">
            <v>PNS sales/run rate/equipment rental</v>
          </cell>
        </row>
      </sheetData>
      <sheetData sheetId="58">
        <row r="11">
          <cell r="B11" t="str">
            <v>PNS sales/run rate/equipment rental</v>
          </cell>
        </row>
      </sheetData>
      <sheetData sheetId="59">
        <row r="11">
          <cell r="B11" t="str">
            <v>PNS sales/run rate/equipment rental</v>
          </cell>
        </row>
      </sheetData>
      <sheetData sheetId="60">
        <row r="11">
          <cell r="B11" t="str">
            <v>PNS sales/run rate/equipment rental</v>
          </cell>
        </row>
      </sheetData>
      <sheetData sheetId="61">
        <row r="11">
          <cell r="B11" t="str">
            <v>PNS sales/run rate/equipment rental</v>
          </cell>
        </row>
      </sheetData>
      <sheetData sheetId="62">
        <row r="11">
          <cell r="B11" t="str">
            <v>PNS sales/run rate/equipment rental</v>
          </cell>
        </row>
      </sheetData>
      <sheetData sheetId="63">
        <row r="11">
          <cell r="B11" t="str">
            <v>PNS sales/run rate/equipment rental</v>
          </cell>
        </row>
      </sheetData>
      <sheetData sheetId="64">
        <row r="11">
          <cell r="B11" t="str">
            <v>PNS sales/run rate/equipment rental</v>
          </cell>
        </row>
      </sheetData>
      <sheetData sheetId="65">
        <row r="11">
          <cell r="B11" t="str">
            <v>PNS sales/run rate/equipment rental</v>
          </cell>
        </row>
      </sheetData>
      <sheetData sheetId="66">
        <row r="11">
          <cell r="B11" t="str">
            <v>PNS sales/run rate/equipment rental</v>
          </cell>
        </row>
      </sheetData>
      <sheetData sheetId="67">
        <row r="11">
          <cell r="B11" t="str">
            <v>PNS sales/run rate/equipment rental</v>
          </cell>
        </row>
      </sheetData>
      <sheetData sheetId="68">
        <row r="11">
          <cell r="B11" t="str">
            <v>PNS sales/run rate/equipment rental</v>
          </cell>
        </row>
      </sheetData>
      <sheetData sheetId="69" refreshError="1"/>
      <sheetData sheetId="70" refreshError="1"/>
      <sheetData sheetId="71" refreshError="1"/>
      <sheetData sheetId="72" refreshError="1"/>
      <sheetData sheetId="73" refreshError="1"/>
      <sheetData sheetId="74" refreshError="1"/>
      <sheetData sheetId="75">
        <row r="11">
          <cell r="B11" t="str">
            <v>PNS sales/run rate/equipment rental</v>
          </cell>
        </row>
      </sheetData>
      <sheetData sheetId="76">
        <row r="11">
          <cell r="B11" t="str">
            <v>PNS sales/run rate/equipment rental</v>
          </cell>
        </row>
      </sheetData>
      <sheetData sheetId="77">
        <row r="11">
          <cell r="B11" t="str">
            <v>PNS sales/run rate/equipment rental</v>
          </cell>
        </row>
      </sheetData>
      <sheetData sheetId="78">
        <row r="11">
          <cell r="B11" t="str">
            <v>PNS sales/run rate/equipment rental</v>
          </cell>
        </row>
      </sheetData>
      <sheetData sheetId="79" refreshError="1"/>
      <sheetData sheetId="80" refreshError="1"/>
      <sheetData sheetId="81" refreshError="1"/>
      <sheetData sheetId="82">
        <row r="11">
          <cell r="B11" t="str">
            <v>PNS sales/run rate/equipment rental</v>
          </cell>
        </row>
      </sheetData>
      <sheetData sheetId="83">
        <row r="11">
          <cell r="B11" t="str">
            <v>PNS sales/run rate/equipment rental</v>
          </cell>
        </row>
      </sheetData>
      <sheetData sheetId="84">
        <row r="11">
          <cell r="B11" t="str">
            <v>PNS sales/run rate/equipment rental</v>
          </cell>
        </row>
      </sheetData>
      <sheetData sheetId="85" refreshError="1"/>
      <sheetData sheetId="86"/>
      <sheetData sheetId="87">
        <row r="11">
          <cell r="B11" t="str">
            <v>PNS sales/run rate/equipment rental</v>
          </cell>
        </row>
      </sheetData>
      <sheetData sheetId="88">
        <row r="11">
          <cell r="B11" t="str">
            <v>PNS sales/run rate/equipment rental</v>
          </cell>
        </row>
      </sheetData>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Index"/>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UD"/>
      <sheetName val="10A"/>
      <sheetName val="80G"/>
      <sheetName val="80_"/>
      <sheetName val="SI"/>
      <sheetName val="EI_MAT"/>
      <sheetName val="FRINGE_BENEFIT_INFO"/>
      <sheetName val="IT_DDTP"/>
      <sheetName val="FSI"/>
      <sheetName val="TR_FA"/>
      <sheetName val="DDT_TDS_TCS"/>
      <sheetName val="Instructions"/>
      <sheetName val="Pre_XML"/>
      <sheetName val="Calculator"/>
      <sheetName val="Setoff"/>
      <sheetName val="March 12 - VEL 2012_ITR6_PR8"/>
    </sheetNames>
    <sheetDataSet>
      <sheetData sheetId="0"/>
      <sheetData sheetId="1"/>
      <sheetData sheetId="2">
        <row r="15">
          <cell r="AQ15" t="str">
            <v>Yes</v>
          </cell>
        </row>
        <row r="32">
          <cell r="U32" t="str">
            <v>RES - Resident</v>
          </cell>
        </row>
        <row r="52">
          <cell r="B52" t="str">
            <v>01-ANDAMAN AND NICOBAR ISLANDS</v>
          </cell>
          <cell r="U52" t="str">
            <v>6-Public Company</v>
          </cell>
          <cell r="AJ52" t="str">
            <v>11- u/s 139(1)</v>
          </cell>
          <cell r="DA52" t="str">
            <v>Yes</v>
          </cell>
          <cell r="DH52" t="str">
            <v>Yes</v>
          </cell>
          <cell r="DP52" t="str">
            <v>Yes</v>
          </cell>
          <cell r="DS52" t="str">
            <v>Yes</v>
          </cell>
          <cell r="EB52" t="str">
            <v>O-Original</v>
          </cell>
          <cell r="EM52" t="str">
            <v>RES-Resident</v>
          </cell>
        </row>
        <row r="53">
          <cell r="B53" t="str">
            <v>02-ANDHRA PRADESH</v>
          </cell>
          <cell r="U53" t="str">
            <v>7-Private Company</v>
          </cell>
          <cell r="AJ53" t="str">
            <v>12- u/s 139(4)</v>
          </cell>
          <cell r="DA53" t="str">
            <v>No</v>
          </cell>
          <cell r="DH53" t="str">
            <v>No</v>
          </cell>
          <cell r="DP53" t="str">
            <v>No</v>
          </cell>
          <cell r="DS53" t="str">
            <v>No</v>
          </cell>
          <cell r="EB53" t="str">
            <v>R-Revised</v>
          </cell>
          <cell r="EM53" t="str">
            <v>NRI-Non Resident</v>
          </cell>
        </row>
        <row r="54">
          <cell r="B54" t="str">
            <v>03-ARUNACHAL PRADESH</v>
          </cell>
          <cell r="AJ54" t="str">
            <v>13- u/s 142(1)</v>
          </cell>
        </row>
        <row r="55">
          <cell r="B55" t="str">
            <v>04-ASSAM</v>
          </cell>
          <cell r="AJ55" t="str">
            <v>14- u/s 148</v>
          </cell>
        </row>
        <row r="56">
          <cell r="B56" t="str">
            <v>05-BIHAR</v>
          </cell>
          <cell r="AJ56" t="str">
            <v>15- u/s 153A</v>
          </cell>
        </row>
        <row r="57">
          <cell r="B57" t="str">
            <v>06-CHANDIGARH</v>
          </cell>
          <cell r="AJ57" t="str">
            <v>16 - u/s 153C r/w 153A</v>
          </cell>
        </row>
        <row r="58">
          <cell r="B58" t="str">
            <v>07-DADRA AND NAGAR HAVELI</v>
          </cell>
          <cell r="AJ58" t="str">
            <v>17 - u/s 139(5)</v>
          </cell>
        </row>
        <row r="59">
          <cell r="B59" t="str">
            <v>08-DAMAN AND DIU</v>
          </cell>
          <cell r="AJ59" t="str">
            <v>18 - u/s 139(9)</v>
          </cell>
        </row>
        <row r="60">
          <cell r="B60" t="str">
            <v>09-DELHI</v>
          </cell>
        </row>
        <row r="61">
          <cell r="B61" t="str">
            <v>10-GOA</v>
          </cell>
        </row>
        <row r="62">
          <cell r="B62" t="str">
            <v>11-GUJARAT</v>
          </cell>
        </row>
        <row r="63">
          <cell r="B63" t="str">
            <v>12-HARYANA</v>
          </cell>
        </row>
        <row r="64">
          <cell r="B64" t="str">
            <v>13-HIMACHAL PRADESH</v>
          </cell>
        </row>
        <row r="65">
          <cell r="B65" t="str">
            <v>14-JAMMU AND KASHMIR</v>
          </cell>
        </row>
        <row r="66">
          <cell r="B66" t="str">
            <v>15-KARNATAKA</v>
          </cell>
        </row>
        <row r="67">
          <cell r="B67" t="str">
            <v>16-KERALA</v>
          </cell>
        </row>
        <row r="68">
          <cell r="B68" t="str">
            <v>17-LAKHSWADEEP</v>
          </cell>
        </row>
        <row r="69">
          <cell r="B69" t="str">
            <v>18-MADHYA PRADESH</v>
          </cell>
        </row>
        <row r="70">
          <cell r="B70" t="str">
            <v>19-MAHARASHTRA</v>
          </cell>
        </row>
        <row r="71">
          <cell r="B71" t="str">
            <v>20-MANIPUR</v>
          </cell>
        </row>
        <row r="72">
          <cell r="B72" t="str">
            <v>21-MEGHALAYA</v>
          </cell>
        </row>
        <row r="73">
          <cell r="B73" t="str">
            <v>22-MIZORAM</v>
          </cell>
        </row>
        <row r="74">
          <cell r="B74" t="str">
            <v>23-NAGALAND</v>
          </cell>
        </row>
        <row r="75">
          <cell r="B75" t="str">
            <v>24-ORISSA</v>
          </cell>
        </row>
        <row r="76">
          <cell r="B76" t="str">
            <v>25-PONDICHERRY</v>
          </cell>
        </row>
        <row r="77">
          <cell r="B77" t="str">
            <v>26-PUNJAB</v>
          </cell>
        </row>
        <row r="78">
          <cell r="B78" t="str">
            <v>27-RAJASTHAN</v>
          </cell>
        </row>
        <row r="79">
          <cell r="B79" t="str">
            <v>28-SIKKIM</v>
          </cell>
        </row>
        <row r="80">
          <cell r="B80" t="str">
            <v>29-TAMILNADU</v>
          </cell>
        </row>
        <row r="81">
          <cell r="B81" t="str">
            <v>30-TRIPURA</v>
          </cell>
        </row>
        <row r="82">
          <cell r="B82" t="str">
            <v>31-UTTAR PRADESH</v>
          </cell>
        </row>
        <row r="83">
          <cell r="B83" t="str">
            <v>32-WEST BENGAL</v>
          </cell>
        </row>
        <row r="84">
          <cell r="B84" t="str">
            <v>33-CHHATISHGARH</v>
          </cell>
        </row>
        <row r="85">
          <cell r="B85" t="str">
            <v>34-UTTARANCHAL</v>
          </cell>
        </row>
        <row r="86">
          <cell r="B86" t="str">
            <v>35-JHARKHAND</v>
          </cell>
        </row>
        <row r="87">
          <cell r="B87" t="str">
            <v>99-FOREIGN</v>
          </cell>
        </row>
      </sheetData>
      <sheetData sheetId="3">
        <row r="50">
          <cell r="C50" t="str">
            <v>1 - Holding company</v>
          </cell>
          <cell r="D50" t="str">
            <v>AMALGAMATING</v>
          </cell>
          <cell r="E50" t="str">
            <v>01-ANDAMAN AND NICOBAR ISLANDS</v>
          </cell>
          <cell r="G50" t="str">
            <v>Y</v>
          </cell>
        </row>
        <row r="51">
          <cell r="C51" t="str">
            <v>2 - Subsidiary company</v>
          </cell>
          <cell r="D51" t="str">
            <v>AMALGAMATED</v>
          </cell>
          <cell r="E51" t="str">
            <v>02-ANDHRA PRADESH</v>
          </cell>
          <cell r="G51" t="str">
            <v>N</v>
          </cell>
        </row>
        <row r="52">
          <cell r="C52" t="str">
            <v>3 - Both</v>
          </cell>
          <cell r="D52" t="str">
            <v>DEMERGED</v>
          </cell>
          <cell r="E52" t="str">
            <v>03-ARUNACHAL PRADESH</v>
          </cell>
        </row>
        <row r="53">
          <cell r="C53" t="str">
            <v>4 - Neither</v>
          </cell>
          <cell r="D53" t="str">
            <v>RESULTING</v>
          </cell>
          <cell r="E53" t="str">
            <v>04-ASSAM</v>
          </cell>
        </row>
        <row r="54">
          <cell r="E54" t="str">
            <v>05-BIHAR</v>
          </cell>
        </row>
        <row r="55">
          <cell r="E55" t="str">
            <v>06-CHANDIGARH</v>
          </cell>
        </row>
        <row r="56">
          <cell r="E56" t="str">
            <v>07-DADRA AND NAGAR HAVELI</v>
          </cell>
        </row>
        <row r="57">
          <cell r="E57" t="str">
            <v>08-DAMAN AND DIU</v>
          </cell>
        </row>
        <row r="58">
          <cell r="E58" t="str">
            <v>09-DELHI</v>
          </cell>
        </row>
        <row r="59">
          <cell r="E59" t="str">
            <v>10-GOA</v>
          </cell>
        </row>
        <row r="60">
          <cell r="E60" t="str">
            <v>11-GUJARAT</v>
          </cell>
        </row>
        <row r="61">
          <cell r="E61" t="str">
            <v>12-HARYANA</v>
          </cell>
        </row>
        <row r="62">
          <cell r="E62" t="str">
            <v>13-HIMACHAL PRADESH</v>
          </cell>
        </row>
        <row r="63">
          <cell r="E63" t="str">
            <v>14-JAMMU AND KASHMIR</v>
          </cell>
        </row>
        <row r="64">
          <cell r="E64" t="str">
            <v>15-KARNATAKA</v>
          </cell>
        </row>
        <row r="65">
          <cell r="E65" t="str">
            <v>16-KERALA</v>
          </cell>
        </row>
        <row r="66">
          <cell r="E66" t="str">
            <v>17-LAKHSWADEEP</v>
          </cell>
        </row>
        <row r="67">
          <cell r="E67" t="str">
            <v>18-MADHYA PRADESH</v>
          </cell>
        </row>
        <row r="68">
          <cell r="E68" t="str">
            <v>19-MAHARASHTRA</v>
          </cell>
        </row>
        <row r="69">
          <cell r="E69" t="str">
            <v>20-MANIPUR</v>
          </cell>
        </row>
        <row r="70">
          <cell r="E70" t="str">
            <v>21-MEGHALAYA</v>
          </cell>
        </row>
        <row r="71">
          <cell r="E71" t="str">
            <v>22-MIZORAM</v>
          </cell>
        </row>
        <row r="72">
          <cell r="E72" t="str">
            <v>23-NAGALAND</v>
          </cell>
        </row>
        <row r="73">
          <cell r="E73" t="str">
            <v>24-ORISSA</v>
          </cell>
        </row>
        <row r="74">
          <cell r="E74" t="str">
            <v>25-PONDICHERRY</v>
          </cell>
        </row>
        <row r="75">
          <cell r="E75" t="str">
            <v>26-PUNJAB</v>
          </cell>
        </row>
        <row r="76">
          <cell r="E76" t="str">
            <v>27-RAJASTHAN</v>
          </cell>
        </row>
        <row r="77">
          <cell r="E77" t="str">
            <v>28-SIKKIM</v>
          </cell>
        </row>
        <row r="78">
          <cell r="E78" t="str">
            <v>29-TAMILNADU</v>
          </cell>
        </row>
        <row r="79">
          <cell r="E79" t="str">
            <v>30-TRIPURA</v>
          </cell>
        </row>
        <row r="80">
          <cell r="E80" t="str">
            <v>31-UTTAR PRADESH</v>
          </cell>
        </row>
        <row r="81">
          <cell r="E81" t="str">
            <v>32-WEST BENGAL</v>
          </cell>
        </row>
        <row r="82">
          <cell r="E82" t="str">
            <v>33-CHHATISHGARH</v>
          </cell>
        </row>
        <row r="83">
          <cell r="E83" t="str">
            <v>34-UTTARANCHAL</v>
          </cell>
        </row>
        <row r="84">
          <cell r="E84" t="str">
            <v>35-JHARKHAND</v>
          </cell>
        </row>
        <row r="85">
          <cell r="E85" t="str">
            <v>99-FOREIGN</v>
          </cell>
        </row>
      </sheetData>
      <sheetData sheetId="4">
        <row r="10">
          <cell r="C10" t="str">
            <v>01-ANDAMAN AND NICOBAR ISLANDS</v>
          </cell>
        </row>
        <row r="11">
          <cell r="C11" t="str">
            <v>02-ANDHRA PRADESH</v>
          </cell>
        </row>
        <row r="12">
          <cell r="C12" t="str">
            <v>03-ARUNACHAL PRADESH</v>
          </cell>
        </row>
        <row r="13">
          <cell r="C13" t="str">
            <v>04-ASSAM</v>
          </cell>
        </row>
        <row r="14">
          <cell r="C14" t="str">
            <v>05-BIHAR</v>
          </cell>
        </row>
        <row r="15">
          <cell r="C15" t="str">
            <v>06-CHANDIGARH</v>
          </cell>
        </row>
        <row r="16">
          <cell r="C16" t="str">
            <v>07-DADRA AND NAGAR HAVELI</v>
          </cell>
        </row>
        <row r="17">
          <cell r="C17" t="str">
            <v>08-DAMAN AND DIU</v>
          </cell>
        </row>
        <row r="18">
          <cell r="C18" t="str">
            <v>09-DELHI</v>
          </cell>
        </row>
        <row r="19">
          <cell r="C19" t="str">
            <v>10-GOA</v>
          </cell>
        </row>
        <row r="20">
          <cell r="C20" t="str">
            <v>11-GUJARAT</v>
          </cell>
        </row>
        <row r="21">
          <cell r="C21" t="str">
            <v>12-HARYANA</v>
          </cell>
        </row>
        <row r="22">
          <cell r="C22" t="str">
            <v>13-HIMACHAL PRADESH</v>
          </cell>
        </row>
        <row r="23">
          <cell r="C23" t="str">
            <v>14-JAMMU AND KASHMIR</v>
          </cell>
        </row>
        <row r="24">
          <cell r="C24" t="str">
            <v>15-KARNATAKA</v>
          </cell>
        </row>
        <row r="25">
          <cell r="C25" t="str">
            <v>16-KERALA</v>
          </cell>
        </row>
        <row r="26">
          <cell r="C26" t="str">
            <v>17-LAKHSWADEEP</v>
          </cell>
        </row>
        <row r="27">
          <cell r="C27" t="str">
            <v>18-MADHYA PRADESH</v>
          </cell>
        </row>
        <row r="28">
          <cell r="C28" t="str">
            <v>19-MAHARASHTRA</v>
          </cell>
        </row>
        <row r="29">
          <cell r="C29" t="str">
            <v>20-MANIPUR</v>
          </cell>
        </row>
        <row r="30">
          <cell r="C30" t="str">
            <v>21-MEGHALAYA</v>
          </cell>
        </row>
        <row r="31">
          <cell r="C31" t="str">
            <v>22-MIZORAM</v>
          </cell>
        </row>
        <row r="32">
          <cell r="C32" t="str">
            <v>23-NAGALAND</v>
          </cell>
        </row>
        <row r="33">
          <cell r="C33" t="str">
            <v>24-ORISSA</v>
          </cell>
        </row>
        <row r="34">
          <cell r="C34" t="str">
            <v>25-PONDICHERRY</v>
          </cell>
        </row>
        <row r="35">
          <cell r="C35" t="str">
            <v>26-PUNJAB</v>
          </cell>
        </row>
        <row r="36">
          <cell r="C36" t="str">
            <v>27-RAJASTHAN</v>
          </cell>
        </row>
        <row r="37">
          <cell r="C37" t="str">
            <v>28-SIKKIM</v>
          </cell>
        </row>
        <row r="38">
          <cell r="C38" t="str">
            <v>29-TAMILNADU</v>
          </cell>
        </row>
        <row r="39">
          <cell r="C39" t="str">
            <v>30-TRIPURA</v>
          </cell>
        </row>
        <row r="40">
          <cell r="C40" t="str">
            <v>31-UTTAR PRADESH</v>
          </cell>
        </row>
        <row r="41">
          <cell r="C41" t="str">
            <v>32-WEST BENGAL</v>
          </cell>
        </row>
        <row r="42">
          <cell r="C42" t="str">
            <v>33-CHHATISHGARH</v>
          </cell>
        </row>
        <row r="43">
          <cell r="C43" t="str">
            <v>34-UTTARANCHAL</v>
          </cell>
        </row>
        <row r="44">
          <cell r="C44" t="str">
            <v>35-JHARKHAND</v>
          </cell>
        </row>
        <row r="45">
          <cell r="C45" t="str">
            <v>99-FOREIGN</v>
          </cell>
        </row>
      </sheetData>
      <sheetData sheetId="5">
        <row r="31">
          <cell r="C31" t="str">
            <v>0101-Agro-based industries</v>
          </cell>
          <cell r="E31" t="str">
            <v>Y</v>
          </cell>
          <cell r="I31" t="str">
            <v>01-ANDAMAN AND NICOBAR ISLANDS</v>
          </cell>
        </row>
        <row r="32">
          <cell r="C32" t="str">
            <v>0102-Automobile and Auto parts</v>
          </cell>
          <cell r="E32" t="str">
            <v>N</v>
          </cell>
          <cell r="I32" t="str">
            <v>02-ANDHRA PRADESH</v>
          </cell>
        </row>
        <row r="33">
          <cell r="C33" t="str">
            <v>0103-Cement</v>
          </cell>
          <cell r="I33" t="str">
            <v>03-ARUNACHAL PRADESH</v>
          </cell>
        </row>
        <row r="34">
          <cell r="C34" t="str">
            <v>0104-Diamond cutting</v>
          </cell>
          <cell r="I34" t="str">
            <v>04-ASSAM</v>
          </cell>
        </row>
        <row r="35">
          <cell r="C35" t="str">
            <v>0105-Drugs and Pharmaceuticals</v>
          </cell>
          <cell r="I35" t="str">
            <v>05-BIHAR</v>
          </cell>
        </row>
        <row r="36">
          <cell r="C36" t="str">
            <v>0106-Electronics including Computer Hardware</v>
          </cell>
          <cell r="I36" t="str">
            <v>06-CHANDIGARH</v>
          </cell>
        </row>
        <row r="37">
          <cell r="C37" t="str">
            <v>0107-Engineering goods</v>
          </cell>
          <cell r="I37" t="str">
            <v>07-DADRA AND NAGAR HAVELI</v>
          </cell>
        </row>
        <row r="38">
          <cell r="C38" t="str">
            <v>0108-Fertilizers, Chemicals, Paints</v>
          </cell>
          <cell r="I38" t="str">
            <v>08-DAMAN AND DIU</v>
          </cell>
        </row>
        <row r="39">
          <cell r="C39" t="str">
            <v>0109-Flour &amp; Rice Mills</v>
          </cell>
          <cell r="I39" t="str">
            <v>09-DELHI</v>
          </cell>
        </row>
        <row r="40">
          <cell r="C40" t="str">
            <v>0110-Food Processing units</v>
          </cell>
          <cell r="I40" t="str">
            <v>10-GOA</v>
          </cell>
        </row>
        <row r="41">
          <cell r="C41" t="str">
            <v>0111-Marble &amp; Granite</v>
          </cell>
          <cell r="I41" t="str">
            <v>11-GUJARAT</v>
          </cell>
        </row>
        <row r="42">
          <cell r="C42" t="str">
            <v>0112-Paper</v>
          </cell>
          <cell r="I42" t="str">
            <v>12-HARYANA</v>
          </cell>
        </row>
        <row r="43">
          <cell r="C43" t="str">
            <v>0113-Petroleum and Petrochemicals</v>
          </cell>
          <cell r="I43" t="str">
            <v>13-HIMACHAL PRADESH</v>
          </cell>
        </row>
        <row r="44">
          <cell r="C44" t="str">
            <v>0114-Power and energy</v>
          </cell>
          <cell r="I44" t="str">
            <v>14-JAMMU AND KASHMIR</v>
          </cell>
        </row>
        <row r="45">
          <cell r="C45" t="str">
            <v>0115-Printing &amp; Publishing</v>
          </cell>
          <cell r="I45" t="str">
            <v>15-KARNATAKA</v>
          </cell>
        </row>
        <row r="46">
          <cell r="C46" t="str">
            <v>0116-Rubber</v>
          </cell>
          <cell r="I46" t="str">
            <v>16-KERALA</v>
          </cell>
        </row>
        <row r="47">
          <cell r="C47" t="str">
            <v>0117-Steel</v>
          </cell>
          <cell r="I47" t="str">
            <v>17-LAKHSWADEEP</v>
          </cell>
        </row>
        <row r="48">
          <cell r="C48" t="str">
            <v>0118-Sugar</v>
          </cell>
          <cell r="I48" t="str">
            <v>18-MADHYA PRADESH</v>
          </cell>
        </row>
        <row r="49">
          <cell r="C49" t="str">
            <v>0119-Tea, Coffee</v>
          </cell>
          <cell r="I49" t="str">
            <v>19-MAHARASHTRA</v>
          </cell>
        </row>
        <row r="50">
          <cell r="C50" t="str">
            <v>0120-Textiles, handloom, Power looms</v>
          </cell>
          <cell r="I50" t="str">
            <v>20-MANIPUR</v>
          </cell>
        </row>
        <row r="51">
          <cell r="C51" t="str">
            <v>0121-Tobacco</v>
          </cell>
          <cell r="I51" t="str">
            <v>21-MEGHALAYA</v>
          </cell>
        </row>
        <row r="52">
          <cell r="C52" t="str">
            <v>0122-Tyre</v>
          </cell>
          <cell r="I52" t="str">
            <v>22-MIZORAM</v>
          </cell>
        </row>
        <row r="53">
          <cell r="C53" t="str">
            <v>0123-Vanaspati &amp; Edible Oils</v>
          </cell>
          <cell r="I53" t="str">
            <v>23-NAGALAND</v>
          </cell>
        </row>
        <row r="54">
          <cell r="C54" t="str">
            <v>0124-Others</v>
          </cell>
          <cell r="I54" t="str">
            <v>24-ORISSA</v>
          </cell>
        </row>
        <row r="55">
          <cell r="C55" t="str">
            <v>0201-Chain Stores</v>
          </cell>
          <cell r="I55" t="str">
            <v>25-PONDICHERRY</v>
          </cell>
        </row>
        <row r="56">
          <cell r="C56" t="str">
            <v>0202-Retailers</v>
          </cell>
          <cell r="I56" t="str">
            <v>26-PUNJAB</v>
          </cell>
        </row>
        <row r="57">
          <cell r="C57" t="str">
            <v>0203-Wholesalers</v>
          </cell>
          <cell r="I57" t="str">
            <v>27-RAJASTHAN</v>
          </cell>
        </row>
        <row r="58">
          <cell r="C58" t="str">
            <v>0204-Others</v>
          </cell>
          <cell r="I58" t="str">
            <v>28-SIKKIM</v>
          </cell>
        </row>
        <row r="59">
          <cell r="C59" t="str">
            <v>0301-General Commission Agents</v>
          </cell>
          <cell r="I59" t="str">
            <v>29-TAMILNADU</v>
          </cell>
        </row>
        <row r="60">
          <cell r="C60" t="str">
            <v>0401-Builders</v>
          </cell>
          <cell r="I60" t="str">
            <v>30-TRIPURA</v>
          </cell>
        </row>
        <row r="61">
          <cell r="C61" t="str">
            <v>0402-Estate Agents</v>
          </cell>
          <cell r="I61" t="str">
            <v>31-UTTAR PRADESH</v>
          </cell>
        </row>
        <row r="62">
          <cell r="C62" t="str">
            <v>0403-Property Developers</v>
          </cell>
          <cell r="I62" t="str">
            <v>32-WEST BENGAL</v>
          </cell>
        </row>
        <row r="63">
          <cell r="C63" t="str">
            <v>0404-Others</v>
          </cell>
          <cell r="I63" t="str">
            <v>99-FOREIGN</v>
          </cell>
        </row>
        <row r="64">
          <cell r="C64" t="str">
            <v>0501-Civil Contractors</v>
          </cell>
        </row>
        <row r="65">
          <cell r="C65" t="str">
            <v>0502-Excise Contractors</v>
          </cell>
        </row>
        <row r="66">
          <cell r="C66" t="str">
            <v>0503-Forest Contractors</v>
          </cell>
        </row>
        <row r="67">
          <cell r="C67" t="str">
            <v>0504-Mining Contractors</v>
          </cell>
        </row>
        <row r="68">
          <cell r="C68" t="str">
            <v>0505-Others</v>
          </cell>
        </row>
        <row r="69">
          <cell r="C69" t="str">
            <v>0601-Chartered Accountants, Auditors, etc.</v>
          </cell>
        </row>
        <row r="70">
          <cell r="C70" t="str">
            <v>0602-Fashion designers</v>
          </cell>
        </row>
        <row r="71">
          <cell r="C71" t="str">
            <v>0603-Legal professionals</v>
          </cell>
        </row>
        <row r="72">
          <cell r="C72" t="str">
            <v>0604-Medical professionals</v>
          </cell>
        </row>
        <row r="73">
          <cell r="C73" t="str">
            <v>0605-Nursing Homes</v>
          </cell>
        </row>
        <row r="74">
          <cell r="C74" t="str">
            <v>0606-Specialty hospitals</v>
          </cell>
        </row>
        <row r="75">
          <cell r="C75" t="str">
            <v>0607-Others</v>
          </cell>
        </row>
        <row r="76">
          <cell r="C76" t="str">
            <v>0701-Advertisement agencies</v>
          </cell>
        </row>
        <row r="77">
          <cell r="C77" t="str">
            <v>0702-Beauty Parlours</v>
          </cell>
        </row>
        <row r="78">
          <cell r="C78" t="str">
            <v>0703-Consultancy services</v>
          </cell>
        </row>
        <row r="79">
          <cell r="C79" t="str">
            <v>0704-Courier Agencies</v>
          </cell>
        </row>
        <row r="80">
          <cell r="C80" t="str">
            <v>0705-Computer training/educational and coaching institutes</v>
          </cell>
        </row>
        <row r="81">
          <cell r="C81" t="str">
            <v>0706-Forex Dealers</v>
          </cell>
        </row>
        <row r="82">
          <cell r="C82" t="str">
            <v>0707-Hospitality services</v>
          </cell>
        </row>
        <row r="83">
          <cell r="C83" t="str">
            <v>0708-Hotels</v>
          </cell>
        </row>
        <row r="84">
          <cell r="C84" t="str">
            <v>0709-I.T. enabled services, BPO service providers</v>
          </cell>
        </row>
        <row r="85">
          <cell r="C85" t="str">
            <v>0710-Security agencies</v>
          </cell>
        </row>
        <row r="86">
          <cell r="C86" t="str">
            <v>0711-Software development agencies</v>
          </cell>
        </row>
        <row r="87">
          <cell r="C87" t="str">
            <v>0712-Transporters</v>
          </cell>
        </row>
        <row r="88">
          <cell r="C88" t="str">
            <v>0713-Travel agents, tour operators</v>
          </cell>
        </row>
        <row r="89">
          <cell r="C89" t="str">
            <v>0714-Others</v>
          </cell>
        </row>
        <row r="90">
          <cell r="C90" t="str">
            <v>0801-Banking Companies</v>
          </cell>
        </row>
        <row r="91">
          <cell r="C91" t="str">
            <v>0802-Chit Funds</v>
          </cell>
        </row>
        <row r="92">
          <cell r="C92" t="str">
            <v>0803-Financial Institutions</v>
          </cell>
        </row>
        <row r="93">
          <cell r="C93" t="str">
            <v>0804-Financial service providers</v>
          </cell>
        </row>
        <row r="94">
          <cell r="C94" t="str">
            <v>0805-Leasing Companies</v>
          </cell>
        </row>
        <row r="95">
          <cell r="C95" t="str">
            <v>0806-Money Lenders</v>
          </cell>
        </row>
        <row r="96">
          <cell r="C96" t="str">
            <v>0807-Non-Banking Finance Companies</v>
          </cell>
        </row>
        <row r="97">
          <cell r="C97" t="str">
            <v>0808-Share Brokers, Sub-brokers, etc.</v>
          </cell>
        </row>
        <row r="98">
          <cell r="C98" t="str">
            <v>0809-Others</v>
          </cell>
        </row>
        <row r="99">
          <cell r="C99" t="str">
            <v>0901-Cable T.V. productions</v>
          </cell>
        </row>
        <row r="100">
          <cell r="C100" t="str">
            <v>0902-Film distribution</v>
          </cell>
        </row>
        <row r="101">
          <cell r="C101" t="str">
            <v>0903-Film laboratories</v>
          </cell>
        </row>
        <row r="102">
          <cell r="C102" t="str">
            <v>0904-Motion Picture Producers</v>
          </cell>
        </row>
        <row r="103">
          <cell r="C103" t="str">
            <v>0905-Television Channels</v>
          </cell>
        </row>
        <row r="104">
          <cell r="C104" t="str">
            <v>0906-Others</v>
          </cell>
        </row>
      </sheetData>
      <sheetData sheetId="6">
        <row r="27">
          <cell r="J27">
            <v>921550888</v>
          </cell>
        </row>
        <row r="31">
          <cell r="H31">
            <v>2189143470</v>
          </cell>
        </row>
        <row r="42">
          <cell r="H42">
            <v>2139613621</v>
          </cell>
        </row>
        <row r="43">
          <cell r="H43">
            <v>467727861</v>
          </cell>
        </row>
        <row r="44">
          <cell r="H44">
            <v>1671885760</v>
          </cell>
        </row>
        <row r="45">
          <cell r="H45">
            <v>45251</v>
          </cell>
        </row>
      </sheetData>
      <sheetData sheetId="7">
        <row r="2">
          <cell r="J2">
            <v>7046242373</v>
          </cell>
        </row>
        <row r="8">
          <cell r="J8">
            <v>0</v>
          </cell>
        </row>
        <row r="20">
          <cell r="J20">
            <v>156332501</v>
          </cell>
        </row>
        <row r="21">
          <cell r="J21">
            <v>445820620</v>
          </cell>
        </row>
        <row r="22">
          <cell r="J22">
            <v>7648395494</v>
          </cell>
        </row>
        <row r="88">
          <cell r="J88">
            <v>709746882</v>
          </cell>
        </row>
        <row r="89">
          <cell r="J89">
            <v>279516155</v>
          </cell>
        </row>
        <row r="90">
          <cell r="J90">
            <v>104574567</v>
          </cell>
        </row>
        <row r="91">
          <cell r="J91">
            <v>325656160</v>
          </cell>
        </row>
        <row r="95">
          <cell r="J95">
            <v>223827151</v>
          </cell>
        </row>
        <row r="96">
          <cell r="J96">
            <v>1330076113</v>
          </cell>
        </row>
        <row r="109">
          <cell r="J109">
            <v>0</v>
          </cell>
        </row>
      </sheetData>
      <sheetData sheetId="8">
        <row r="4">
          <cell r="O4" t="str">
            <v>MERC</v>
          </cell>
          <cell r="P4" t="str">
            <v>Y</v>
          </cell>
          <cell r="Q4">
            <v>1</v>
          </cell>
          <cell r="R4">
            <v>1</v>
          </cell>
          <cell r="S4" t="str">
            <v>Y</v>
          </cell>
        </row>
        <row r="5">
          <cell r="O5" t="str">
            <v>CASH</v>
          </cell>
          <cell r="P5" t="str">
            <v>N</v>
          </cell>
          <cell r="Q5">
            <v>2</v>
          </cell>
          <cell r="R5">
            <v>2</v>
          </cell>
          <cell r="S5" t="str">
            <v>N</v>
          </cell>
        </row>
        <row r="6">
          <cell r="Q6">
            <v>3</v>
          </cell>
          <cell r="R6">
            <v>3</v>
          </cell>
        </row>
      </sheetData>
      <sheetData sheetId="9">
        <row r="77">
          <cell r="A77" t="str">
            <v>101-gms</v>
          </cell>
          <cell r="B77" t="str">
            <v>101-gms</v>
          </cell>
          <cell r="C77" t="str">
            <v>101-gms</v>
          </cell>
        </row>
        <row r="78">
          <cell r="A78" t="str">
            <v>102-kilograms</v>
          </cell>
          <cell r="B78" t="str">
            <v>102-kilograms</v>
          </cell>
          <cell r="C78" t="str">
            <v>102-kilograms</v>
          </cell>
        </row>
        <row r="79">
          <cell r="A79" t="str">
            <v>103-litre</v>
          </cell>
          <cell r="B79" t="str">
            <v>103-litre</v>
          </cell>
          <cell r="C79" t="str">
            <v>103-litre</v>
          </cell>
        </row>
        <row r="80">
          <cell r="A80" t="str">
            <v>104-kilolitre</v>
          </cell>
          <cell r="B80" t="str">
            <v>104-kilolitre</v>
          </cell>
          <cell r="C80" t="str">
            <v>104-kilolitre</v>
          </cell>
        </row>
        <row r="81">
          <cell r="A81" t="str">
            <v>105-metre</v>
          </cell>
          <cell r="B81" t="str">
            <v>105-metre</v>
          </cell>
          <cell r="C81" t="str">
            <v>105-metre</v>
          </cell>
        </row>
        <row r="82">
          <cell r="A82" t="str">
            <v>106-kilometre</v>
          </cell>
          <cell r="B82" t="str">
            <v>106-kilometre</v>
          </cell>
          <cell r="C82" t="str">
            <v>106-kilometre</v>
          </cell>
        </row>
        <row r="83">
          <cell r="A83" t="str">
            <v>107-numbers</v>
          </cell>
          <cell r="B83" t="str">
            <v>107-numbers</v>
          </cell>
          <cell r="C83" t="str">
            <v>107-numbers</v>
          </cell>
        </row>
        <row r="84">
          <cell r="A84" t="str">
            <v>108-quintal</v>
          </cell>
          <cell r="B84" t="str">
            <v>108-quintal</v>
          </cell>
          <cell r="C84" t="str">
            <v>108-quintal</v>
          </cell>
        </row>
        <row r="85">
          <cell r="A85" t="str">
            <v>109-ton</v>
          </cell>
          <cell r="B85" t="str">
            <v>109-ton</v>
          </cell>
          <cell r="C85" t="str">
            <v>109-ton</v>
          </cell>
        </row>
        <row r="86">
          <cell r="A86" t="str">
            <v>110-pound</v>
          </cell>
          <cell r="B86" t="str">
            <v>110-pound</v>
          </cell>
          <cell r="C86" t="str">
            <v>110-pound</v>
          </cell>
        </row>
        <row r="87">
          <cell r="A87" t="str">
            <v>111-milligrams</v>
          </cell>
          <cell r="B87" t="str">
            <v>111-milligrams</v>
          </cell>
          <cell r="C87" t="str">
            <v>111-milligrams</v>
          </cell>
        </row>
        <row r="88">
          <cell r="A88" t="str">
            <v>112-carat</v>
          </cell>
          <cell r="B88" t="str">
            <v>112-carat</v>
          </cell>
          <cell r="C88" t="str">
            <v>112-carat</v>
          </cell>
        </row>
        <row r="89">
          <cell r="A89" t="str">
            <v>113-numbers (1000s)</v>
          </cell>
          <cell r="B89" t="str">
            <v>113-numbers (1000s)</v>
          </cell>
          <cell r="C89" t="str">
            <v>113-numbers (1000s)</v>
          </cell>
        </row>
        <row r="90">
          <cell r="A90" t="str">
            <v>114-kwatt</v>
          </cell>
          <cell r="B90" t="str">
            <v>114-kwatt</v>
          </cell>
          <cell r="C90" t="str">
            <v>114-kwatt</v>
          </cell>
        </row>
        <row r="91">
          <cell r="A91" t="str">
            <v>115-mwatt</v>
          </cell>
          <cell r="B91" t="str">
            <v>115-mwatt</v>
          </cell>
          <cell r="C91" t="str">
            <v>115-mwatt</v>
          </cell>
        </row>
        <row r="92">
          <cell r="A92" t="str">
            <v>116-inch</v>
          </cell>
          <cell r="B92" t="str">
            <v>116-inch</v>
          </cell>
          <cell r="C92" t="str">
            <v>116-inch</v>
          </cell>
        </row>
        <row r="93">
          <cell r="A93" t="str">
            <v>117-feet</v>
          </cell>
          <cell r="B93" t="str">
            <v>117-feet</v>
          </cell>
          <cell r="C93" t="str">
            <v>117-feet</v>
          </cell>
        </row>
        <row r="94">
          <cell r="A94" t="str">
            <v>118-sqft</v>
          </cell>
          <cell r="B94" t="str">
            <v>118-sqft</v>
          </cell>
          <cell r="C94" t="str">
            <v>118-sqft</v>
          </cell>
        </row>
        <row r="95">
          <cell r="A95" t="str">
            <v>119-acre</v>
          </cell>
          <cell r="B95" t="str">
            <v>119-acre</v>
          </cell>
          <cell r="C95" t="str">
            <v>119-acre</v>
          </cell>
        </row>
        <row r="96">
          <cell r="A96" t="str">
            <v>120-cubicft</v>
          </cell>
          <cell r="B96" t="str">
            <v>120-cubicft</v>
          </cell>
          <cell r="C96" t="str">
            <v>120-cubicft</v>
          </cell>
        </row>
        <row r="97">
          <cell r="A97" t="str">
            <v>121-sqmetre</v>
          </cell>
          <cell r="B97" t="str">
            <v>121-sqmetre</v>
          </cell>
          <cell r="C97" t="str">
            <v>121-sqmetre</v>
          </cell>
        </row>
        <row r="98">
          <cell r="A98" t="str">
            <v>122-cubicmetre</v>
          </cell>
          <cell r="B98" t="str">
            <v>122-cubicmetre</v>
          </cell>
          <cell r="C98" t="str">
            <v>122-cubicmetre</v>
          </cell>
        </row>
        <row r="99">
          <cell r="A99" t="str">
            <v>999-residual</v>
          </cell>
          <cell r="B99" t="str">
            <v>999-residual</v>
          </cell>
          <cell r="C99" t="str">
            <v>999-residual</v>
          </cell>
        </row>
      </sheetData>
      <sheetData sheetId="10">
        <row r="2">
          <cell r="J2">
            <v>37571409</v>
          </cell>
        </row>
        <row r="7">
          <cell r="J7">
            <v>247656049</v>
          </cell>
        </row>
        <row r="12">
          <cell r="H12">
            <v>0</v>
          </cell>
        </row>
        <row r="15">
          <cell r="H15">
            <v>0</v>
          </cell>
        </row>
        <row r="16">
          <cell r="J16">
            <v>0</v>
          </cell>
        </row>
        <row r="20">
          <cell r="J20">
            <v>0</v>
          </cell>
        </row>
        <row r="21">
          <cell r="J21">
            <v>285227458</v>
          </cell>
        </row>
        <row r="22">
          <cell r="J22">
            <v>0</v>
          </cell>
        </row>
        <row r="25">
          <cell r="J25">
            <v>285227458</v>
          </cell>
        </row>
        <row r="26">
          <cell r="J26">
            <v>262500</v>
          </cell>
        </row>
        <row r="28">
          <cell r="J28">
            <v>0</v>
          </cell>
        </row>
        <row r="34">
          <cell r="J34">
            <v>41408023</v>
          </cell>
        </row>
        <row r="35">
          <cell r="J35">
            <v>2070401</v>
          </cell>
        </row>
        <row r="36">
          <cell r="J36">
            <v>1304353</v>
          </cell>
        </row>
        <row r="37">
          <cell r="J37">
            <v>44782777</v>
          </cell>
        </row>
        <row r="39">
          <cell r="H39">
            <v>85489487</v>
          </cell>
        </row>
        <row r="41">
          <cell r="J41">
            <v>85489487</v>
          </cell>
        </row>
        <row r="42">
          <cell r="J42">
            <v>4274474</v>
          </cell>
        </row>
        <row r="43">
          <cell r="J43">
            <v>2692919</v>
          </cell>
        </row>
        <row r="44">
          <cell r="J44">
            <v>92456880</v>
          </cell>
        </row>
        <row r="45">
          <cell r="J45">
            <v>92456880</v>
          </cell>
        </row>
        <row r="46">
          <cell r="J46">
            <v>0</v>
          </cell>
        </row>
        <row r="48">
          <cell r="J48">
            <v>0</v>
          </cell>
        </row>
        <row r="50">
          <cell r="J50">
            <v>92456880</v>
          </cell>
        </row>
        <row r="52">
          <cell r="H52">
            <v>0</v>
          </cell>
        </row>
        <row r="53">
          <cell r="H53">
            <v>0</v>
          </cell>
        </row>
        <row r="54">
          <cell r="J54">
            <v>0</v>
          </cell>
        </row>
        <row r="55">
          <cell r="J55">
            <v>92456880</v>
          </cell>
        </row>
        <row r="57">
          <cell r="H57">
            <v>0</v>
          </cell>
        </row>
        <row r="58">
          <cell r="H58">
            <v>5547408</v>
          </cell>
        </row>
        <row r="59">
          <cell r="H59">
            <v>0</v>
          </cell>
        </row>
        <row r="60">
          <cell r="J60">
            <v>5547408</v>
          </cell>
        </row>
        <row r="61">
          <cell r="J61">
            <v>98004290</v>
          </cell>
        </row>
        <row r="63">
          <cell r="H63">
            <v>0</v>
          </cell>
        </row>
        <row r="64">
          <cell r="H64">
            <v>103177999</v>
          </cell>
        </row>
        <row r="65">
          <cell r="H65">
            <v>0</v>
          </cell>
        </row>
        <row r="66">
          <cell r="H66">
            <v>0</v>
          </cell>
        </row>
        <row r="67">
          <cell r="J67">
            <v>103177999</v>
          </cell>
        </row>
        <row r="72">
          <cell r="F72" t="str">
            <v xml:space="preserve">JAGDISH K. VALECHA </v>
          </cell>
          <cell r="J72" t="str">
            <v>AAAPV6661L</v>
          </cell>
        </row>
        <row r="73">
          <cell r="F73" t="str">
            <v xml:space="preserve">K. VALECHA </v>
          </cell>
        </row>
        <row r="77">
          <cell r="F77" t="str">
            <v xml:space="preserve">MANAGEING DIRECTOR </v>
          </cell>
        </row>
        <row r="78">
          <cell r="F78" t="str">
            <v>MUMBAI</v>
          </cell>
        </row>
        <row r="79">
          <cell r="F79" t="str">
            <v>24/09/2012</v>
          </cell>
        </row>
      </sheetData>
      <sheetData sheetId="11">
        <row r="8">
          <cell r="J8">
            <v>0</v>
          </cell>
        </row>
        <row r="9">
          <cell r="J9">
            <v>0</v>
          </cell>
          <cell r="IV9" t="str">
            <v>Yes</v>
          </cell>
        </row>
        <row r="10">
          <cell r="J10">
            <v>0</v>
          </cell>
          <cell r="IV10" t="str">
            <v>No</v>
          </cell>
        </row>
        <row r="11">
          <cell r="J11">
            <v>0</v>
          </cell>
        </row>
        <row r="12">
          <cell r="J12">
            <v>0</v>
          </cell>
        </row>
        <row r="14">
          <cell r="H14">
            <v>0</v>
          </cell>
        </row>
        <row r="15">
          <cell r="H15">
            <v>0</v>
          </cell>
        </row>
        <row r="16">
          <cell r="J16">
            <v>0</v>
          </cell>
        </row>
        <row r="17">
          <cell r="J17">
            <v>0</v>
          </cell>
        </row>
        <row r="21">
          <cell r="J21">
            <v>0</v>
          </cell>
        </row>
      </sheetData>
      <sheetData sheetId="12"/>
      <sheetData sheetId="13">
        <row r="4">
          <cell r="P4" t="str">
            <v>N</v>
          </cell>
        </row>
        <row r="6">
          <cell r="P6">
            <v>325656160</v>
          </cell>
        </row>
        <row r="13">
          <cell r="J13">
            <v>325656160</v>
          </cell>
        </row>
        <row r="16">
          <cell r="H16">
            <v>0</v>
          </cell>
        </row>
        <row r="17">
          <cell r="J17">
            <v>325656160</v>
          </cell>
        </row>
        <row r="18">
          <cell r="J18">
            <v>104574567</v>
          </cell>
        </row>
        <row r="22">
          <cell r="J22">
            <v>177317904</v>
          </cell>
        </row>
        <row r="23">
          <cell r="J23">
            <v>252912823</v>
          </cell>
        </row>
        <row r="34">
          <cell r="J34">
            <v>1029097</v>
          </cell>
        </row>
        <row r="44">
          <cell r="J44">
            <v>6285871</v>
          </cell>
        </row>
        <row r="45">
          <cell r="J45">
            <v>247656049</v>
          </cell>
        </row>
        <row r="58">
          <cell r="J58">
            <v>0</v>
          </cell>
        </row>
        <row r="59">
          <cell r="J59">
            <v>247656049</v>
          </cell>
        </row>
        <row r="65">
          <cell r="J65">
            <v>0</v>
          </cell>
        </row>
        <row r="66">
          <cell r="J66">
            <v>247656049</v>
          </cell>
        </row>
        <row r="67">
          <cell r="J67">
            <v>247656049</v>
          </cell>
        </row>
        <row r="69">
          <cell r="J69">
            <v>0</v>
          </cell>
        </row>
        <row r="72">
          <cell r="J72">
            <v>0</v>
          </cell>
        </row>
        <row r="74">
          <cell r="J74">
            <v>0</v>
          </cell>
        </row>
        <row r="77">
          <cell r="J77">
            <v>0</v>
          </cell>
        </row>
        <row r="79">
          <cell r="J79">
            <v>0</v>
          </cell>
        </row>
      </sheetData>
      <sheetData sheetId="14">
        <row r="3">
          <cell r="D3">
            <v>15</v>
          </cell>
          <cell r="E3">
            <v>30</v>
          </cell>
          <cell r="F3">
            <v>40</v>
          </cell>
          <cell r="G3">
            <v>50</v>
          </cell>
          <cell r="H3">
            <v>60</v>
          </cell>
          <cell r="I3">
            <v>80</v>
          </cell>
          <cell r="J3">
            <v>100</v>
          </cell>
        </row>
        <row r="5">
          <cell r="D5">
            <v>987943985</v>
          </cell>
          <cell r="H5">
            <v>4021526</v>
          </cell>
        </row>
        <row r="6">
          <cell r="D6">
            <v>231127726</v>
          </cell>
          <cell r="H6">
            <v>1483573</v>
          </cell>
        </row>
        <row r="7">
          <cell r="D7">
            <v>99183272</v>
          </cell>
          <cell r="H7">
            <v>39600</v>
          </cell>
        </row>
        <row r="8">
          <cell r="D8">
            <v>1119888439</v>
          </cell>
          <cell r="E8">
            <v>0</v>
          </cell>
          <cell r="F8">
            <v>0</v>
          </cell>
          <cell r="G8">
            <v>0</v>
          </cell>
          <cell r="H8">
            <v>5465499</v>
          </cell>
          <cell r="I8">
            <v>0</v>
          </cell>
          <cell r="J8">
            <v>0</v>
          </cell>
        </row>
        <row r="9">
          <cell r="D9">
            <v>56472936</v>
          </cell>
          <cell r="H9">
            <v>966630</v>
          </cell>
        </row>
        <row r="11">
          <cell r="D11">
            <v>56472936</v>
          </cell>
          <cell r="E11">
            <v>0</v>
          </cell>
          <cell r="F11">
            <v>0</v>
          </cell>
          <cell r="G11">
            <v>0</v>
          </cell>
          <cell r="H11">
            <v>966630</v>
          </cell>
          <cell r="I11">
            <v>0</v>
          </cell>
          <cell r="J11">
            <v>0</v>
          </cell>
        </row>
        <row r="12">
          <cell r="D12">
            <v>167983266</v>
          </cell>
          <cell r="E12">
            <v>0</v>
          </cell>
          <cell r="F12">
            <v>0</v>
          </cell>
          <cell r="G12">
            <v>0</v>
          </cell>
          <cell r="H12">
            <v>3279299</v>
          </cell>
          <cell r="I12">
            <v>0</v>
          </cell>
          <cell r="J12">
            <v>0</v>
          </cell>
        </row>
        <row r="13">
          <cell r="D13">
            <v>4235470</v>
          </cell>
          <cell r="E13">
            <v>0</v>
          </cell>
          <cell r="F13">
            <v>0</v>
          </cell>
          <cell r="G13">
            <v>0</v>
          </cell>
          <cell r="H13">
            <v>289989</v>
          </cell>
          <cell r="I13">
            <v>0</v>
          </cell>
          <cell r="J13">
            <v>0</v>
          </cell>
        </row>
        <row r="16">
          <cell r="D16">
            <v>172218736</v>
          </cell>
          <cell r="E16">
            <v>0</v>
          </cell>
          <cell r="F16">
            <v>0</v>
          </cell>
          <cell r="G16">
            <v>0</v>
          </cell>
          <cell r="H16">
            <v>3569288</v>
          </cell>
          <cell r="I16">
            <v>0</v>
          </cell>
          <cell r="J16">
            <v>0</v>
          </cell>
        </row>
        <row r="24">
          <cell r="D24">
            <v>5</v>
          </cell>
          <cell r="E24">
            <v>10</v>
          </cell>
          <cell r="F24">
            <v>100</v>
          </cell>
          <cell r="G24">
            <v>10</v>
          </cell>
          <cell r="H24">
            <v>25</v>
          </cell>
          <cell r="I24">
            <v>20</v>
          </cell>
        </row>
        <row r="26">
          <cell r="G26">
            <v>15152103</v>
          </cell>
        </row>
        <row r="27">
          <cell r="G27">
            <v>96663</v>
          </cell>
        </row>
        <row r="29">
          <cell r="D29">
            <v>0</v>
          </cell>
          <cell r="E29">
            <v>0</v>
          </cell>
          <cell r="F29">
            <v>0</v>
          </cell>
          <cell r="G29">
            <v>15248766</v>
          </cell>
          <cell r="H29">
            <v>0</v>
          </cell>
          <cell r="I29">
            <v>0</v>
          </cell>
        </row>
        <row r="30">
          <cell r="G30">
            <v>100050</v>
          </cell>
        </row>
        <row r="32">
          <cell r="D32">
            <v>0</v>
          </cell>
          <cell r="E32">
            <v>0</v>
          </cell>
          <cell r="F32">
            <v>0</v>
          </cell>
          <cell r="G32">
            <v>100050</v>
          </cell>
          <cell r="H32">
            <v>0</v>
          </cell>
          <cell r="I32">
            <v>0</v>
          </cell>
        </row>
        <row r="33">
          <cell r="D33">
            <v>0</v>
          </cell>
          <cell r="E33">
            <v>0</v>
          </cell>
          <cell r="F33">
            <v>0</v>
          </cell>
          <cell r="G33">
            <v>1524877</v>
          </cell>
          <cell r="H33">
            <v>0</v>
          </cell>
          <cell r="I33">
            <v>0</v>
          </cell>
        </row>
        <row r="34">
          <cell r="D34">
            <v>0</v>
          </cell>
          <cell r="E34">
            <v>0</v>
          </cell>
          <cell r="F34">
            <v>0</v>
          </cell>
          <cell r="G34">
            <v>5003</v>
          </cell>
          <cell r="H34">
            <v>0</v>
          </cell>
          <cell r="I34">
            <v>0</v>
          </cell>
        </row>
        <row r="37">
          <cell r="D37">
            <v>0</v>
          </cell>
          <cell r="E37">
            <v>0</v>
          </cell>
          <cell r="F37">
            <v>0</v>
          </cell>
          <cell r="G37">
            <v>1529880</v>
          </cell>
          <cell r="H37">
            <v>0</v>
          </cell>
          <cell r="I37">
            <v>0</v>
          </cell>
        </row>
      </sheetData>
      <sheetData sheetId="15">
        <row r="19">
          <cell r="H19">
            <v>177317904</v>
          </cell>
        </row>
        <row r="30">
          <cell r="H30">
            <v>0</v>
          </cell>
        </row>
      </sheetData>
      <sheetData sheetId="16"/>
      <sheetData sheetId="17">
        <row r="6">
          <cell r="H6">
            <v>0</v>
          </cell>
        </row>
        <row r="16">
          <cell r="H16">
            <v>0</v>
          </cell>
        </row>
        <row r="23">
          <cell r="J23">
            <v>0</v>
          </cell>
        </row>
        <row r="25">
          <cell r="J25">
            <v>0</v>
          </cell>
        </row>
        <row r="30">
          <cell r="H30">
            <v>0</v>
          </cell>
        </row>
        <row r="32">
          <cell r="J32">
            <v>0</v>
          </cell>
        </row>
        <row r="40">
          <cell r="H40">
            <v>0</v>
          </cell>
        </row>
        <row r="41">
          <cell r="H41">
            <v>0</v>
          </cell>
        </row>
        <row r="43">
          <cell r="J43">
            <v>0</v>
          </cell>
        </row>
        <row r="50">
          <cell r="H50">
            <v>0</v>
          </cell>
        </row>
        <row r="51">
          <cell r="H51">
            <v>0</v>
          </cell>
        </row>
        <row r="53">
          <cell r="J53">
            <v>0</v>
          </cell>
        </row>
        <row r="55">
          <cell r="J55">
            <v>0</v>
          </cell>
        </row>
        <row r="75">
          <cell r="H75">
            <v>0</v>
          </cell>
        </row>
        <row r="86">
          <cell r="J86">
            <v>0</v>
          </cell>
        </row>
        <row r="90">
          <cell r="H90">
            <v>0</v>
          </cell>
        </row>
        <row r="91">
          <cell r="J91">
            <v>0</v>
          </cell>
        </row>
        <row r="93">
          <cell r="J93">
            <v>0</v>
          </cell>
        </row>
        <row r="97">
          <cell r="J97">
            <v>0</v>
          </cell>
        </row>
      </sheetData>
      <sheetData sheetId="18">
        <row r="4">
          <cell r="E4">
            <v>0</v>
          </cell>
          <cell r="F4">
            <v>0</v>
          </cell>
          <cell r="G4">
            <v>0</v>
          </cell>
        </row>
        <row r="6">
          <cell r="D6">
            <v>37571409</v>
          </cell>
          <cell r="H6">
            <v>37571409</v>
          </cell>
          <cell r="AN6">
            <v>0</v>
          </cell>
          <cell r="AO6">
            <v>0</v>
          </cell>
        </row>
        <row r="7">
          <cell r="H7">
            <v>247656049</v>
          </cell>
        </row>
        <row r="8">
          <cell r="D8">
            <v>0</v>
          </cell>
          <cell r="H8">
            <v>0</v>
          </cell>
        </row>
        <row r="9">
          <cell r="D9">
            <v>0</v>
          </cell>
          <cell r="H9">
            <v>0</v>
          </cell>
        </row>
        <row r="10">
          <cell r="D10">
            <v>0</v>
          </cell>
          <cell r="H10">
            <v>0</v>
          </cell>
          <cell r="AN10">
            <v>0</v>
          </cell>
          <cell r="AO10">
            <v>247656049</v>
          </cell>
        </row>
        <row r="11">
          <cell r="D11">
            <v>0</v>
          </cell>
          <cell r="H11">
            <v>0</v>
          </cell>
          <cell r="O11">
            <v>37571409</v>
          </cell>
          <cell r="P11">
            <v>0</v>
          </cell>
          <cell r="Q11">
            <v>37571409</v>
          </cell>
          <cell r="R11">
            <v>0</v>
          </cell>
          <cell r="T11">
            <v>37571409</v>
          </cell>
          <cell r="V11">
            <v>0</v>
          </cell>
          <cell r="X11">
            <v>37571409</v>
          </cell>
          <cell r="Z11">
            <v>0</v>
          </cell>
          <cell r="AB11">
            <v>37571409</v>
          </cell>
          <cell r="AD11">
            <v>0</v>
          </cell>
          <cell r="AE11">
            <v>0</v>
          </cell>
          <cell r="AF11">
            <v>37571409</v>
          </cell>
          <cell r="AG11">
            <v>0</v>
          </cell>
          <cell r="AH11">
            <v>0</v>
          </cell>
          <cell r="AN11">
            <v>0</v>
          </cell>
          <cell r="AO11">
            <v>0</v>
          </cell>
        </row>
        <row r="12">
          <cell r="D12">
            <v>0</v>
          </cell>
          <cell r="H12">
            <v>0</v>
          </cell>
          <cell r="O12">
            <v>247656049</v>
          </cell>
          <cell r="P12">
            <v>0</v>
          </cell>
          <cell r="Q12">
            <v>247656049</v>
          </cell>
          <cell r="R12">
            <v>0</v>
          </cell>
          <cell r="T12">
            <v>247656049</v>
          </cell>
          <cell r="V12">
            <v>0</v>
          </cell>
          <cell r="X12">
            <v>247656049</v>
          </cell>
          <cell r="Z12">
            <v>0</v>
          </cell>
          <cell r="AB12">
            <v>247656049</v>
          </cell>
          <cell r="AD12">
            <v>0</v>
          </cell>
          <cell r="AE12">
            <v>0</v>
          </cell>
          <cell r="AF12">
            <v>247656049</v>
          </cell>
          <cell r="AG12">
            <v>0</v>
          </cell>
          <cell r="AH12">
            <v>0</v>
          </cell>
          <cell r="AN12">
            <v>0</v>
          </cell>
          <cell r="AO12">
            <v>0</v>
          </cell>
        </row>
        <row r="13">
          <cell r="D13">
            <v>0</v>
          </cell>
          <cell r="H13">
            <v>0</v>
          </cell>
        </row>
        <row r="14">
          <cell r="E14">
            <v>0</v>
          </cell>
          <cell r="F14">
            <v>0</v>
          </cell>
          <cell r="G14">
            <v>0</v>
          </cell>
          <cell r="O14">
            <v>0</v>
          </cell>
          <cell r="P14">
            <v>0</v>
          </cell>
          <cell r="Q14">
            <v>0</v>
          </cell>
          <cell r="R14">
            <v>0</v>
          </cell>
          <cell r="T14">
            <v>0</v>
          </cell>
          <cell r="V14">
            <v>0</v>
          </cell>
          <cell r="X14">
            <v>0</v>
          </cell>
          <cell r="Z14">
            <v>0</v>
          </cell>
          <cell r="AB14">
            <v>0</v>
          </cell>
          <cell r="AD14">
            <v>0</v>
          </cell>
          <cell r="AE14">
            <v>0</v>
          </cell>
          <cell r="AF14">
            <v>0</v>
          </cell>
          <cell r="AG14">
            <v>0</v>
          </cell>
          <cell r="AH14">
            <v>0</v>
          </cell>
          <cell r="AN14">
            <v>0</v>
          </cell>
          <cell r="AO14">
            <v>0</v>
          </cell>
        </row>
        <row r="15">
          <cell r="E15">
            <v>0</v>
          </cell>
          <cell r="F15">
            <v>0</v>
          </cell>
          <cell r="O15">
            <v>0</v>
          </cell>
          <cell r="P15">
            <v>0</v>
          </cell>
          <cell r="Q15">
            <v>0</v>
          </cell>
          <cell r="R15">
            <v>0</v>
          </cell>
          <cell r="T15">
            <v>0</v>
          </cell>
          <cell r="V15">
            <v>0</v>
          </cell>
          <cell r="X15">
            <v>0</v>
          </cell>
          <cell r="Z15">
            <v>0</v>
          </cell>
          <cell r="AB15">
            <v>0</v>
          </cell>
          <cell r="AD15">
            <v>0</v>
          </cell>
          <cell r="AE15">
            <v>0</v>
          </cell>
          <cell r="AF15">
            <v>0</v>
          </cell>
          <cell r="AG15">
            <v>0</v>
          </cell>
          <cell r="AH15">
            <v>0</v>
          </cell>
          <cell r="AN15">
            <v>0</v>
          </cell>
          <cell r="AO15">
            <v>37571409</v>
          </cell>
        </row>
        <row r="16">
          <cell r="O16">
            <v>0</v>
          </cell>
          <cell r="P16">
            <v>0</v>
          </cell>
          <cell r="Q16">
            <v>0</v>
          </cell>
          <cell r="R16">
            <v>0</v>
          </cell>
          <cell r="T16">
            <v>0</v>
          </cell>
          <cell r="V16">
            <v>0</v>
          </cell>
          <cell r="X16">
            <v>0</v>
          </cell>
          <cell r="Z16">
            <v>0</v>
          </cell>
          <cell r="AB16">
            <v>0</v>
          </cell>
          <cell r="AD16">
            <v>0</v>
          </cell>
          <cell r="AE16">
            <v>0</v>
          </cell>
          <cell r="AF16">
            <v>0</v>
          </cell>
          <cell r="AG16">
            <v>0</v>
          </cell>
          <cell r="AH16">
            <v>0</v>
          </cell>
          <cell r="AN16">
            <v>0</v>
          </cell>
          <cell r="AO16">
            <v>0</v>
          </cell>
        </row>
        <row r="17">
          <cell r="O17">
            <v>0</v>
          </cell>
          <cell r="P17">
            <v>0</v>
          </cell>
          <cell r="Q17">
            <v>0</v>
          </cell>
          <cell r="R17">
            <v>0</v>
          </cell>
          <cell r="T17">
            <v>0</v>
          </cell>
          <cell r="V17">
            <v>0</v>
          </cell>
          <cell r="X17">
            <v>0</v>
          </cell>
          <cell r="Z17">
            <v>0</v>
          </cell>
          <cell r="AB17">
            <v>0</v>
          </cell>
          <cell r="AD17">
            <v>0</v>
          </cell>
          <cell r="AF17">
            <v>0</v>
          </cell>
          <cell r="AG17">
            <v>0</v>
          </cell>
          <cell r="AN17">
            <v>0</v>
          </cell>
          <cell r="AO17">
            <v>0</v>
          </cell>
        </row>
        <row r="18">
          <cell r="O18">
            <v>0</v>
          </cell>
          <cell r="P18">
            <v>0</v>
          </cell>
          <cell r="Q18">
            <v>0</v>
          </cell>
          <cell r="R18">
            <v>0</v>
          </cell>
          <cell r="T18">
            <v>0</v>
          </cell>
          <cell r="V18">
            <v>0</v>
          </cell>
          <cell r="X18">
            <v>0</v>
          </cell>
          <cell r="Z18">
            <v>0</v>
          </cell>
          <cell r="AB18">
            <v>0</v>
          </cell>
          <cell r="AD18">
            <v>0</v>
          </cell>
          <cell r="AE18">
            <v>0</v>
          </cell>
          <cell r="AF18">
            <v>0</v>
          </cell>
          <cell r="AG18">
            <v>0</v>
          </cell>
          <cell r="AH18">
            <v>0</v>
          </cell>
          <cell r="AN18">
            <v>0</v>
          </cell>
          <cell r="AO18">
            <v>0</v>
          </cell>
        </row>
        <row r="19">
          <cell r="O19">
            <v>0</v>
          </cell>
          <cell r="P19">
            <v>0</v>
          </cell>
          <cell r="Q19">
            <v>0</v>
          </cell>
          <cell r="R19">
            <v>0</v>
          </cell>
          <cell r="T19">
            <v>0</v>
          </cell>
          <cell r="V19">
            <v>0</v>
          </cell>
          <cell r="X19">
            <v>0</v>
          </cell>
          <cell r="Z19">
            <v>0</v>
          </cell>
          <cell r="AB19">
            <v>0</v>
          </cell>
          <cell r="AD19">
            <v>0</v>
          </cell>
          <cell r="AF19">
            <v>0</v>
          </cell>
          <cell r="AG19">
            <v>0</v>
          </cell>
          <cell r="AN19">
            <v>0</v>
          </cell>
          <cell r="AO19">
            <v>0</v>
          </cell>
        </row>
        <row r="20">
          <cell r="AN20">
            <v>0</v>
          </cell>
          <cell r="AO20">
            <v>0</v>
          </cell>
        </row>
        <row r="22">
          <cell r="D22">
            <v>0</v>
          </cell>
        </row>
        <row r="23">
          <cell r="D23">
            <v>0</v>
          </cell>
        </row>
        <row r="24">
          <cell r="O24">
            <v>0</v>
          </cell>
          <cell r="P24">
            <v>0</v>
          </cell>
          <cell r="Q24">
            <v>0</v>
          </cell>
          <cell r="R24">
            <v>0</v>
          </cell>
          <cell r="T24">
            <v>0</v>
          </cell>
          <cell r="V24">
            <v>0</v>
          </cell>
          <cell r="X24">
            <v>0</v>
          </cell>
          <cell r="Z24">
            <v>0</v>
          </cell>
          <cell r="AB24">
            <v>0</v>
          </cell>
          <cell r="AD24">
            <v>0</v>
          </cell>
          <cell r="AE24">
            <v>0</v>
          </cell>
          <cell r="AF24">
            <v>0</v>
          </cell>
          <cell r="AG24">
            <v>0</v>
          </cell>
          <cell r="AH24">
            <v>0</v>
          </cell>
        </row>
        <row r="25">
          <cell r="O25">
            <v>0</v>
          </cell>
          <cell r="P25">
            <v>0</v>
          </cell>
          <cell r="Q25">
            <v>0</v>
          </cell>
          <cell r="R25">
            <v>0</v>
          </cell>
          <cell r="T25">
            <v>0</v>
          </cell>
          <cell r="V25">
            <v>0</v>
          </cell>
          <cell r="X25">
            <v>0</v>
          </cell>
          <cell r="Z25">
            <v>0</v>
          </cell>
          <cell r="AB25">
            <v>0</v>
          </cell>
          <cell r="AD25">
            <v>0</v>
          </cell>
          <cell r="AE25">
            <v>0</v>
          </cell>
          <cell r="AF25">
            <v>0</v>
          </cell>
          <cell r="AG25">
            <v>0</v>
          </cell>
          <cell r="AH25">
            <v>0</v>
          </cell>
        </row>
        <row r="27">
          <cell r="D27">
            <v>0</v>
          </cell>
        </row>
        <row r="28">
          <cell r="F28">
            <v>0</v>
          </cell>
          <cell r="G28">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F47">
            <v>0</v>
          </cell>
        </row>
        <row r="48">
          <cell r="F48">
            <v>0</v>
          </cell>
        </row>
        <row r="49">
          <cell r="F49">
            <v>0</v>
          </cell>
        </row>
        <row r="53">
          <cell r="F53">
            <v>0</v>
          </cell>
        </row>
        <row r="55">
          <cell r="F55">
            <v>0</v>
          </cell>
        </row>
        <row r="57">
          <cell r="F57">
            <v>0</v>
          </cell>
        </row>
        <row r="59">
          <cell r="F59">
            <v>0</v>
          </cell>
        </row>
        <row r="61">
          <cell r="F61">
            <v>0</v>
          </cell>
        </row>
      </sheetData>
      <sheetData sheetId="19">
        <row r="11">
          <cell r="E11">
            <v>0</v>
          </cell>
          <cell r="F11">
            <v>0</v>
          </cell>
          <cell r="G11">
            <v>0</v>
          </cell>
          <cell r="H11">
            <v>0</v>
          </cell>
          <cell r="I11">
            <v>0</v>
          </cell>
          <cell r="J11">
            <v>0</v>
          </cell>
          <cell r="L11">
            <v>0</v>
          </cell>
        </row>
        <row r="12">
          <cell r="I12">
            <v>0</v>
          </cell>
        </row>
      </sheetData>
      <sheetData sheetId="20">
        <row r="4">
          <cell r="F4">
            <v>0</v>
          </cell>
        </row>
        <row r="5">
          <cell r="F5">
            <v>0</v>
          </cell>
        </row>
        <row r="6">
          <cell r="F6">
            <v>0</v>
          </cell>
        </row>
        <row r="7">
          <cell r="F7">
            <v>0</v>
          </cell>
        </row>
        <row r="8">
          <cell r="F8">
            <v>0</v>
          </cell>
        </row>
        <row r="9">
          <cell r="F9">
            <v>0</v>
          </cell>
        </row>
        <row r="10">
          <cell r="F10">
            <v>0</v>
          </cell>
        </row>
        <row r="11">
          <cell r="F11">
            <v>0</v>
          </cell>
        </row>
        <row r="12">
          <cell r="F12">
            <v>0</v>
          </cell>
        </row>
      </sheetData>
      <sheetData sheetId="21">
        <row r="4">
          <cell r="H4">
            <v>0</v>
          </cell>
        </row>
        <row r="8">
          <cell r="H8">
            <v>0</v>
          </cell>
        </row>
        <row r="12">
          <cell r="H12">
            <v>0</v>
          </cell>
        </row>
        <row r="16">
          <cell r="H16">
            <v>0</v>
          </cell>
        </row>
        <row r="20">
          <cell r="H20">
            <v>0</v>
          </cell>
        </row>
      </sheetData>
      <sheetData sheetId="22">
        <row r="1">
          <cell r="L1">
            <v>0</v>
          </cell>
          <cell r="N1">
            <v>28522746</v>
          </cell>
          <cell r="O1">
            <v>28522746</v>
          </cell>
          <cell r="P1">
            <v>14261373</v>
          </cell>
        </row>
        <row r="4">
          <cell r="J4">
            <v>0</v>
          </cell>
        </row>
        <row r="5">
          <cell r="J5">
            <v>0</v>
          </cell>
        </row>
        <row r="6">
          <cell r="J6">
            <v>0</v>
          </cell>
        </row>
        <row r="7">
          <cell r="J7">
            <v>0</v>
          </cell>
        </row>
        <row r="8">
          <cell r="J8">
            <v>0</v>
          </cell>
        </row>
        <row r="10">
          <cell r="I10">
            <v>0</v>
          </cell>
          <cell r="J10">
            <v>0</v>
          </cell>
        </row>
        <row r="18">
          <cell r="I18">
            <v>500000</v>
          </cell>
          <cell r="O18">
            <v>250000</v>
          </cell>
        </row>
        <row r="19">
          <cell r="I19">
            <v>25000</v>
          </cell>
          <cell r="O19">
            <v>12500</v>
          </cell>
        </row>
        <row r="20">
          <cell r="O20">
            <v>0</v>
          </cell>
        </row>
        <row r="21">
          <cell r="O21">
            <v>0</v>
          </cell>
        </row>
        <row r="22">
          <cell r="O22">
            <v>0</v>
          </cell>
        </row>
        <row r="24">
          <cell r="I24">
            <v>525000</v>
          </cell>
          <cell r="J24">
            <v>262500</v>
          </cell>
        </row>
        <row r="34">
          <cell r="J34">
            <v>0</v>
          </cell>
        </row>
        <row r="35">
          <cell r="J35">
            <v>0</v>
          </cell>
        </row>
        <row r="36">
          <cell r="J36">
            <v>0</v>
          </cell>
        </row>
        <row r="37">
          <cell r="J37">
            <v>0</v>
          </cell>
        </row>
        <row r="38">
          <cell r="J38">
            <v>0</v>
          </cell>
        </row>
        <row r="40">
          <cell r="I40">
            <v>0</v>
          </cell>
          <cell r="J40">
            <v>0</v>
          </cell>
        </row>
        <row r="50">
          <cell r="J50">
            <v>0</v>
          </cell>
        </row>
        <row r="51">
          <cell r="J51">
            <v>0</v>
          </cell>
        </row>
        <row r="52">
          <cell r="J52">
            <v>0</v>
          </cell>
        </row>
        <row r="53">
          <cell r="J53">
            <v>0</v>
          </cell>
        </row>
        <row r="54">
          <cell r="J54">
            <v>0</v>
          </cell>
        </row>
        <row r="56">
          <cell r="I56">
            <v>0</v>
          </cell>
          <cell r="J56">
            <v>0</v>
          </cell>
        </row>
        <row r="61">
          <cell r="J61">
            <v>262500</v>
          </cell>
        </row>
        <row r="79">
          <cell r="B79" t="str">
            <v>01-ANDAMAN AND NICOBAR ISLANDS</v>
          </cell>
        </row>
        <row r="80">
          <cell r="B80" t="str">
            <v>02-ANDHRA PRADESH</v>
          </cell>
        </row>
        <row r="81">
          <cell r="B81" t="str">
            <v>03-ARUNACHAL PRADESH</v>
          </cell>
        </row>
        <row r="82">
          <cell r="B82" t="str">
            <v>04-ASSAM</v>
          </cell>
        </row>
        <row r="83">
          <cell r="B83" t="str">
            <v>05-BIHAR</v>
          </cell>
        </row>
        <row r="84">
          <cell r="B84" t="str">
            <v>06-CHANDIGARH</v>
          </cell>
        </row>
        <row r="85">
          <cell r="B85" t="str">
            <v>07-DADRA AND NAGAR HAVELI</v>
          </cell>
        </row>
        <row r="86">
          <cell r="B86" t="str">
            <v>08-DAMAN AND DIU</v>
          </cell>
        </row>
        <row r="87">
          <cell r="B87" t="str">
            <v>09-DELHI</v>
          </cell>
        </row>
        <row r="88">
          <cell r="B88" t="str">
            <v>10-GOA</v>
          </cell>
        </row>
        <row r="89">
          <cell r="B89" t="str">
            <v>11-GUJARAT</v>
          </cell>
        </row>
        <row r="90">
          <cell r="B90" t="str">
            <v>12-HARYANA</v>
          </cell>
        </row>
        <row r="91">
          <cell r="B91" t="str">
            <v>13-HIMACHAL PRADESH</v>
          </cell>
        </row>
        <row r="92">
          <cell r="B92" t="str">
            <v>14-JAMMU AND KASHMIR</v>
          </cell>
        </row>
        <row r="93">
          <cell r="B93" t="str">
            <v>15-KARNATAKA</v>
          </cell>
        </row>
        <row r="94">
          <cell r="B94" t="str">
            <v>16-KERALA</v>
          </cell>
        </row>
        <row r="95">
          <cell r="B95" t="str">
            <v>17-LAKHSWADEEP</v>
          </cell>
        </row>
        <row r="96">
          <cell r="B96" t="str">
            <v>18-MADHYA PRADESH</v>
          </cell>
        </row>
        <row r="97">
          <cell r="B97" t="str">
            <v>19-MAHARASHTRA</v>
          </cell>
        </row>
        <row r="98">
          <cell r="B98" t="str">
            <v>20-MANIPUR</v>
          </cell>
        </row>
        <row r="99">
          <cell r="B99" t="str">
            <v>21-MEGHALAYA</v>
          </cell>
        </row>
        <row r="100">
          <cell r="B100" t="str">
            <v>22-MIZORAM</v>
          </cell>
        </row>
        <row r="101">
          <cell r="B101" t="str">
            <v>23-NAGALAND</v>
          </cell>
        </row>
        <row r="102">
          <cell r="B102" t="str">
            <v>24-ORISSA</v>
          </cell>
        </row>
        <row r="103">
          <cell r="B103" t="str">
            <v>25-PONDICHERRY</v>
          </cell>
        </row>
        <row r="104">
          <cell r="B104" t="str">
            <v>26-PUNJAB</v>
          </cell>
        </row>
        <row r="105">
          <cell r="B105" t="str">
            <v>27-RAJASTHAN</v>
          </cell>
        </row>
        <row r="106">
          <cell r="B106" t="str">
            <v>28-SIKKIM</v>
          </cell>
        </row>
        <row r="107">
          <cell r="B107" t="str">
            <v>29-TAMILNADU</v>
          </cell>
        </row>
        <row r="108">
          <cell r="B108" t="str">
            <v>30-TRIPURA</v>
          </cell>
        </row>
        <row r="109">
          <cell r="B109" t="str">
            <v>31-UTTAR PRADESH</v>
          </cell>
        </row>
        <row r="110">
          <cell r="B110" t="str">
            <v>32-WEST BENGAL</v>
          </cell>
        </row>
        <row r="111">
          <cell r="B111" t="str">
            <v>33-CHHATISHGARH</v>
          </cell>
        </row>
        <row r="112">
          <cell r="B112" t="str">
            <v>34-UTTARANCHAL</v>
          </cell>
        </row>
        <row r="113">
          <cell r="B113" t="str">
            <v>35-JHARKHAND</v>
          </cell>
        </row>
        <row r="114">
          <cell r="B114" t="str">
            <v>99-FOREIGN</v>
          </cell>
        </row>
      </sheetData>
      <sheetData sheetId="23">
        <row r="8">
          <cell r="I8">
            <v>0</v>
          </cell>
        </row>
        <row r="24">
          <cell r="I24">
            <v>0</v>
          </cell>
        </row>
        <row r="38">
          <cell r="I38">
            <v>0</v>
          </cell>
        </row>
        <row r="39">
          <cell r="I39">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5">
          <cell r="G55">
            <v>262500</v>
          </cell>
        </row>
      </sheetData>
      <sheetData sheetId="24">
        <row r="1">
          <cell r="L1">
            <v>0</v>
          </cell>
          <cell r="M1">
            <v>0</v>
          </cell>
        </row>
        <row r="11">
          <cell r="M11">
            <v>0</v>
          </cell>
          <cell r="BC11">
            <v>1</v>
          </cell>
        </row>
        <row r="12">
          <cell r="C12">
            <v>21</v>
          </cell>
          <cell r="E12">
            <v>0</v>
          </cell>
          <cell r="G12">
            <v>0</v>
          </cell>
          <cell r="L12">
            <v>6</v>
          </cell>
          <cell r="O12">
            <v>0</v>
          </cell>
          <cell r="BC12" t="str">
            <v>1A</v>
          </cell>
        </row>
        <row r="13">
          <cell r="C13" t="str">
            <v>1A</v>
          </cell>
          <cell r="E13">
            <v>0</v>
          </cell>
          <cell r="G13">
            <v>0</v>
          </cell>
          <cell r="L13">
            <v>4</v>
          </cell>
          <cell r="O13">
            <v>0</v>
          </cell>
          <cell r="BC13">
            <v>21</v>
          </cell>
        </row>
        <row r="14">
          <cell r="C14">
            <v>22</v>
          </cell>
          <cell r="E14">
            <v>0</v>
          </cell>
          <cell r="G14">
            <v>0</v>
          </cell>
          <cell r="L14">
            <v>3</v>
          </cell>
          <cell r="O14">
            <v>0</v>
          </cell>
          <cell r="BC14">
            <v>22</v>
          </cell>
        </row>
        <row r="15">
          <cell r="C15" t="str">
            <v>5BB</v>
          </cell>
          <cell r="E15">
            <v>0</v>
          </cell>
          <cell r="G15">
            <v>0</v>
          </cell>
          <cell r="L15">
            <v>0</v>
          </cell>
          <cell r="O15">
            <v>0</v>
          </cell>
          <cell r="BC15" t="str">
            <v>5A1a</v>
          </cell>
        </row>
        <row r="16">
          <cell r="C16">
            <v>1</v>
          </cell>
          <cell r="E16">
            <v>0</v>
          </cell>
          <cell r="G16">
            <v>0</v>
          </cell>
          <cell r="L16">
            <v>0</v>
          </cell>
          <cell r="O16">
            <v>0</v>
          </cell>
          <cell r="BC16" t="str">
            <v>FA</v>
          </cell>
        </row>
        <row r="17">
          <cell r="C17" t="str">
            <v>DTAA</v>
          </cell>
          <cell r="E17">
            <v>0</v>
          </cell>
          <cell r="G17">
            <v>0</v>
          </cell>
          <cell r="L17">
            <v>0</v>
          </cell>
          <cell r="O17">
            <v>0</v>
          </cell>
          <cell r="BC17" t="str">
            <v>5A1b1</v>
          </cell>
        </row>
        <row r="18">
          <cell r="C18" t="str">
            <v>4A1</v>
          </cell>
          <cell r="E18">
            <v>0</v>
          </cell>
          <cell r="G18">
            <v>0</v>
          </cell>
          <cell r="L18">
            <v>0</v>
          </cell>
          <cell r="BC18" t="str">
            <v>5A1b2</v>
          </cell>
        </row>
        <row r="19">
          <cell r="C19" t="str">
            <v>5A1b2</v>
          </cell>
          <cell r="E19">
            <v>0</v>
          </cell>
          <cell r="G19">
            <v>0</v>
          </cell>
          <cell r="L19">
            <v>62</v>
          </cell>
          <cell r="BC19" t="str">
            <v>5A1b3</v>
          </cell>
        </row>
        <row r="20">
          <cell r="C20" t="str">
            <v>7A</v>
          </cell>
          <cell r="E20">
            <v>0</v>
          </cell>
          <cell r="G20">
            <v>0</v>
          </cell>
          <cell r="L20">
            <v>0</v>
          </cell>
          <cell r="BC20" t="str">
            <v>5AB1a</v>
          </cell>
        </row>
        <row r="21">
          <cell r="C21" t="str">
            <v>5A1b1</v>
          </cell>
          <cell r="E21">
            <v>0</v>
          </cell>
          <cell r="G21">
            <v>0</v>
          </cell>
          <cell r="L21">
            <v>61</v>
          </cell>
          <cell r="BC21" t="str">
            <v>5AB1b</v>
          </cell>
        </row>
        <row r="22">
          <cell r="G22">
            <v>0</v>
          </cell>
          <cell r="BC22" t="str">
            <v>5AC</v>
          </cell>
        </row>
        <row r="23">
          <cell r="BC23" t="str">
            <v>5ACA</v>
          </cell>
        </row>
        <row r="24">
          <cell r="BC24" t="str">
            <v>5B</v>
          </cell>
        </row>
        <row r="25">
          <cell r="BC25" t="str">
            <v>5BB</v>
          </cell>
        </row>
        <row r="26">
          <cell r="BC26" t="str">
            <v>5BBA</v>
          </cell>
        </row>
        <row r="27">
          <cell r="BC27" t="str">
            <v>5BBB</v>
          </cell>
        </row>
        <row r="28">
          <cell r="BC28" t="str">
            <v>5BBC</v>
          </cell>
        </row>
        <row r="29">
          <cell r="BC29" t="str">
            <v>5Ea</v>
          </cell>
        </row>
        <row r="30">
          <cell r="BC30" t="str">
            <v>5Eb</v>
          </cell>
        </row>
        <row r="31">
          <cell r="BC31" t="str">
            <v>5ACA</v>
          </cell>
        </row>
        <row r="32">
          <cell r="BC32" t="str">
            <v>5A1BA</v>
          </cell>
        </row>
        <row r="33">
          <cell r="BC33" t="str">
            <v>5BBD</v>
          </cell>
        </row>
      </sheetData>
      <sheetData sheetId="25">
        <row r="40">
          <cell r="H40">
            <v>44782777</v>
          </cell>
        </row>
        <row r="41">
          <cell r="H41">
            <v>92456880</v>
          </cell>
        </row>
        <row r="53">
          <cell r="H53">
            <v>0</v>
          </cell>
        </row>
      </sheetData>
      <sheetData sheetId="26">
        <row r="2">
          <cell r="P2">
            <v>1</v>
          </cell>
          <cell r="Q2">
            <v>1</v>
          </cell>
        </row>
        <row r="3">
          <cell r="P3">
            <v>2</v>
          </cell>
          <cell r="Q3">
            <v>2</v>
          </cell>
        </row>
        <row r="43">
          <cell r="J43">
            <v>0</v>
          </cell>
        </row>
        <row r="44">
          <cell r="J44">
            <v>0</v>
          </cell>
        </row>
        <row r="45">
          <cell r="J45">
            <v>0</v>
          </cell>
        </row>
      </sheetData>
      <sheetData sheetId="27">
        <row r="3">
          <cell r="X3">
            <v>0</v>
          </cell>
          <cell r="Y3">
            <v>0</v>
          </cell>
          <cell r="Z3">
            <v>0</v>
          </cell>
          <cell r="AA3">
            <v>0</v>
          </cell>
          <cell r="AB3">
            <v>0</v>
          </cell>
        </row>
        <row r="4">
          <cell r="S4" t="e">
            <v>#VALUE!</v>
          </cell>
          <cell r="T4" t="e">
            <v>#VALUE!</v>
          </cell>
          <cell r="U4" t="e">
            <v>#VALUE!</v>
          </cell>
        </row>
        <row r="5">
          <cell r="S5" t="e">
            <v>#VALUE!</v>
          </cell>
          <cell r="T5" t="e">
            <v>#VALUE!</v>
          </cell>
          <cell r="U5" t="e">
            <v>#VALUE!</v>
          </cell>
        </row>
        <row r="6">
          <cell r="S6" t="e">
            <v>#VALUE!</v>
          </cell>
          <cell r="T6" t="e">
            <v>#VALUE!</v>
          </cell>
          <cell r="U6" t="e">
            <v>#VALUE!</v>
          </cell>
        </row>
        <row r="7">
          <cell r="S7" t="e">
            <v>#VALUE!</v>
          </cell>
          <cell r="T7" t="e">
            <v>#VALUE!</v>
          </cell>
          <cell r="U7" t="e">
            <v>#VALUE!</v>
          </cell>
        </row>
        <row r="8">
          <cell r="S8" t="e">
            <v>#VALUE!</v>
          </cell>
          <cell r="T8" t="e">
            <v>#VALUE!</v>
          </cell>
          <cell r="U8" t="e">
            <v>#VALUE!</v>
          </cell>
        </row>
        <row r="9">
          <cell r="S9" t="e">
            <v>#VALUE!</v>
          </cell>
          <cell r="T9" t="e">
            <v>#VALUE!</v>
          </cell>
          <cell r="U9" t="e">
            <v>#VALUE!</v>
          </cell>
        </row>
        <row r="29">
          <cell r="X29">
            <v>0</v>
          </cell>
          <cell r="Y29">
            <v>0</v>
          </cell>
          <cell r="Z29">
            <v>0</v>
          </cell>
          <cell r="AA29">
            <v>0</v>
          </cell>
          <cell r="AB29">
            <v>0</v>
          </cell>
        </row>
        <row r="30">
          <cell r="S30" t="e">
            <v>#VALUE!</v>
          </cell>
          <cell r="T30" t="e">
            <v>#VALUE!</v>
          </cell>
          <cell r="U30" t="e">
            <v>#VALUE!</v>
          </cell>
        </row>
        <row r="31">
          <cell r="S31" t="e">
            <v>#VALUE!</v>
          </cell>
          <cell r="T31" t="e">
            <v>#VALUE!</v>
          </cell>
          <cell r="U31" t="e">
            <v>#VALUE!</v>
          </cell>
        </row>
        <row r="32">
          <cell r="S32" t="e">
            <v>#VALUE!</v>
          </cell>
          <cell r="T32" t="e">
            <v>#VALUE!</v>
          </cell>
          <cell r="U32" t="e">
            <v>#VALUE!</v>
          </cell>
        </row>
        <row r="33">
          <cell r="S33" t="e">
            <v>#VALUE!</v>
          </cell>
          <cell r="T33" t="e">
            <v>#VALUE!</v>
          </cell>
          <cell r="U33" t="e">
            <v>#VALUE!</v>
          </cell>
        </row>
        <row r="34">
          <cell r="S34" t="e">
            <v>#VALUE!</v>
          </cell>
          <cell r="T34" t="e">
            <v>#VALUE!</v>
          </cell>
          <cell r="U34" t="e">
            <v>#VALUE!</v>
          </cell>
        </row>
        <row r="35">
          <cell r="S35" t="e">
            <v>#VALUE!</v>
          </cell>
          <cell r="T35" t="e">
            <v>#VALUE!</v>
          </cell>
          <cell r="U35" t="e">
            <v>#VALUE!</v>
          </cell>
        </row>
        <row r="44">
          <cell r="F44">
            <v>5069213</v>
          </cell>
        </row>
      </sheetData>
      <sheetData sheetId="28">
        <row r="8">
          <cell r="I8">
            <v>0</v>
          </cell>
        </row>
        <row r="9">
          <cell r="I9">
            <v>0</v>
          </cell>
        </row>
        <row r="10">
          <cell r="I10">
            <v>0</v>
          </cell>
        </row>
        <row r="11">
          <cell r="I11">
            <v>0</v>
          </cell>
        </row>
        <row r="12">
          <cell r="I12">
            <v>0</v>
          </cell>
        </row>
        <row r="13">
          <cell r="I13">
            <v>0</v>
          </cell>
        </row>
        <row r="16">
          <cell r="I16">
            <v>0</v>
          </cell>
        </row>
        <row r="17">
          <cell r="I17">
            <v>0</v>
          </cell>
        </row>
        <row r="400">
          <cell r="B400" t="str">
            <v xml:space="preserve"> AFGHANISTAN:93</v>
          </cell>
        </row>
        <row r="401">
          <cell r="B401" t="str">
            <v xml:space="preserve"> ALASKA :1907</v>
          </cell>
        </row>
        <row r="402">
          <cell r="B402" t="str">
            <v xml:space="preserve"> ALBANIA :355</v>
          </cell>
        </row>
        <row r="403">
          <cell r="B403" t="str">
            <v xml:space="preserve"> ALGERIA :213</v>
          </cell>
        </row>
        <row r="404">
          <cell r="B404" t="str">
            <v xml:space="preserve"> ANDORRA :376</v>
          </cell>
        </row>
        <row r="405">
          <cell r="B405" t="str">
            <v xml:space="preserve"> ANGOLA:244</v>
          </cell>
        </row>
        <row r="406">
          <cell r="B406" t="str">
            <v xml:space="preserve"> ANGUILLA:1264</v>
          </cell>
        </row>
        <row r="407">
          <cell r="B407" t="str">
            <v xml:space="preserve"> ANTIGUA :1268</v>
          </cell>
        </row>
        <row r="408">
          <cell r="B408" t="str">
            <v xml:space="preserve"> ARGENTINA :54</v>
          </cell>
        </row>
        <row r="409">
          <cell r="B409" t="str">
            <v xml:space="preserve"> ARMENIA :374</v>
          </cell>
        </row>
        <row r="410">
          <cell r="B410" t="str">
            <v xml:space="preserve"> ARUBA :297</v>
          </cell>
        </row>
        <row r="411">
          <cell r="B411" t="str">
            <v xml:space="preserve"> ASCENSION:247</v>
          </cell>
        </row>
        <row r="412">
          <cell r="B412" t="str">
            <v xml:space="preserve"> AUSTRALIA :61</v>
          </cell>
        </row>
        <row r="413">
          <cell r="B413" t="str">
            <v xml:space="preserve"> AUSTRIA :43</v>
          </cell>
        </row>
        <row r="414">
          <cell r="B414" t="str">
            <v xml:space="preserve"> AZERBAIJAN REPUBLIC:994</v>
          </cell>
        </row>
        <row r="415">
          <cell r="B415" t="str">
            <v xml:space="preserve"> AZORES:351</v>
          </cell>
        </row>
        <row r="416">
          <cell r="B416" t="str">
            <v xml:space="preserve"> BAHAMAS:1242</v>
          </cell>
        </row>
        <row r="417">
          <cell r="B417" t="str">
            <v xml:space="preserve"> BAHARIN :973</v>
          </cell>
        </row>
        <row r="418">
          <cell r="B418" t="str">
            <v xml:space="preserve"> BANGLADESH:880</v>
          </cell>
        </row>
        <row r="419">
          <cell r="B419" t="str">
            <v xml:space="preserve"> BARBADOS :1246</v>
          </cell>
        </row>
        <row r="420">
          <cell r="B420" t="str">
            <v xml:space="preserve"> BELARUS :375</v>
          </cell>
        </row>
        <row r="421">
          <cell r="B421" t="str">
            <v xml:space="preserve"> BELGIUM :32</v>
          </cell>
        </row>
        <row r="422">
          <cell r="B422" t="str">
            <v xml:space="preserve"> BELIZE:501</v>
          </cell>
        </row>
        <row r="423">
          <cell r="B423" t="str">
            <v xml:space="preserve"> BENIN :229</v>
          </cell>
        </row>
        <row r="424">
          <cell r="B424" t="str">
            <v xml:space="preserve"> BHUTAN :975</v>
          </cell>
        </row>
        <row r="425">
          <cell r="B425" t="str">
            <v xml:space="preserve"> BOLIVIA :591</v>
          </cell>
        </row>
        <row r="426">
          <cell r="B426" t="str">
            <v xml:space="preserve"> BOSNIA &amp; HERZEGOVINA :387</v>
          </cell>
        </row>
        <row r="427">
          <cell r="B427" t="str">
            <v xml:space="preserve"> BOTSWANA, REPUBLIC OF:267</v>
          </cell>
        </row>
        <row r="428">
          <cell r="B428" t="str">
            <v xml:space="preserve"> BRAZIL:55</v>
          </cell>
        </row>
        <row r="429">
          <cell r="B429" t="str">
            <v xml:space="preserve"> BRUNEI :673</v>
          </cell>
        </row>
        <row r="430">
          <cell r="B430" t="str">
            <v xml:space="preserve"> BULGARIA :359</v>
          </cell>
        </row>
        <row r="431">
          <cell r="B431" t="str">
            <v xml:space="preserve"> BURKINA FASSO :226</v>
          </cell>
        </row>
        <row r="432">
          <cell r="B432" t="str">
            <v xml:space="preserve"> BURUNDI :257</v>
          </cell>
        </row>
        <row r="433">
          <cell r="B433" t="str">
            <v xml:space="preserve"> CANADA :1</v>
          </cell>
        </row>
        <row r="434">
          <cell r="B434" t="str">
            <v xml:space="preserve"> CANARY ISLAND :34</v>
          </cell>
        </row>
        <row r="435">
          <cell r="B435" t="str">
            <v xml:space="preserve"> CAPE VERDE :238</v>
          </cell>
        </row>
        <row r="436">
          <cell r="B436" t="str">
            <v xml:space="preserve"> CAYMAN ISLAND :1345</v>
          </cell>
        </row>
        <row r="437">
          <cell r="B437" t="str">
            <v xml:space="preserve"> CENTRAL AFRICAN REPUBLIC:236</v>
          </cell>
        </row>
        <row r="438">
          <cell r="B438" t="str">
            <v xml:space="preserve"> CHILE :56</v>
          </cell>
        </row>
        <row r="439">
          <cell r="B439" t="str">
            <v xml:space="preserve"> CHINA:86</v>
          </cell>
        </row>
        <row r="440">
          <cell r="B440" t="str">
            <v xml:space="preserve"> CHRISTMAS ISLAND :61</v>
          </cell>
        </row>
        <row r="441">
          <cell r="B441" t="str">
            <v xml:space="preserve"> CISKEI :27</v>
          </cell>
        </row>
        <row r="442">
          <cell r="B442" t="str">
            <v xml:space="preserve"> COCOSKEELING ISLAND :672</v>
          </cell>
        </row>
        <row r="443">
          <cell r="B443" t="str">
            <v xml:space="preserve"> COLOMBIA:57</v>
          </cell>
        </row>
        <row r="444">
          <cell r="B444" t="str">
            <v xml:space="preserve"> COOK ISLAND :682</v>
          </cell>
        </row>
        <row r="445">
          <cell r="B445" t="str">
            <v xml:space="preserve"> COSTA RICA :506</v>
          </cell>
        </row>
        <row r="446">
          <cell r="B446" t="str">
            <v xml:space="preserve"> CROATIA :385</v>
          </cell>
        </row>
        <row r="447">
          <cell r="B447" t="str">
            <v xml:space="preserve"> CUBA :53</v>
          </cell>
        </row>
        <row r="448">
          <cell r="B448" t="str">
            <v xml:space="preserve"> CYPRUS :357</v>
          </cell>
        </row>
        <row r="449">
          <cell r="B449" t="str">
            <v xml:space="preserve"> CZECH REPUBLIC :420</v>
          </cell>
        </row>
        <row r="450">
          <cell r="B450" t="str">
            <v xml:space="preserve"> DIEGO GARCIA:246</v>
          </cell>
        </row>
        <row r="451">
          <cell r="B451" t="str">
            <v xml:space="preserve"> DJIBOUTI :253</v>
          </cell>
        </row>
        <row r="452">
          <cell r="B452" t="str">
            <v xml:space="preserve"> DOMANICCAN REPUBLIC :1809</v>
          </cell>
        </row>
        <row r="453">
          <cell r="B453" t="str">
            <v xml:space="preserve"> DOMINICA ISLAND:1767</v>
          </cell>
        </row>
        <row r="454">
          <cell r="B454" t="str">
            <v xml:space="preserve"> EAST TIMOR :670</v>
          </cell>
        </row>
        <row r="455">
          <cell r="B455" t="str">
            <v xml:space="preserve"> EGYPT:20</v>
          </cell>
        </row>
        <row r="456">
          <cell r="B456" t="str">
            <v xml:space="preserve"> EL SALVADOR :503</v>
          </cell>
        </row>
        <row r="457">
          <cell r="B457" t="str">
            <v xml:space="preserve"> EQUATORIAL GUINEA:240</v>
          </cell>
        </row>
        <row r="458">
          <cell r="B458" t="str">
            <v xml:space="preserve"> ERITREA :291</v>
          </cell>
        </row>
        <row r="459">
          <cell r="B459" t="str">
            <v xml:space="preserve"> ESTONIA :372</v>
          </cell>
        </row>
        <row r="460">
          <cell r="B460" t="str">
            <v xml:space="preserve"> ETHIOPIA :251</v>
          </cell>
        </row>
        <row r="461">
          <cell r="B461" t="str">
            <v xml:space="preserve"> FALKLAND ISLAND :500</v>
          </cell>
        </row>
        <row r="462">
          <cell r="B462" t="str">
            <v xml:space="preserve"> FAROE ISLAND :298</v>
          </cell>
        </row>
        <row r="463">
          <cell r="B463" t="str">
            <v xml:space="preserve"> FIJI REPUBLIC:679</v>
          </cell>
        </row>
        <row r="464">
          <cell r="B464" t="str">
            <v xml:space="preserve"> FINLAND :358</v>
          </cell>
        </row>
        <row r="465">
          <cell r="B465" t="str">
            <v xml:space="preserve"> FR POLYNESIA :689</v>
          </cell>
        </row>
        <row r="466">
          <cell r="B466" t="str">
            <v xml:space="preserve"> FRANCE:33</v>
          </cell>
        </row>
        <row r="467">
          <cell r="B467" t="str">
            <v xml:space="preserve"> FRENCH GUIANA :594</v>
          </cell>
        </row>
        <row r="468">
          <cell r="B468" t="str">
            <v xml:space="preserve"> GABONESE REPUBLIC :241</v>
          </cell>
        </row>
        <row r="469">
          <cell r="B469" t="str">
            <v xml:space="preserve"> GAMBIA :220</v>
          </cell>
        </row>
        <row r="470">
          <cell r="B470" t="str">
            <v xml:space="preserve"> GEORGIA :995</v>
          </cell>
        </row>
        <row r="471">
          <cell r="B471" t="str">
            <v xml:space="preserve"> GIBRALTOR :350</v>
          </cell>
        </row>
        <row r="472">
          <cell r="B472" t="str">
            <v xml:space="preserve"> GREENLAND:299</v>
          </cell>
        </row>
        <row r="473">
          <cell r="B473" t="str">
            <v xml:space="preserve"> GUADELOPE :590</v>
          </cell>
        </row>
        <row r="474">
          <cell r="B474" t="str">
            <v xml:space="preserve"> GUATEMALA :502</v>
          </cell>
        </row>
        <row r="475">
          <cell r="B475" t="str">
            <v xml:space="preserve"> GUINEA BISSAU :245</v>
          </cell>
        </row>
        <row r="476">
          <cell r="B476" t="str">
            <v xml:space="preserve"> GUINEA REPUBLIC :224</v>
          </cell>
        </row>
        <row r="477">
          <cell r="B477" t="str">
            <v xml:space="preserve"> GUYANA REPUBLIC:592</v>
          </cell>
        </row>
        <row r="478">
          <cell r="B478" t="str">
            <v xml:space="preserve"> HAITI REPUBLIC :509</v>
          </cell>
        </row>
        <row r="479">
          <cell r="B479" t="str">
            <v xml:space="preserve"> HAWAII :1808</v>
          </cell>
        </row>
        <row r="480">
          <cell r="B480" t="str">
            <v xml:space="preserve"> HUNGARY :36</v>
          </cell>
        </row>
        <row r="481">
          <cell r="B481" t="str">
            <v xml:space="preserve"> ICELAND :354</v>
          </cell>
        </row>
        <row r="482">
          <cell r="B482" t="str">
            <v xml:space="preserve"> INDONESIA:62</v>
          </cell>
        </row>
        <row r="483">
          <cell r="B483" t="str">
            <v xml:space="preserve"> IRAN :98</v>
          </cell>
        </row>
        <row r="484">
          <cell r="B484" t="str">
            <v xml:space="preserve"> IRAQ :964</v>
          </cell>
        </row>
        <row r="485">
          <cell r="B485" t="str">
            <v xml:space="preserve"> IRELAND :353</v>
          </cell>
        </row>
        <row r="486">
          <cell r="B486" t="str">
            <v xml:space="preserve"> ISRAEL :972</v>
          </cell>
        </row>
        <row r="487">
          <cell r="B487" t="str">
            <v xml:space="preserve"> ITALY:39</v>
          </cell>
        </row>
        <row r="488">
          <cell r="B488" t="str">
            <v xml:space="preserve"> IVORY COAST (COTE D' IVORIE):225</v>
          </cell>
        </row>
        <row r="489">
          <cell r="B489" t="str">
            <v xml:space="preserve"> JAMAICA :1876</v>
          </cell>
        </row>
        <row r="490">
          <cell r="B490" t="str">
            <v xml:space="preserve"> JAPAN :81</v>
          </cell>
        </row>
        <row r="491">
          <cell r="B491" t="str">
            <v xml:space="preserve"> JORDAN :962</v>
          </cell>
        </row>
        <row r="492">
          <cell r="B492" t="str">
            <v xml:space="preserve"> KAMPUCHEA (CAMBODIA) :855</v>
          </cell>
        </row>
        <row r="493">
          <cell r="B493" t="str">
            <v xml:space="preserve"> KAZAKISTAN :7</v>
          </cell>
        </row>
        <row r="494">
          <cell r="B494" t="str">
            <v xml:space="preserve"> KENYA :254</v>
          </cell>
        </row>
        <row r="495">
          <cell r="B495" t="str">
            <v xml:space="preserve"> KIRGHISTAN:996</v>
          </cell>
        </row>
        <row r="496">
          <cell r="B496" t="str">
            <v xml:space="preserve"> KIRIBATI :686</v>
          </cell>
        </row>
        <row r="497">
          <cell r="B497" t="str">
            <v xml:space="preserve"> KUWAIT :965</v>
          </cell>
        </row>
        <row r="498">
          <cell r="B498" t="str">
            <v xml:space="preserve"> LAOS :856</v>
          </cell>
        </row>
        <row r="499">
          <cell r="B499" t="str">
            <v xml:space="preserve"> LATVIA:371</v>
          </cell>
        </row>
        <row r="500">
          <cell r="B500" t="str">
            <v xml:space="preserve"> LEBANON :961</v>
          </cell>
        </row>
        <row r="501">
          <cell r="B501" t="str">
            <v xml:space="preserve"> LESOTHO :266</v>
          </cell>
        </row>
        <row r="502">
          <cell r="B502" t="str">
            <v xml:space="preserve"> LIBERIA :231</v>
          </cell>
        </row>
        <row r="503">
          <cell r="B503" t="str">
            <v xml:space="preserve"> LIBYA :218</v>
          </cell>
        </row>
        <row r="504">
          <cell r="B504" t="str">
            <v xml:space="preserve"> LIECHTENSTEIN :423</v>
          </cell>
        </row>
        <row r="505">
          <cell r="B505" t="str">
            <v xml:space="preserve"> LITHVANIA:370</v>
          </cell>
        </row>
        <row r="506">
          <cell r="B506" t="str">
            <v xml:space="preserve"> MACEDONIA :389</v>
          </cell>
        </row>
        <row r="507">
          <cell r="B507" t="str">
            <v xml:space="preserve"> MADEIRA ISLAND :351</v>
          </cell>
        </row>
        <row r="508">
          <cell r="B508" t="str">
            <v xml:space="preserve"> MALAWI :265</v>
          </cell>
        </row>
        <row r="509">
          <cell r="B509" t="str">
            <v xml:space="preserve"> MALAYSIA :60</v>
          </cell>
        </row>
        <row r="510">
          <cell r="B510" t="str">
            <v xml:space="preserve"> MALDIVES:960</v>
          </cell>
        </row>
        <row r="511">
          <cell r="B511" t="str">
            <v xml:space="preserve"> MALI :223</v>
          </cell>
        </row>
        <row r="512">
          <cell r="B512" t="str">
            <v xml:space="preserve"> MALTA :356</v>
          </cell>
        </row>
        <row r="513">
          <cell r="B513" t="str">
            <v xml:space="preserve"> MANGOLIA :976</v>
          </cell>
        </row>
        <row r="514">
          <cell r="B514" t="str">
            <v xml:space="preserve"> MARIANA ISLAND :1670</v>
          </cell>
        </row>
        <row r="515">
          <cell r="B515" t="str">
            <v xml:space="preserve"> MARSHALL ISLAND :692</v>
          </cell>
        </row>
        <row r="516">
          <cell r="B516" t="str">
            <v xml:space="preserve"> MARTINIQUE :596</v>
          </cell>
        </row>
        <row r="517">
          <cell r="B517" t="str">
            <v xml:space="preserve"> MAURITANIA :222</v>
          </cell>
        </row>
        <row r="518">
          <cell r="B518" t="str">
            <v xml:space="preserve"> MAURITIUS:230</v>
          </cell>
        </row>
        <row r="519">
          <cell r="B519" t="str">
            <v xml:space="preserve"> MAYOTTE :269</v>
          </cell>
        </row>
        <row r="520">
          <cell r="B520" t="str">
            <v xml:space="preserve"> MEXICO:52</v>
          </cell>
        </row>
        <row r="521">
          <cell r="B521" t="str">
            <v xml:space="preserve"> MICRONESIA :691</v>
          </cell>
        </row>
        <row r="522">
          <cell r="B522" t="str">
            <v xml:space="preserve"> MONTSERRAT :1664</v>
          </cell>
        </row>
        <row r="523">
          <cell r="B523" t="str">
            <v xml:space="preserve"> MOZAMBIQUE :258</v>
          </cell>
        </row>
        <row r="524">
          <cell r="B524" t="str">
            <v xml:space="preserve"> NAMIBIA :264</v>
          </cell>
        </row>
        <row r="525">
          <cell r="B525" t="str">
            <v xml:space="preserve"> NEPAL :977</v>
          </cell>
        </row>
        <row r="526">
          <cell r="B526" t="str">
            <v xml:space="preserve"> NETHERLANDS :31</v>
          </cell>
        </row>
        <row r="527">
          <cell r="B527" t="str">
            <v xml:space="preserve"> NETHERLANDS ANTHILLES :599</v>
          </cell>
        </row>
        <row r="528">
          <cell r="B528" t="str">
            <v xml:space="preserve"> NEW CALEDONIA :687</v>
          </cell>
        </row>
        <row r="529">
          <cell r="B529" t="str">
            <v xml:space="preserve"> NEW ZEALAND:64</v>
          </cell>
        </row>
        <row r="530">
          <cell r="B530" t="str">
            <v xml:space="preserve"> NICARAGUA:505</v>
          </cell>
        </row>
        <row r="531">
          <cell r="B531" t="str">
            <v xml:space="preserve"> NIGER :227</v>
          </cell>
        </row>
        <row r="532">
          <cell r="B532" t="str">
            <v xml:space="preserve"> NIGERIA :234</v>
          </cell>
        </row>
        <row r="533">
          <cell r="B533" t="str">
            <v xml:space="preserve"> NIUE ISLAND :683</v>
          </cell>
        </row>
        <row r="534">
          <cell r="B534" t="str">
            <v xml:space="preserve"> NORFORK ISLAND:672</v>
          </cell>
        </row>
        <row r="535">
          <cell r="B535" t="str">
            <v xml:space="preserve"> NORTH KOREA:850</v>
          </cell>
        </row>
        <row r="536">
          <cell r="B536" t="str">
            <v xml:space="preserve"> PAKISTAN:92</v>
          </cell>
        </row>
        <row r="537">
          <cell r="B537" t="str">
            <v xml:space="preserve"> PALAU :680</v>
          </cell>
        </row>
        <row r="538">
          <cell r="B538" t="str">
            <v xml:space="preserve"> PALESTINE:970</v>
          </cell>
        </row>
        <row r="539">
          <cell r="B539" t="str">
            <v xml:space="preserve"> PANAMA :507</v>
          </cell>
        </row>
        <row r="540">
          <cell r="B540" t="str">
            <v xml:space="preserve"> PAPUA NEW GUINEA :675</v>
          </cell>
        </row>
        <row r="541">
          <cell r="B541" t="str">
            <v xml:space="preserve"> PARAGUAY :595</v>
          </cell>
        </row>
        <row r="542">
          <cell r="B542" t="str">
            <v xml:space="preserve"> PERU :51</v>
          </cell>
        </row>
        <row r="543">
          <cell r="B543" t="str">
            <v xml:space="preserve"> PHILIPPINES:63</v>
          </cell>
        </row>
        <row r="544">
          <cell r="B544" t="str">
            <v xml:space="preserve"> POLAND :48</v>
          </cell>
        </row>
        <row r="545">
          <cell r="B545" t="str">
            <v xml:space="preserve"> PORTUGAL:351</v>
          </cell>
        </row>
        <row r="546">
          <cell r="B546" t="str">
            <v xml:space="preserve"> PUERTO RICO:1787</v>
          </cell>
        </row>
        <row r="547">
          <cell r="B547" t="str">
            <v xml:space="preserve"> QATAR :974</v>
          </cell>
        </row>
        <row r="548">
          <cell r="B548" t="str">
            <v xml:space="preserve"> REUNION :262</v>
          </cell>
        </row>
        <row r="549">
          <cell r="B549" t="str">
            <v xml:space="preserve"> RODRIGUES ISLAND :230</v>
          </cell>
        </row>
        <row r="550">
          <cell r="B550" t="str">
            <v xml:space="preserve"> ROMANIA:40</v>
          </cell>
        </row>
        <row r="551">
          <cell r="B551" t="str">
            <v xml:space="preserve"> RUSSIA:7</v>
          </cell>
        </row>
        <row r="552">
          <cell r="B552" t="str">
            <v xml:space="preserve"> RWANDESE REPUBLIC:250</v>
          </cell>
        </row>
        <row r="553">
          <cell r="B553" t="str">
            <v xml:space="preserve"> SAMOA AMERICAN:684</v>
          </cell>
        </row>
        <row r="554">
          <cell r="B554" t="str">
            <v xml:space="preserve"> SAMOA WESTERN :685</v>
          </cell>
        </row>
        <row r="555">
          <cell r="B555" t="str">
            <v xml:space="preserve"> SAN MARINO:378</v>
          </cell>
        </row>
        <row r="556">
          <cell r="B556" t="str">
            <v xml:space="preserve"> SAUDI ARABIA:966</v>
          </cell>
        </row>
        <row r="557">
          <cell r="B557" t="str">
            <v xml:space="preserve"> SENEGAL:221</v>
          </cell>
        </row>
        <row r="558">
          <cell r="B558" t="str">
            <v xml:space="preserve"> SEYCHELLES :248</v>
          </cell>
        </row>
        <row r="559">
          <cell r="B559" t="str">
            <v xml:space="preserve"> SIERRALEONE:232</v>
          </cell>
        </row>
        <row r="560">
          <cell r="B560" t="str">
            <v xml:space="preserve"> SINGAPORE :65</v>
          </cell>
        </row>
        <row r="561">
          <cell r="B561" t="str">
            <v xml:space="preserve"> SLOVAK REPUBLIC :421</v>
          </cell>
        </row>
        <row r="562">
          <cell r="B562" t="str">
            <v xml:space="preserve"> SLOVENIA:386</v>
          </cell>
        </row>
        <row r="563">
          <cell r="B563" t="str">
            <v xml:space="preserve"> SOLOMAN ISLAND :677</v>
          </cell>
        </row>
        <row r="564">
          <cell r="B564" t="str">
            <v xml:space="preserve"> SOMALIA DEMOCRATIC REPUBLIC :252</v>
          </cell>
        </row>
        <row r="565">
          <cell r="B565" t="str">
            <v xml:space="preserve"> SOUTH AFRICA :27</v>
          </cell>
        </row>
        <row r="566">
          <cell r="B566" t="str">
            <v xml:space="preserve"> SOUTH KOREA :82</v>
          </cell>
        </row>
        <row r="567">
          <cell r="B567" t="str">
            <v xml:space="preserve"> SPAIN :34</v>
          </cell>
        </row>
        <row r="568">
          <cell r="B568" t="str">
            <v xml:space="preserve"> SRILANKA :94</v>
          </cell>
        </row>
        <row r="569">
          <cell r="B569" t="str">
            <v xml:space="preserve"> ST. HELENA :290</v>
          </cell>
        </row>
        <row r="570">
          <cell r="B570" t="str">
            <v xml:space="preserve"> ST. KITTS/NAVIS ISLAND :1869</v>
          </cell>
        </row>
        <row r="571">
          <cell r="B571" t="str">
            <v xml:space="preserve"> ST. LUCIA :1758</v>
          </cell>
        </row>
        <row r="572">
          <cell r="B572" t="str">
            <v xml:space="preserve"> ST. PIERRE &amp; MIQUELIOM:508</v>
          </cell>
        </row>
        <row r="573">
          <cell r="B573" t="str">
            <v xml:space="preserve"> ST. TOME &amp; PRINCEP :239</v>
          </cell>
        </row>
        <row r="574">
          <cell r="B574" t="str">
            <v xml:space="preserve"> ST. VINCENT &amp; THE GRENADIAN:1784</v>
          </cell>
        </row>
        <row r="575">
          <cell r="B575" t="str">
            <v xml:space="preserve"> SUDAN :249</v>
          </cell>
        </row>
        <row r="576">
          <cell r="B576" t="str">
            <v xml:space="preserve"> SURINAM :597</v>
          </cell>
        </row>
        <row r="577">
          <cell r="B577" t="str">
            <v xml:space="preserve"> SWAZILAND :268</v>
          </cell>
        </row>
        <row r="578">
          <cell r="B578" t="str">
            <v xml:space="preserve"> SWITZERLAND:41</v>
          </cell>
        </row>
        <row r="579">
          <cell r="B579" t="str">
            <v xml:space="preserve"> SYRIA :963</v>
          </cell>
        </row>
        <row r="580">
          <cell r="B580" t="str">
            <v xml:space="preserve"> TAIWAN:886</v>
          </cell>
        </row>
        <row r="581">
          <cell r="B581" t="str">
            <v xml:space="preserve"> TANZANIA :255</v>
          </cell>
        </row>
        <row r="582">
          <cell r="B582" t="str">
            <v xml:space="preserve"> TAZAKISTAN :992</v>
          </cell>
        </row>
        <row r="583">
          <cell r="B583" t="str">
            <v xml:space="preserve"> THAILAND :66</v>
          </cell>
        </row>
        <row r="584">
          <cell r="B584" t="str">
            <v xml:space="preserve"> TOGOLESE REPUBLIC :228</v>
          </cell>
        </row>
        <row r="585">
          <cell r="B585" t="str">
            <v xml:space="preserve"> TOKELAU ISLAND :690</v>
          </cell>
        </row>
        <row r="586">
          <cell r="B586" t="str">
            <v xml:space="preserve"> TRANSKEI :27</v>
          </cell>
        </row>
        <row r="587">
          <cell r="B587" t="str">
            <v xml:space="preserve"> TRINIDAD &amp; TOBAGO:1868</v>
          </cell>
        </row>
        <row r="588">
          <cell r="B588" t="str">
            <v xml:space="preserve"> TUNISIA :216</v>
          </cell>
        </row>
        <row r="589">
          <cell r="B589" t="str">
            <v xml:space="preserve"> TURKEY :90</v>
          </cell>
        </row>
        <row r="590">
          <cell r="B590" t="str">
            <v xml:space="preserve"> TURKMENISTAN :993</v>
          </cell>
        </row>
        <row r="591">
          <cell r="B591" t="str">
            <v xml:space="preserve"> TURKS &amp; CAICOS ISLANDS :1649</v>
          </cell>
        </row>
        <row r="592">
          <cell r="B592" t="str">
            <v xml:space="preserve"> TUVALU :688</v>
          </cell>
        </row>
        <row r="593">
          <cell r="B593" t="str">
            <v xml:space="preserve"> UAE :971</v>
          </cell>
        </row>
        <row r="594">
          <cell r="B594" t="str">
            <v xml:space="preserve"> UK :44</v>
          </cell>
        </row>
        <row r="595">
          <cell r="B595" t="str">
            <v xml:space="preserve"> UKRAINE :380</v>
          </cell>
        </row>
        <row r="596">
          <cell r="B596" t="str">
            <v xml:space="preserve"> USA :1</v>
          </cell>
        </row>
        <row r="597">
          <cell r="B597" t="str">
            <v xml:space="preserve"> UZBEKISTAN :998</v>
          </cell>
        </row>
        <row r="598">
          <cell r="B598" t="str">
            <v xml:space="preserve"> VANAUTU :678</v>
          </cell>
        </row>
        <row r="599">
          <cell r="B599" t="str">
            <v xml:space="preserve"> VATICAN CITY :39</v>
          </cell>
        </row>
        <row r="600">
          <cell r="B600" t="str">
            <v xml:space="preserve"> VENDA :27</v>
          </cell>
        </row>
        <row r="601">
          <cell r="B601" t="str">
            <v xml:space="preserve"> VENEZUELA:58</v>
          </cell>
        </row>
        <row r="602">
          <cell r="B602" t="str">
            <v xml:space="preserve"> VIETNAM :84</v>
          </cell>
        </row>
        <row r="603">
          <cell r="B603" t="str">
            <v xml:space="preserve"> VIRGIN ISLAND (BRI) :1284</v>
          </cell>
        </row>
        <row r="604">
          <cell r="B604" t="str">
            <v xml:space="preserve"> VIRGIN ISLAND (USA):1340</v>
          </cell>
        </row>
        <row r="605">
          <cell r="B605" t="str">
            <v xml:space="preserve"> WALLIS &amp; FUTUNA ISLAND :681</v>
          </cell>
        </row>
        <row r="606">
          <cell r="B606" t="str">
            <v xml:space="preserve"> YUGOSLAVIA :381</v>
          </cell>
        </row>
        <row r="607">
          <cell r="B607" t="str">
            <v xml:space="preserve"> ZAIRE :243</v>
          </cell>
        </row>
        <row r="608">
          <cell r="B608" t="str">
            <v xml:space="preserve"> ZAMBIA :260</v>
          </cell>
        </row>
        <row r="609">
          <cell r="B609" t="str">
            <v xml:space="preserve"> ZIMBABWE :263</v>
          </cell>
        </row>
        <row r="610">
          <cell r="B610" t="str">
            <v>BERMUDA :1441</v>
          </cell>
        </row>
        <row r="611">
          <cell r="B611" t="str">
            <v>BOPUPATSWANA:27</v>
          </cell>
        </row>
        <row r="612">
          <cell r="B612" t="str">
            <v>CAMEROON :237</v>
          </cell>
        </row>
        <row r="613">
          <cell r="B613" t="str">
            <v>CHAD :235</v>
          </cell>
        </row>
        <row r="614">
          <cell r="B614" t="str">
            <v>COMOROS :269</v>
          </cell>
        </row>
        <row r="615">
          <cell r="B615" t="str">
            <v>CONGO :242</v>
          </cell>
        </row>
        <row r="616">
          <cell r="B616" t="str">
            <v>DENMARK :45</v>
          </cell>
        </row>
        <row r="617">
          <cell r="B617" t="str">
            <v>ECUADOR :593</v>
          </cell>
        </row>
        <row r="618">
          <cell r="B618" t="str">
            <v>GERMANY :49</v>
          </cell>
        </row>
        <row r="619">
          <cell r="B619" t="str">
            <v>GHANA :233</v>
          </cell>
        </row>
        <row r="620">
          <cell r="B620" t="str">
            <v>GREECE :30</v>
          </cell>
        </row>
        <row r="621">
          <cell r="B621" t="str">
            <v>GRENEDA :1473</v>
          </cell>
        </row>
        <row r="622">
          <cell r="B622" t="str">
            <v>GUAM :1671</v>
          </cell>
        </row>
        <row r="623">
          <cell r="B623" t="str">
            <v>HONDURAS :504</v>
          </cell>
        </row>
        <row r="624">
          <cell r="B624" t="str">
            <v>HONGKONG:852</v>
          </cell>
        </row>
        <row r="625">
          <cell r="B625" t="str">
            <v>LUXUMBURG:352</v>
          </cell>
        </row>
        <row r="626">
          <cell r="B626" t="str">
            <v>MACAO:853</v>
          </cell>
        </row>
        <row r="627">
          <cell r="B627" t="str">
            <v>MADAGASCAR:261</v>
          </cell>
        </row>
        <row r="628">
          <cell r="B628" t="str">
            <v>MOLDOVA :373</v>
          </cell>
        </row>
        <row r="629">
          <cell r="B629" t="str">
            <v>MONACO :377</v>
          </cell>
        </row>
        <row r="630">
          <cell r="B630" t="str">
            <v>MOROCCO :212</v>
          </cell>
        </row>
        <row r="631">
          <cell r="B631" t="str">
            <v>MYANMAR :95</v>
          </cell>
        </row>
        <row r="632">
          <cell r="B632" t="str">
            <v>NAURU :674</v>
          </cell>
        </row>
        <row r="633">
          <cell r="B633" t="str">
            <v>NORWAY :47</v>
          </cell>
        </row>
        <row r="634">
          <cell r="B634" t="str">
            <v>OMAN :968</v>
          </cell>
        </row>
        <row r="635">
          <cell r="B635" t="str">
            <v>SWEDEN :46</v>
          </cell>
        </row>
        <row r="636">
          <cell r="B636" t="str">
            <v>TONGA :676</v>
          </cell>
        </row>
        <row r="637">
          <cell r="B637" t="str">
            <v>UGANDA :256</v>
          </cell>
        </row>
        <row r="638">
          <cell r="B638" t="str">
            <v>URUGUAY:598</v>
          </cell>
        </row>
        <row r="639">
          <cell r="B639" t="str">
            <v>YEMEN :967</v>
          </cell>
        </row>
      </sheetData>
      <sheetData sheetId="29">
        <row r="13">
          <cell r="E13">
            <v>0</v>
          </cell>
          <cell r="F13">
            <v>0</v>
          </cell>
          <cell r="G13">
            <v>0</v>
          </cell>
        </row>
        <row r="16">
          <cell r="G16">
            <v>0</v>
          </cell>
        </row>
        <row r="17">
          <cell r="G17">
            <v>0</v>
          </cell>
        </row>
        <row r="400">
          <cell r="B400" t="str">
            <v xml:space="preserve"> AFGHANISTAN:93</v>
          </cell>
        </row>
        <row r="401">
          <cell r="B401" t="str">
            <v xml:space="preserve"> ALASKA :1907</v>
          </cell>
        </row>
        <row r="402">
          <cell r="B402" t="str">
            <v xml:space="preserve"> ALBANIA :355</v>
          </cell>
        </row>
        <row r="403">
          <cell r="B403" t="str">
            <v xml:space="preserve"> ALGERIA :213</v>
          </cell>
        </row>
        <row r="404">
          <cell r="B404" t="str">
            <v xml:space="preserve"> ANDORRA :376</v>
          </cell>
        </row>
        <row r="405">
          <cell r="B405" t="str">
            <v xml:space="preserve"> ANGOLA:244</v>
          </cell>
        </row>
        <row r="406">
          <cell r="B406" t="str">
            <v xml:space="preserve"> ANGUILLA:1264</v>
          </cell>
        </row>
        <row r="407">
          <cell r="B407" t="str">
            <v xml:space="preserve"> ANTIGUA :1268</v>
          </cell>
        </row>
        <row r="408">
          <cell r="B408" t="str">
            <v xml:space="preserve"> ARGENTINA :54</v>
          </cell>
        </row>
        <row r="409">
          <cell r="B409" t="str">
            <v xml:space="preserve"> ARMENIA :374</v>
          </cell>
        </row>
        <row r="410">
          <cell r="B410" t="str">
            <v xml:space="preserve"> ARUBA :297</v>
          </cell>
        </row>
        <row r="411">
          <cell r="B411" t="str">
            <v xml:space="preserve"> ASCENSION:247</v>
          </cell>
        </row>
        <row r="412">
          <cell r="B412" t="str">
            <v xml:space="preserve"> AUSTRALIA :61</v>
          </cell>
        </row>
        <row r="413">
          <cell r="B413" t="str">
            <v xml:space="preserve"> AUSTRIA :43</v>
          </cell>
        </row>
        <row r="414">
          <cell r="B414" t="str">
            <v xml:space="preserve"> AZERBAIJAN REPUBLIC:994</v>
          </cell>
        </row>
        <row r="415">
          <cell r="B415" t="str">
            <v xml:space="preserve"> AZORES:351</v>
          </cell>
        </row>
        <row r="416">
          <cell r="B416" t="str">
            <v xml:space="preserve"> BAHAMAS:1242</v>
          </cell>
        </row>
        <row r="417">
          <cell r="B417" t="str">
            <v xml:space="preserve"> BAHARIN :973</v>
          </cell>
        </row>
        <row r="418">
          <cell r="B418" t="str">
            <v xml:space="preserve"> BANGLADESH:880</v>
          </cell>
        </row>
        <row r="419">
          <cell r="B419" t="str">
            <v xml:space="preserve"> BARBADOS :1246</v>
          </cell>
        </row>
        <row r="420">
          <cell r="B420" t="str">
            <v xml:space="preserve"> BELARUS :375</v>
          </cell>
        </row>
        <row r="421">
          <cell r="B421" t="str">
            <v xml:space="preserve"> BELGIUM :32</v>
          </cell>
        </row>
        <row r="422">
          <cell r="B422" t="str">
            <v xml:space="preserve"> BELIZE:501</v>
          </cell>
        </row>
        <row r="423">
          <cell r="B423" t="str">
            <v xml:space="preserve"> BENIN :229</v>
          </cell>
        </row>
        <row r="424">
          <cell r="B424" t="str">
            <v xml:space="preserve"> BHUTAN :975</v>
          </cell>
        </row>
        <row r="425">
          <cell r="B425" t="str">
            <v xml:space="preserve"> BOLIVIA :591</v>
          </cell>
        </row>
        <row r="426">
          <cell r="B426" t="str">
            <v xml:space="preserve"> BOSNIA &amp; HERZEGOVINA :387</v>
          </cell>
        </row>
        <row r="427">
          <cell r="B427" t="str">
            <v xml:space="preserve"> BOTSWANA, REPUBLIC OF:267</v>
          </cell>
        </row>
        <row r="428">
          <cell r="B428" t="str">
            <v xml:space="preserve"> BRAZIL:55</v>
          </cell>
        </row>
        <row r="429">
          <cell r="B429" t="str">
            <v xml:space="preserve"> BRUNEI :673</v>
          </cell>
        </row>
        <row r="430">
          <cell r="B430" t="str">
            <v xml:space="preserve"> BULGARIA :359</v>
          </cell>
        </row>
        <row r="431">
          <cell r="B431" t="str">
            <v xml:space="preserve"> BURKINA FASSO :226</v>
          </cell>
        </row>
        <row r="432">
          <cell r="B432" t="str">
            <v xml:space="preserve"> BURUNDI :257</v>
          </cell>
        </row>
        <row r="433">
          <cell r="B433" t="str">
            <v xml:space="preserve"> CANADA :1</v>
          </cell>
        </row>
        <row r="434">
          <cell r="B434" t="str">
            <v xml:space="preserve"> CANARY ISLAND :34</v>
          </cell>
        </row>
        <row r="435">
          <cell r="B435" t="str">
            <v xml:space="preserve"> CAPE VERDE :238</v>
          </cell>
        </row>
        <row r="436">
          <cell r="B436" t="str">
            <v xml:space="preserve"> CAYMAN ISLAND :1345</v>
          </cell>
        </row>
        <row r="437">
          <cell r="B437" t="str">
            <v xml:space="preserve"> CENTRAL AFRICAN REPUBLIC:236</v>
          </cell>
        </row>
        <row r="438">
          <cell r="B438" t="str">
            <v xml:space="preserve"> CHILE :56</v>
          </cell>
        </row>
        <row r="439">
          <cell r="B439" t="str">
            <v xml:space="preserve"> CHINA:86</v>
          </cell>
        </row>
        <row r="440">
          <cell r="B440" t="str">
            <v xml:space="preserve"> CHRISTMAS ISLAND :61</v>
          </cell>
        </row>
        <row r="441">
          <cell r="B441" t="str">
            <v xml:space="preserve"> CISKEI :27</v>
          </cell>
        </row>
        <row r="442">
          <cell r="B442" t="str">
            <v xml:space="preserve"> COCOSKEELING ISLAND :672</v>
          </cell>
        </row>
        <row r="443">
          <cell r="B443" t="str">
            <v xml:space="preserve"> COLOMBIA:57</v>
          </cell>
        </row>
        <row r="444">
          <cell r="B444" t="str">
            <v xml:space="preserve"> COOK ISLAND :682</v>
          </cell>
        </row>
        <row r="445">
          <cell r="B445" t="str">
            <v xml:space="preserve"> COSTA RICA :506</v>
          </cell>
        </row>
        <row r="446">
          <cell r="B446" t="str">
            <v xml:space="preserve"> CROATIA :385</v>
          </cell>
        </row>
        <row r="447">
          <cell r="B447" t="str">
            <v xml:space="preserve"> CUBA :53</v>
          </cell>
        </row>
        <row r="448">
          <cell r="B448" t="str">
            <v xml:space="preserve"> CYPRUS :357</v>
          </cell>
        </row>
        <row r="449">
          <cell r="B449" t="str">
            <v xml:space="preserve"> CZECH REPUBLIC :420</v>
          </cell>
        </row>
        <row r="450">
          <cell r="B450" t="str">
            <v xml:space="preserve"> DIEGO GARCIA:246</v>
          </cell>
        </row>
        <row r="451">
          <cell r="B451" t="str">
            <v xml:space="preserve"> DJIBOUTI :253</v>
          </cell>
        </row>
        <row r="452">
          <cell r="B452" t="str">
            <v xml:space="preserve"> DOMANICCAN REPUBLIC :1809</v>
          </cell>
        </row>
        <row r="453">
          <cell r="B453" t="str">
            <v xml:space="preserve"> DOMINICA ISLAND:1767</v>
          </cell>
        </row>
        <row r="454">
          <cell r="B454" t="str">
            <v xml:space="preserve"> EAST TIMOR :670</v>
          </cell>
        </row>
        <row r="455">
          <cell r="B455" t="str">
            <v xml:space="preserve"> EGYPT:20</v>
          </cell>
        </row>
        <row r="456">
          <cell r="B456" t="str">
            <v xml:space="preserve"> EL SALVADOR :503</v>
          </cell>
        </row>
        <row r="457">
          <cell r="B457" t="str">
            <v xml:space="preserve"> EQUATORIAL GUINEA:240</v>
          </cell>
        </row>
        <row r="458">
          <cell r="B458" t="str">
            <v xml:space="preserve"> ERITREA :291</v>
          </cell>
        </row>
        <row r="459">
          <cell r="B459" t="str">
            <v xml:space="preserve"> ESTONIA :372</v>
          </cell>
        </row>
        <row r="460">
          <cell r="B460" t="str">
            <v xml:space="preserve"> ETHIOPIA :251</v>
          </cell>
        </row>
        <row r="461">
          <cell r="B461" t="str">
            <v xml:space="preserve"> FALKLAND ISLAND :500</v>
          </cell>
        </row>
        <row r="462">
          <cell r="B462" t="str">
            <v xml:space="preserve"> FAROE ISLAND :298</v>
          </cell>
        </row>
        <row r="463">
          <cell r="B463" t="str">
            <v xml:space="preserve"> FIJI REPUBLIC:679</v>
          </cell>
        </row>
        <row r="464">
          <cell r="B464" t="str">
            <v xml:space="preserve"> FINLAND :358</v>
          </cell>
        </row>
        <row r="465">
          <cell r="B465" t="str">
            <v xml:space="preserve"> FR POLYNESIA :689</v>
          </cell>
        </row>
        <row r="466">
          <cell r="B466" t="str">
            <v xml:space="preserve"> FRANCE:33</v>
          </cell>
        </row>
        <row r="467">
          <cell r="B467" t="str">
            <v xml:space="preserve"> FRENCH GUIANA :594</v>
          </cell>
        </row>
        <row r="468">
          <cell r="B468" t="str">
            <v xml:space="preserve"> GABONESE REPUBLIC :241</v>
          </cell>
        </row>
        <row r="469">
          <cell r="B469" t="str">
            <v xml:space="preserve"> GAMBIA :220</v>
          </cell>
        </row>
        <row r="470">
          <cell r="B470" t="str">
            <v xml:space="preserve"> GEORGIA :995</v>
          </cell>
        </row>
        <row r="471">
          <cell r="B471" t="str">
            <v xml:space="preserve"> GIBRALTOR :350</v>
          </cell>
        </row>
        <row r="472">
          <cell r="B472" t="str">
            <v xml:space="preserve"> GREENLAND:299</v>
          </cell>
        </row>
        <row r="473">
          <cell r="B473" t="str">
            <v xml:space="preserve"> GUADELOPE :590</v>
          </cell>
        </row>
        <row r="474">
          <cell r="B474" t="str">
            <v xml:space="preserve"> GUATEMALA :502</v>
          </cell>
        </row>
        <row r="475">
          <cell r="B475" t="str">
            <v xml:space="preserve"> GUINEA BISSAU :245</v>
          </cell>
        </row>
        <row r="476">
          <cell r="B476" t="str">
            <v xml:space="preserve"> GUINEA REPUBLIC :224</v>
          </cell>
        </row>
        <row r="477">
          <cell r="B477" t="str">
            <v xml:space="preserve"> GUYANA REPUBLIC:592</v>
          </cell>
        </row>
        <row r="478">
          <cell r="B478" t="str">
            <v xml:space="preserve"> HAITI REPUBLIC :509</v>
          </cell>
        </row>
        <row r="479">
          <cell r="B479" t="str">
            <v xml:space="preserve"> HAWAII :1808</v>
          </cell>
        </row>
        <row r="480">
          <cell r="B480" t="str">
            <v xml:space="preserve"> HUNGARY :36</v>
          </cell>
        </row>
        <row r="481">
          <cell r="B481" t="str">
            <v xml:space="preserve"> ICELAND :354</v>
          </cell>
        </row>
        <row r="482">
          <cell r="B482" t="str">
            <v xml:space="preserve"> INDONESIA:62</v>
          </cell>
        </row>
        <row r="483">
          <cell r="B483" t="str">
            <v xml:space="preserve"> IRAN :98</v>
          </cell>
        </row>
        <row r="484">
          <cell r="B484" t="str">
            <v xml:space="preserve"> IRAQ :964</v>
          </cell>
        </row>
        <row r="485">
          <cell r="B485" t="str">
            <v xml:space="preserve"> IRELAND :353</v>
          </cell>
        </row>
        <row r="486">
          <cell r="B486" t="str">
            <v xml:space="preserve"> ISRAEL :972</v>
          </cell>
        </row>
        <row r="487">
          <cell r="B487" t="str">
            <v xml:space="preserve"> ITALY:39</v>
          </cell>
        </row>
        <row r="488">
          <cell r="B488" t="str">
            <v xml:space="preserve"> IVORY COAST (COTE D' IVORIE):225</v>
          </cell>
        </row>
        <row r="489">
          <cell r="B489" t="str">
            <v xml:space="preserve"> JAMAICA :1876</v>
          </cell>
        </row>
        <row r="490">
          <cell r="B490" t="str">
            <v xml:space="preserve"> JAPAN :81</v>
          </cell>
        </row>
        <row r="491">
          <cell r="B491" t="str">
            <v xml:space="preserve"> JORDAN :962</v>
          </cell>
        </row>
        <row r="492">
          <cell r="B492" t="str">
            <v xml:space="preserve"> KAMPUCHEA (CAMBODIA) :855</v>
          </cell>
        </row>
        <row r="493">
          <cell r="B493" t="str">
            <v xml:space="preserve"> KAZAKISTAN :7</v>
          </cell>
        </row>
        <row r="494">
          <cell r="B494" t="str">
            <v xml:space="preserve"> KENYA :254</v>
          </cell>
        </row>
        <row r="495">
          <cell r="B495" t="str">
            <v xml:space="preserve"> KIRGHISTAN:996</v>
          </cell>
        </row>
        <row r="496">
          <cell r="B496" t="str">
            <v xml:space="preserve"> KIRIBATI :686</v>
          </cell>
        </row>
        <row r="497">
          <cell r="B497" t="str">
            <v xml:space="preserve"> KUWAIT :965</v>
          </cell>
        </row>
        <row r="498">
          <cell r="B498" t="str">
            <v xml:space="preserve"> LAOS :856</v>
          </cell>
        </row>
        <row r="499">
          <cell r="B499" t="str">
            <v xml:space="preserve"> LATVIA:371</v>
          </cell>
        </row>
        <row r="500">
          <cell r="B500" t="str">
            <v xml:space="preserve"> LEBANON :961</v>
          </cell>
        </row>
        <row r="501">
          <cell r="B501" t="str">
            <v xml:space="preserve"> LESOTHO :266</v>
          </cell>
        </row>
        <row r="502">
          <cell r="B502" t="str">
            <v xml:space="preserve"> LIBERIA :231</v>
          </cell>
        </row>
        <row r="503">
          <cell r="B503" t="str">
            <v xml:space="preserve"> LIBYA :218</v>
          </cell>
        </row>
        <row r="504">
          <cell r="B504" t="str">
            <v xml:space="preserve"> LIECHTENSTEIN :423</v>
          </cell>
        </row>
        <row r="505">
          <cell r="B505" t="str">
            <v xml:space="preserve"> LITHVANIA:370</v>
          </cell>
        </row>
        <row r="506">
          <cell r="B506" t="str">
            <v xml:space="preserve"> MACEDONIA :389</v>
          </cell>
        </row>
        <row r="507">
          <cell r="B507" t="str">
            <v xml:space="preserve"> MADEIRA ISLAND :351</v>
          </cell>
        </row>
        <row r="508">
          <cell r="B508" t="str">
            <v xml:space="preserve"> MALAWI :265</v>
          </cell>
        </row>
        <row r="509">
          <cell r="B509" t="str">
            <v xml:space="preserve"> MALAYSIA :60</v>
          </cell>
        </row>
        <row r="510">
          <cell r="B510" t="str">
            <v xml:space="preserve"> MALDIVES:960</v>
          </cell>
        </row>
        <row r="511">
          <cell r="B511" t="str">
            <v xml:space="preserve"> MALI :223</v>
          </cell>
        </row>
        <row r="512">
          <cell r="B512" t="str">
            <v xml:space="preserve"> MALTA :356</v>
          </cell>
        </row>
        <row r="513">
          <cell r="B513" t="str">
            <v xml:space="preserve"> MANGOLIA :976</v>
          </cell>
        </row>
        <row r="514">
          <cell r="B514" t="str">
            <v xml:space="preserve"> MARIANA ISLAND :1670</v>
          </cell>
        </row>
        <row r="515">
          <cell r="B515" t="str">
            <v xml:space="preserve"> MARSHALL ISLAND :692</v>
          </cell>
        </row>
        <row r="516">
          <cell r="B516" t="str">
            <v xml:space="preserve"> MARTINIQUE :596</v>
          </cell>
        </row>
        <row r="517">
          <cell r="B517" t="str">
            <v xml:space="preserve"> MAURITANIA :222</v>
          </cell>
        </row>
        <row r="518">
          <cell r="B518" t="str">
            <v xml:space="preserve"> MAURITIUS:230</v>
          </cell>
        </row>
        <row r="519">
          <cell r="B519" t="str">
            <v xml:space="preserve"> MAYOTTE :269</v>
          </cell>
        </row>
        <row r="520">
          <cell r="B520" t="str">
            <v xml:space="preserve"> MEXICO:52</v>
          </cell>
        </row>
        <row r="521">
          <cell r="B521" t="str">
            <v xml:space="preserve"> MICRONESIA :691</v>
          </cell>
        </row>
        <row r="522">
          <cell r="B522" t="str">
            <v xml:space="preserve"> MONTSERRAT :1664</v>
          </cell>
        </row>
        <row r="523">
          <cell r="B523" t="str">
            <v xml:space="preserve"> MOZAMBIQUE :258</v>
          </cell>
        </row>
        <row r="524">
          <cell r="B524" t="str">
            <v xml:space="preserve"> NAMIBIA :264</v>
          </cell>
        </row>
        <row r="525">
          <cell r="B525" t="str">
            <v xml:space="preserve"> NEPAL :977</v>
          </cell>
        </row>
        <row r="526">
          <cell r="B526" t="str">
            <v xml:space="preserve"> NETHERLANDS :31</v>
          </cell>
        </row>
        <row r="527">
          <cell r="B527" t="str">
            <v xml:space="preserve"> NETHERLANDS ANTHILLES :599</v>
          </cell>
        </row>
        <row r="528">
          <cell r="B528" t="str">
            <v xml:space="preserve"> NEW CALEDONIA :687</v>
          </cell>
        </row>
        <row r="529">
          <cell r="B529" t="str">
            <v xml:space="preserve"> NEW ZEALAND:64</v>
          </cell>
        </row>
        <row r="530">
          <cell r="B530" t="str">
            <v xml:space="preserve"> NICARAGUA:505</v>
          </cell>
        </row>
        <row r="531">
          <cell r="B531" t="str">
            <v xml:space="preserve"> NIGER :227</v>
          </cell>
        </row>
        <row r="532">
          <cell r="B532" t="str">
            <v xml:space="preserve"> NIGERIA :234</v>
          </cell>
        </row>
        <row r="533">
          <cell r="B533" t="str">
            <v xml:space="preserve"> NIUE ISLAND :683</v>
          </cell>
        </row>
        <row r="534">
          <cell r="B534" t="str">
            <v xml:space="preserve"> NORFORK ISLAND:672</v>
          </cell>
        </row>
        <row r="535">
          <cell r="B535" t="str">
            <v xml:space="preserve"> NORTH KOREA:850</v>
          </cell>
        </row>
        <row r="536">
          <cell r="B536" t="str">
            <v xml:space="preserve"> PAKISTAN:92</v>
          </cell>
        </row>
        <row r="537">
          <cell r="B537" t="str">
            <v xml:space="preserve"> PALAU :680</v>
          </cell>
        </row>
        <row r="538">
          <cell r="B538" t="str">
            <v xml:space="preserve"> PALESTINE:970</v>
          </cell>
        </row>
        <row r="539">
          <cell r="B539" t="str">
            <v xml:space="preserve"> PANAMA :507</v>
          </cell>
        </row>
        <row r="540">
          <cell r="B540" t="str">
            <v xml:space="preserve"> PAPUA NEW GUINEA :675</v>
          </cell>
        </row>
        <row r="541">
          <cell r="B541" t="str">
            <v xml:space="preserve"> PARAGUAY :595</v>
          </cell>
        </row>
        <row r="542">
          <cell r="B542" t="str">
            <v xml:space="preserve"> PERU :51</v>
          </cell>
        </row>
        <row r="543">
          <cell r="B543" t="str">
            <v xml:space="preserve"> PHILIPPINES:63</v>
          </cell>
        </row>
        <row r="544">
          <cell r="B544" t="str">
            <v xml:space="preserve"> POLAND :48</v>
          </cell>
        </row>
        <row r="545">
          <cell r="B545" t="str">
            <v xml:space="preserve"> PORTUGAL:351</v>
          </cell>
        </row>
        <row r="546">
          <cell r="B546" t="str">
            <v xml:space="preserve"> PUERTO RICO:1787</v>
          </cell>
        </row>
        <row r="547">
          <cell r="B547" t="str">
            <v xml:space="preserve"> QATAR :974</v>
          </cell>
        </row>
        <row r="548">
          <cell r="B548" t="str">
            <v xml:space="preserve"> REUNION :262</v>
          </cell>
        </row>
        <row r="549">
          <cell r="B549" t="str">
            <v xml:space="preserve"> RODRIGUES ISLAND :230</v>
          </cell>
        </row>
        <row r="550">
          <cell r="B550" t="str">
            <v xml:space="preserve"> ROMANIA:40</v>
          </cell>
        </row>
        <row r="551">
          <cell r="B551" t="str">
            <v xml:space="preserve"> RUSSIA:7</v>
          </cell>
        </row>
        <row r="552">
          <cell r="B552" t="str">
            <v xml:space="preserve"> RWANDESE REPUBLIC:250</v>
          </cell>
        </row>
        <row r="553">
          <cell r="B553" t="str">
            <v xml:space="preserve"> SAMOA AMERICAN:684</v>
          </cell>
        </row>
        <row r="554">
          <cell r="B554" t="str">
            <v xml:space="preserve"> SAMOA WESTERN :685</v>
          </cell>
        </row>
        <row r="555">
          <cell r="B555" t="str">
            <v xml:space="preserve"> SAN MARINO:378</v>
          </cell>
        </row>
        <row r="556">
          <cell r="B556" t="str">
            <v xml:space="preserve"> SAUDI ARABIA:966</v>
          </cell>
        </row>
        <row r="557">
          <cell r="B557" t="str">
            <v xml:space="preserve"> SENEGAL:221</v>
          </cell>
        </row>
        <row r="558">
          <cell r="B558" t="str">
            <v xml:space="preserve"> SEYCHELLES :248</v>
          </cell>
        </row>
        <row r="559">
          <cell r="B559" t="str">
            <v xml:space="preserve"> SIERRALEONE:232</v>
          </cell>
        </row>
        <row r="560">
          <cell r="B560" t="str">
            <v xml:space="preserve"> SINGAPORE :65</v>
          </cell>
        </row>
        <row r="561">
          <cell r="B561" t="str">
            <v xml:space="preserve"> SLOVAK REPUBLIC :421</v>
          </cell>
        </row>
        <row r="562">
          <cell r="B562" t="str">
            <v xml:space="preserve"> SLOVENIA:386</v>
          </cell>
        </row>
        <row r="563">
          <cell r="B563" t="str">
            <v xml:space="preserve"> SOLOMAN ISLAND :677</v>
          </cell>
        </row>
        <row r="564">
          <cell r="B564" t="str">
            <v xml:space="preserve"> SOMALIA DEMOCRATIC REPUBLIC :252</v>
          </cell>
        </row>
        <row r="565">
          <cell r="B565" t="str">
            <v xml:space="preserve"> SOUTH AFRICA :27</v>
          </cell>
        </row>
        <row r="566">
          <cell r="B566" t="str">
            <v xml:space="preserve"> SOUTH KOREA :82</v>
          </cell>
        </row>
        <row r="567">
          <cell r="B567" t="str">
            <v xml:space="preserve"> SPAIN :34</v>
          </cell>
        </row>
        <row r="568">
          <cell r="B568" t="str">
            <v xml:space="preserve"> SRILANKA :94</v>
          </cell>
        </row>
        <row r="569">
          <cell r="B569" t="str">
            <v xml:space="preserve"> ST. HELENA :290</v>
          </cell>
        </row>
        <row r="570">
          <cell r="B570" t="str">
            <v xml:space="preserve"> ST. KITTS/NAVIS ISLAND :1869</v>
          </cell>
        </row>
        <row r="571">
          <cell r="B571" t="str">
            <v xml:space="preserve"> ST. LUCIA :1758</v>
          </cell>
        </row>
        <row r="572">
          <cell r="B572" t="str">
            <v xml:space="preserve"> ST. PIERRE &amp; MIQUELIOM:508</v>
          </cell>
        </row>
        <row r="573">
          <cell r="B573" t="str">
            <v xml:space="preserve"> ST. TOME &amp; PRINCEP :239</v>
          </cell>
        </row>
        <row r="574">
          <cell r="B574" t="str">
            <v xml:space="preserve"> ST. VINCENT &amp; THE GRENADIAN:1784</v>
          </cell>
        </row>
        <row r="575">
          <cell r="B575" t="str">
            <v xml:space="preserve"> SUDAN :249</v>
          </cell>
        </row>
        <row r="576">
          <cell r="B576" t="str">
            <v xml:space="preserve"> SURINAM :597</v>
          </cell>
        </row>
        <row r="577">
          <cell r="B577" t="str">
            <v xml:space="preserve"> SWAZILAND :268</v>
          </cell>
        </row>
        <row r="578">
          <cell r="B578" t="str">
            <v xml:space="preserve"> SWITZERLAND:41</v>
          </cell>
        </row>
        <row r="579">
          <cell r="B579" t="str">
            <v xml:space="preserve"> SYRIA :963</v>
          </cell>
        </row>
        <row r="580">
          <cell r="B580" t="str">
            <v xml:space="preserve"> TAIWAN:886</v>
          </cell>
        </row>
        <row r="581">
          <cell r="B581" t="str">
            <v xml:space="preserve"> TANZANIA :255</v>
          </cell>
        </row>
        <row r="582">
          <cell r="B582" t="str">
            <v xml:space="preserve"> TAZAKISTAN :992</v>
          </cell>
        </row>
        <row r="583">
          <cell r="B583" t="str">
            <v xml:space="preserve"> THAILAND :66</v>
          </cell>
        </row>
        <row r="584">
          <cell r="B584" t="str">
            <v xml:space="preserve"> TOGOLESE REPUBLIC :228</v>
          </cell>
        </row>
        <row r="585">
          <cell r="B585" t="str">
            <v xml:space="preserve"> TOKELAU ISLAND :690</v>
          </cell>
        </row>
        <row r="586">
          <cell r="B586" t="str">
            <v xml:space="preserve"> TRANSKEI :27</v>
          </cell>
        </row>
        <row r="587">
          <cell r="B587" t="str">
            <v xml:space="preserve"> TRINIDAD &amp; TOBAGO:1868</v>
          </cell>
        </row>
        <row r="588">
          <cell r="B588" t="str">
            <v xml:space="preserve"> TUNISIA :216</v>
          </cell>
        </row>
        <row r="589">
          <cell r="B589" t="str">
            <v xml:space="preserve"> TURKEY :90</v>
          </cell>
        </row>
        <row r="590">
          <cell r="B590" t="str">
            <v xml:space="preserve"> TURKMENISTAN :993</v>
          </cell>
        </row>
        <row r="591">
          <cell r="B591" t="str">
            <v xml:space="preserve"> TURKS &amp; CAICOS ISLANDS :1649</v>
          </cell>
        </row>
        <row r="592">
          <cell r="B592" t="str">
            <v xml:space="preserve"> TUVALU :688</v>
          </cell>
        </row>
        <row r="593">
          <cell r="B593" t="str">
            <v xml:space="preserve"> UAE :971</v>
          </cell>
        </row>
        <row r="594">
          <cell r="B594" t="str">
            <v xml:space="preserve"> UK :44</v>
          </cell>
        </row>
        <row r="595">
          <cell r="B595" t="str">
            <v xml:space="preserve"> UKRAINE :380</v>
          </cell>
        </row>
        <row r="596">
          <cell r="B596" t="str">
            <v xml:space="preserve"> USA :1</v>
          </cell>
        </row>
        <row r="597">
          <cell r="B597" t="str">
            <v xml:space="preserve"> UZBEKISTAN :998</v>
          </cell>
        </row>
        <row r="598">
          <cell r="B598" t="str">
            <v xml:space="preserve"> VANAUTU :678</v>
          </cell>
        </row>
        <row r="599">
          <cell r="B599" t="str">
            <v xml:space="preserve"> VATICAN CITY :39</v>
          </cell>
        </row>
        <row r="600">
          <cell r="B600" t="str">
            <v xml:space="preserve"> VENDA :27</v>
          </cell>
        </row>
        <row r="601">
          <cell r="B601" t="str">
            <v xml:space="preserve"> VENEZUELA:58</v>
          </cell>
        </row>
        <row r="602">
          <cell r="B602" t="str">
            <v xml:space="preserve"> VIETNAM :84</v>
          </cell>
        </row>
        <row r="603">
          <cell r="B603" t="str">
            <v xml:space="preserve"> VIRGIN ISLAND (BRI) :1284</v>
          </cell>
        </row>
        <row r="604">
          <cell r="B604" t="str">
            <v xml:space="preserve"> VIRGIN ISLAND (USA):1340</v>
          </cell>
        </row>
        <row r="605">
          <cell r="B605" t="str">
            <v xml:space="preserve"> WALLIS &amp; FUTUNA ISLAND :681</v>
          </cell>
        </row>
        <row r="606">
          <cell r="B606" t="str">
            <v xml:space="preserve"> YUGOSLAVIA :381</v>
          </cell>
        </row>
        <row r="607">
          <cell r="B607" t="str">
            <v xml:space="preserve"> ZAIRE :243</v>
          </cell>
        </row>
        <row r="608">
          <cell r="B608" t="str">
            <v xml:space="preserve"> ZAMBIA :260</v>
          </cell>
        </row>
        <row r="609">
          <cell r="B609" t="str">
            <v xml:space="preserve"> ZIMBABWE :263</v>
          </cell>
        </row>
        <row r="610">
          <cell r="B610" t="str">
            <v>BERMUDA :1441</v>
          </cell>
        </row>
        <row r="611">
          <cell r="B611" t="str">
            <v>BOPUPATSWANA:27</v>
          </cell>
        </row>
        <row r="612">
          <cell r="B612" t="str">
            <v>CAMEROON :237</v>
          </cell>
        </row>
        <row r="613">
          <cell r="B613" t="str">
            <v>CHAD :235</v>
          </cell>
        </row>
        <row r="614">
          <cell r="B614" t="str">
            <v>COMOROS :269</v>
          </cell>
        </row>
        <row r="615">
          <cell r="B615" t="str">
            <v>CONGO :242</v>
          </cell>
        </row>
        <row r="616">
          <cell r="B616" t="str">
            <v>DENMARK :45</v>
          </cell>
        </row>
        <row r="617">
          <cell r="B617" t="str">
            <v>ECUADOR :593</v>
          </cell>
        </row>
        <row r="618">
          <cell r="B618" t="str">
            <v>GERMANY :49</v>
          </cell>
        </row>
        <row r="619">
          <cell r="B619" t="str">
            <v>GHANA :233</v>
          </cell>
        </row>
        <row r="620">
          <cell r="B620" t="str">
            <v>GREECE :30</v>
          </cell>
        </row>
        <row r="621">
          <cell r="B621" t="str">
            <v>GRENEDA :1473</v>
          </cell>
        </row>
        <row r="622">
          <cell r="B622" t="str">
            <v>GUAM :1671</v>
          </cell>
        </row>
        <row r="623">
          <cell r="B623" t="str">
            <v>HONDURAS :504</v>
          </cell>
        </row>
        <row r="624">
          <cell r="B624" t="str">
            <v>HONGKONG:852</v>
          </cell>
        </row>
        <row r="625">
          <cell r="B625" t="str">
            <v>LUXUMBURG:352</v>
          </cell>
        </row>
        <row r="626">
          <cell r="B626" t="str">
            <v>MACAO:853</v>
          </cell>
        </row>
        <row r="627">
          <cell r="B627" t="str">
            <v>MADAGASCAR:261</v>
          </cell>
        </row>
        <row r="628">
          <cell r="B628" t="str">
            <v>MOLDOVA :373</v>
          </cell>
        </row>
        <row r="629">
          <cell r="B629" t="str">
            <v>MONACO :377</v>
          </cell>
        </row>
        <row r="630">
          <cell r="B630" t="str">
            <v>MOROCCO :212</v>
          </cell>
        </row>
        <row r="631">
          <cell r="B631" t="str">
            <v>MYANMAR :95</v>
          </cell>
        </row>
        <row r="632">
          <cell r="B632" t="str">
            <v>NAURU :674</v>
          </cell>
        </row>
        <row r="633">
          <cell r="B633" t="str">
            <v>NORWAY :47</v>
          </cell>
        </row>
        <row r="634">
          <cell r="B634" t="str">
            <v>OMAN :968</v>
          </cell>
        </row>
        <row r="635">
          <cell r="B635" t="str">
            <v>SWEDEN :46</v>
          </cell>
        </row>
        <row r="636">
          <cell r="B636" t="str">
            <v>TONGA :676</v>
          </cell>
        </row>
        <row r="637">
          <cell r="B637" t="str">
            <v>UGANDA :256</v>
          </cell>
        </row>
        <row r="638">
          <cell r="B638" t="str">
            <v>URUGUAY:598</v>
          </cell>
        </row>
        <row r="639">
          <cell r="B639" t="str">
            <v>YEMEN :967</v>
          </cell>
        </row>
      </sheetData>
      <sheetData sheetId="30">
        <row r="3">
          <cell r="J3">
            <v>5069213</v>
          </cell>
          <cell r="Z3" t="str">
            <v>INTERIM</v>
          </cell>
        </row>
        <row r="4">
          <cell r="J4">
            <v>0</v>
          </cell>
          <cell r="Z4" t="str">
            <v>FINAL</v>
          </cell>
        </row>
        <row r="5">
          <cell r="J5">
            <v>0</v>
          </cell>
        </row>
        <row r="6">
          <cell r="J6">
            <v>0</v>
          </cell>
        </row>
        <row r="7">
          <cell r="J7">
            <v>0</v>
          </cell>
        </row>
        <row r="8">
          <cell r="J8">
            <v>0</v>
          </cell>
        </row>
        <row r="13">
          <cell r="I13">
            <v>5069213</v>
          </cell>
        </row>
        <row r="21">
          <cell r="H21">
            <v>131400</v>
          </cell>
        </row>
        <row r="22">
          <cell r="H22">
            <v>131400</v>
          </cell>
        </row>
        <row r="23">
          <cell r="H23">
            <v>131400</v>
          </cell>
        </row>
        <row r="24">
          <cell r="H24">
            <v>131400</v>
          </cell>
        </row>
        <row r="25">
          <cell r="H25">
            <v>131400</v>
          </cell>
        </row>
        <row r="26">
          <cell r="H26">
            <v>131400</v>
          </cell>
        </row>
        <row r="27">
          <cell r="H27">
            <v>11563</v>
          </cell>
        </row>
        <row r="28">
          <cell r="H28">
            <v>11563</v>
          </cell>
        </row>
        <row r="29">
          <cell r="H29">
            <v>11563</v>
          </cell>
        </row>
        <row r="30">
          <cell r="H30">
            <v>11563</v>
          </cell>
        </row>
        <row r="31">
          <cell r="H31">
            <v>11563</v>
          </cell>
        </row>
        <row r="32">
          <cell r="H32">
            <v>11563</v>
          </cell>
        </row>
        <row r="33">
          <cell r="H33">
            <v>40000</v>
          </cell>
        </row>
        <row r="34">
          <cell r="H34">
            <v>40000</v>
          </cell>
        </row>
        <row r="35">
          <cell r="H35">
            <v>40000</v>
          </cell>
        </row>
        <row r="36">
          <cell r="H36">
            <v>40000</v>
          </cell>
        </row>
        <row r="37">
          <cell r="H37">
            <v>40000</v>
          </cell>
        </row>
        <row r="38">
          <cell r="H38">
            <v>3520</v>
          </cell>
        </row>
        <row r="39">
          <cell r="H39">
            <v>3520</v>
          </cell>
        </row>
        <row r="40">
          <cell r="H40">
            <v>3520</v>
          </cell>
        </row>
        <row r="41">
          <cell r="H41">
            <v>3520</v>
          </cell>
        </row>
        <row r="42">
          <cell r="H42">
            <v>3520</v>
          </cell>
        </row>
        <row r="43">
          <cell r="H43">
            <v>3520</v>
          </cell>
        </row>
        <row r="44">
          <cell r="H44">
            <v>3520</v>
          </cell>
        </row>
        <row r="45">
          <cell r="H45">
            <v>36480</v>
          </cell>
        </row>
        <row r="46">
          <cell r="H46">
            <v>44000</v>
          </cell>
        </row>
        <row r="47">
          <cell r="H47">
            <v>44000</v>
          </cell>
        </row>
        <row r="48">
          <cell r="H48">
            <v>44000</v>
          </cell>
        </row>
        <row r="49">
          <cell r="H49">
            <v>44000</v>
          </cell>
        </row>
        <row r="50">
          <cell r="H50">
            <v>44000</v>
          </cell>
        </row>
        <row r="51">
          <cell r="H51">
            <v>44000</v>
          </cell>
        </row>
        <row r="52">
          <cell r="H52">
            <v>44000</v>
          </cell>
        </row>
        <row r="53">
          <cell r="H53">
            <v>44000</v>
          </cell>
        </row>
        <row r="54">
          <cell r="H54">
            <v>44000</v>
          </cell>
        </row>
        <row r="55">
          <cell r="H55">
            <v>44000</v>
          </cell>
        </row>
        <row r="56">
          <cell r="H56">
            <v>44000</v>
          </cell>
        </row>
        <row r="57">
          <cell r="H57">
            <v>44000</v>
          </cell>
        </row>
        <row r="58">
          <cell r="H58">
            <v>8800</v>
          </cell>
        </row>
        <row r="59">
          <cell r="H59">
            <v>9680</v>
          </cell>
        </row>
        <row r="60">
          <cell r="H60">
            <v>4356</v>
          </cell>
        </row>
        <row r="61">
          <cell r="H61">
            <v>11616</v>
          </cell>
        </row>
        <row r="62">
          <cell r="H62">
            <v>164919</v>
          </cell>
        </row>
        <row r="63">
          <cell r="H63">
            <v>107696</v>
          </cell>
        </row>
        <row r="64">
          <cell r="H64">
            <v>164919</v>
          </cell>
        </row>
        <row r="65">
          <cell r="H65">
            <v>6251</v>
          </cell>
        </row>
        <row r="66">
          <cell r="H66">
            <v>6251</v>
          </cell>
        </row>
        <row r="67">
          <cell r="H67">
            <v>6251</v>
          </cell>
        </row>
        <row r="68">
          <cell r="H68">
            <v>163126</v>
          </cell>
        </row>
        <row r="69">
          <cell r="H69">
            <v>6251</v>
          </cell>
        </row>
        <row r="70">
          <cell r="H70">
            <v>6251</v>
          </cell>
        </row>
        <row r="71">
          <cell r="H71">
            <v>6251</v>
          </cell>
        </row>
        <row r="72">
          <cell r="H72">
            <v>82500</v>
          </cell>
        </row>
        <row r="73">
          <cell r="H73">
            <v>82500</v>
          </cell>
        </row>
        <row r="74">
          <cell r="H74">
            <v>82500</v>
          </cell>
        </row>
        <row r="75">
          <cell r="H75">
            <v>82500</v>
          </cell>
        </row>
        <row r="76">
          <cell r="H76">
            <v>82500</v>
          </cell>
        </row>
        <row r="77">
          <cell r="H77">
            <v>82500</v>
          </cell>
        </row>
        <row r="78">
          <cell r="H78">
            <v>7260</v>
          </cell>
        </row>
        <row r="79">
          <cell r="H79">
            <v>3977</v>
          </cell>
        </row>
        <row r="80">
          <cell r="H80">
            <v>47600</v>
          </cell>
        </row>
        <row r="81">
          <cell r="H81">
            <v>26103</v>
          </cell>
        </row>
        <row r="82">
          <cell r="H82">
            <v>47600</v>
          </cell>
        </row>
        <row r="83">
          <cell r="H83">
            <v>47600</v>
          </cell>
        </row>
        <row r="84">
          <cell r="H84">
            <v>47600</v>
          </cell>
        </row>
        <row r="85">
          <cell r="H85">
            <v>888843</v>
          </cell>
        </row>
        <row r="86">
          <cell r="H86">
            <v>33032</v>
          </cell>
        </row>
        <row r="87">
          <cell r="H87">
            <v>234</v>
          </cell>
        </row>
        <row r="88">
          <cell r="H88">
            <v>893</v>
          </cell>
        </row>
        <row r="89">
          <cell r="H89">
            <v>176</v>
          </cell>
        </row>
        <row r="90">
          <cell r="H90">
            <v>4699</v>
          </cell>
        </row>
        <row r="91">
          <cell r="H91">
            <v>16</v>
          </cell>
        </row>
        <row r="92">
          <cell r="H92">
            <v>197</v>
          </cell>
        </row>
        <row r="93">
          <cell r="H93">
            <v>215</v>
          </cell>
        </row>
        <row r="94">
          <cell r="H94">
            <v>2618</v>
          </cell>
        </row>
        <row r="95">
          <cell r="H95">
            <v>44</v>
          </cell>
        </row>
        <row r="96">
          <cell r="H96">
            <v>107</v>
          </cell>
        </row>
        <row r="97">
          <cell r="H97">
            <v>419</v>
          </cell>
        </row>
        <row r="98">
          <cell r="H98">
            <v>524</v>
          </cell>
        </row>
        <row r="99">
          <cell r="H99">
            <v>61</v>
          </cell>
        </row>
        <row r="100">
          <cell r="H100">
            <v>5139</v>
          </cell>
        </row>
        <row r="101">
          <cell r="H101">
            <v>5</v>
          </cell>
        </row>
        <row r="102">
          <cell r="H102">
            <v>25</v>
          </cell>
        </row>
        <row r="103">
          <cell r="H103">
            <v>27</v>
          </cell>
        </row>
        <row r="104">
          <cell r="H104">
            <v>38</v>
          </cell>
        </row>
        <row r="105">
          <cell r="H105">
            <v>65</v>
          </cell>
        </row>
        <row r="106">
          <cell r="H106">
            <v>70</v>
          </cell>
        </row>
        <row r="107">
          <cell r="H107">
            <v>76</v>
          </cell>
        </row>
        <row r="108">
          <cell r="H108">
            <v>79</v>
          </cell>
        </row>
        <row r="109">
          <cell r="H109">
            <v>98</v>
          </cell>
        </row>
        <row r="110">
          <cell r="H110">
            <v>112</v>
          </cell>
        </row>
        <row r="111">
          <cell r="H111">
            <v>117</v>
          </cell>
        </row>
        <row r="112">
          <cell r="H112">
            <v>117</v>
          </cell>
        </row>
        <row r="113">
          <cell r="H113">
            <v>174</v>
          </cell>
        </row>
        <row r="114">
          <cell r="H114">
            <v>191</v>
          </cell>
        </row>
        <row r="115">
          <cell r="H115">
            <v>221</v>
          </cell>
        </row>
        <row r="116">
          <cell r="H116">
            <v>239</v>
          </cell>
        </row>
        <row r="117">
          <cell r="H117">
            <v>302</v>
          </cell>
        </row>
        <row r="118">
          <cell r="H118">
            <v>312</v>
          </cell>
        </row>
        <row r="119">
          <cell r="H119">
            <v>477</v>
          </cell>
        </row>
        <row r="120">
          <cell r="H120">
            <v>1161</v>
          </cell>
        </row>
        <row r="121">
          <cell r="H121">
            <v>6481</v>
          </cell>
        </row>
        <row r="122">
          <cell r="H122">
            <v>450</v>
          </cell>
        </row>
        <row r="123">
          <cell r="H123">
            <v>379</v>
          </cell>
        </row>
        <row r="124">
          <cell r="H124">
            <v>40</v>
          </cell>
        </row>
        <row r="125">
          <cell r="H125">
            <v>149</v>
          </cell>
        </row>
        <row r="126">
          <cell r="H126">
            <v>320</v>
          </cell>
        </row>
        <row r="127">
          <cell r="H127">
            <v>262</v>
          </cell>
        </row>
        <row r="128">
          <cell r="H128">
            <v>10990</v>
          </cell>
        </row>
        <row r="129">
          <cell r="H129">
            <v>44</v>
          </cell>
        </row>
        <row r="130">
          <cell r="H130">
            <v>1024</v>
          </cell>
        </row>
        <row r="131">
          <cell r="H131">
            <v>11</v>
          </cell>
        </row>
        <row r="132">
          <cell r="H132">
            <v>22</v>
          </cell>
        </row>
        <row r="133">
          <cell r="H133">
            <v>26</v>
          </cell>
        </row>
        <row r="134">
          <cell r="H134">
            <v>36</v>
          </cell>
        </row>
        <row r="135">
          <cell r="H135">
            <v>44</v>
          </cell>
        </row>
        <row r="136">
          <cell r="H136">
            <v>51</v>
          </cell>
        </row>
        <row r="137">
          <cell r="H137">
            <v>56</v>
          </cell>
        </row>
        <row r="138">
          <cell r="H138">
            <v>58</v>
          </cell>
        </row>
        <row r="139">
          <cell r="H139">
            <v>60</v>
          </cell>
        </row>
        <row r="140">
          <cell r="H140">
            <v>66</v>
          </cell>
        </row>
        <row r="141">
          <cell r="H141">
            <v>69</v>
          </cell>
        </row>
        <row r="142">
          <cell r="H142">
            <v>70</v>
          </cell>
        </row>
        <row r="143">
          <cell r="H143">
            <v>88</v>
          </cell>
        </row>
        <row r="144">
          <cell r="H144">
            <v>91</v>
          </cell>
        </row>
        <row r="145">
          <cell r="H145">
            <v>101</v>
          </cell>
        </row>
        <row r="146">
          <cell r="H146">
            <v>103</v>
          </cell>
        </row>
        <row r="147">
          <cell r="H147">
            <v>107</v>
          </cell>
        </row>
        <row r="148">
          <cell r="H148">
            <v>111</v>
          </cell>
        </row>
        <row r="149">
          <cell r="H149">
            <v>119</v>
          </cell>
        </row>
        <row r="150">
          <cell r="H150">
            <v>127</v>
          </cell>
        </row>
        <row r="151">
          <cell r="H151">
            <v>144</v>
          </cell>
        </row>
        <row r="152">
          <cell r="H152">
            <v>169</v>
          </cell>
        </row>
        <row r="153">
          <cell r="H153">
            <v>201</v>
          </cell>
        </row>
        <row r="154">
          <cell r="H154">
            <v>206</v>
          </cell>
        </row>
        <row r="155">
          <cell r="H155">
            <v>227</v>
          </cell>
        </row>
        <row r="156">
          <cell r="H156">
            <v>234</v>
          </cell>
        </row>
        <row r="157">
          <cell r="H157">
            <v>238</v>
          </cell>
        </row>
        <row r="158">
          <cell r="H158">
            <v>244</v>
          </cell>
        </row>
        <row r="159">
          <cell r="H159">
            <v>258</v>
          </cell>
        </row>
        <row r="160">
          <cell r="H160">
            <v>263</v>
          </cell>
        </row>
        <row r="161">
          <cell r="H161">
            <v>275</v>
          </cell>
        </row>
        <row r="162">
          <cell r="H162">
            <v>281</v>
          </cell>
        </row>
        <row r="163">
          <cell r="H163">
            <v>282</v>
          </cell>
        </row>
        <row r="164">
          <cell r="H164">
            <v>312</v>
          </cell>
        </row>
        <row r="165">
          <cell r="H165">
            <v>328</v>
          </cell>
        </row>
        <row r="166">
          <cell r="H166">
            <v>350</v>
          </cell>
        </row>
        <row r="167">
          <cell r="H167">
            <v>353</v>
          </cell>
        </row>
        <row r="168">
          <cell r="H168">
            <v>353</v>
          </cell>
        </row>
        <row r="169">
          <cell r="H169">
            <v>363</v>
          </cell>
        </row>
        <row r="170">
          <cell r="H170">
            <v>398</v>
          </cell>
        </row>
        <row r="171">
          <cell r="H171">
            <v>410</v>
          </cell>
        </row>
        <row r="172">
          <cell r="H172">
            <v>483</v>
          </cell>
        </row>
        <row r="173">
          <cell r="H173">
            <v>508</v>
          </cell>
        </row>
        <row r="174">
          <cell r="H174">
            <v>530</v>
          </cell>
        </row>
        <row r="175">
          <cell r="H175">
            <v>546</v>
          </cell>
        </row>
        <row r="176">
          <cell r="H176">
            <v>636</v>
          </cell>
        </row>
        <row r="177">
          <cell r="H177">
            <v>645</v>
          </cell>
        </row>
        <row r="178">
          <cell r="H178">
            <v>664</v>
          </cell>
        </row>
        <row r="179">
          <cell r="H179">
            <v>784</v>
          </cell>
        </row>
        <row r="180">
          <cell r="H180">
            <v>885</v>
          </cell>
        </row>
        <row r="181">
          <cell r="H181">
            <v>901</v>
          </cell>
        </row>
        <row r="182">
          <cell r="H182">
            <v>906</v>
          </cell>
        </row>
        <row r="183">
          <cell r="H183">
            <v>912</v>
          </cell>
        </row>
        <row r="184">
          <cell r="H184">
            <v>973</v>
          </cell>
        </row>
        <row r="185">
          <cell r="H185">
            <v>1504</v>
          </cell>
        </row>
        <row r="186">
          <cell r="H186">
            <v>1517</v>
          </cell>
        </row>
        <row r="187">
          <cell r="H187">
            <v>1561</v>
          </cell>
        </row>
        <row r="188">
          <cell r="H188">
            <v>1575</v>
          </cell>
        </row>
        <row r="189">
          <cell r="H189">
            <v>1750</v>
          </cell>
        </row>
        <row r="190">
          <cell r="H190">
            <v>1799</v>
          </cell>
        </row>
        <row r="191">
          <cell r="H191">
            <v>1832</v>
          </cell>
        </row>
        <row r="192">
          <cell r="H192">
            <v>2006</v>
          </cell>
        </row>
        <row r="193">
          <cell r="H193">
            <v>2979</v>
          </cell>
        </row>
        <row r="194">
          <cell r="H194">
            <v>3009</v>
          </cell>
        </row>
        <row r="195">
          <cell r="H195">
            <v>3078</v>
          </cell>
        </row>
        <row r="196">
          <cell r="H196">
            <v>3973</v>
          </cell>
        </row>
        <row r="197">
          <cell r="H197">
            <v>6010</v>
          </cell>
        </row>
        <row r="198">
          <cell r="H198">
            <v>6467</v>
          </cell>
        </row>
        <row r="199">
          <cell r="H199">
            <v>6948</v>
          </cell>
        </row>
        <row r="200">
          <cell r="H200">
            <v>4</v>
          </cell>
        </row>
        <row r="201">
          <cell r="H201">
            <v>143</v>
          </cell>
        </row>
        <row r="202">
          <cell r="H202">
            <v>245</v>
          </cell>
        </row>
        <row r="203">
          <cell r="H203">
            <v>310</v>
          </cell>
        </row>
        <row r="204">
          <cell r="H204">
            <v>25</v>
          </cell>
        </row>
        <row r="205">
          <cell r="H205">
            <v>44</v>
          </cell>
        </row>
        <row r="206">
          <cell r="H206">
            <v>46</v>
          </cell>
        </row>
        <row r="207">
          <cell r="H207">
            <v>61</v>
          </cell>
        </row>
        <row r="208">
          <cell r="H208">
            <v>72</v>
          </cell>
        </row>
        <row r="209">
          <cell r="H209">
            <v>42</v>
          </cell>
        </row>
        <row r="210">
          <cell r="H210">
            <v>1576</v>
          </cell>
        </row>
        <row r="211">
          <cell r="H211">
            <v>483</v>
          </cell>
        </row>
        <row r="212">
          <cell r="H212">
            <v>48</v>
          </cell>
        </row>
        <row r="213">
          <cell r="H213">
            <v>130</v>
          </cell>
        </row>
        <row r="214">
          <cell r="H214">
            <v>148</v>
          </cell>
        </row>
        <row r="215">
          <cell r="H215">
            <v>454</v>
          </cell>
        </row>
        <row r="216">
          <cell r="H216">
            <v>3143</v>
          </cell>
        </row>
        <row r="217">
          <cell r="H217">
            <v>72</v>
          </cell>
        </row>
        <row r="218">
          <cell r="H218">
            <v>181</v>
          </cell>
        </row>
        <row r="219">
          <cell r="H219">
            <v>320</v>
          </cell>
        </row>
        <row r="220">
          <cell r="H220">
            <v>402</v>
          </cell>
        </row>
        <row r="221">
          <cell r="H221">
            <v>449</v>
          </cell>
        </row>
        <row r="222">
          <cell r="H222">
            <v>448</v>
          </cell>
        </row>
        <row r="223">
          <cell r="H223">
            <v>457</v>
          </cell>
        </row>
        <row r="224">
          <cell r="H224">
            <v>789</v>
          </cell>
        </row>
        <row r="225">
          <cell r="H225">
            <v>799</v>
          </cell>
        </row>
        <row r="226">
          <cell r="H226">
            <v>231</v>
          </cell>
        </row>
        <row r="227">
          <cell r="H227">
            <v>11</v>
          </cell>
        </row>
        <row r="228">
          <cell r="H228">
            <v>16</v>
          </cell>
        </row>
        <row r="229">
          <cell r="H229">
            <v>19</v>
          </cell>
        </row>
        <row r="230">
          <cell r="H230">
            <v>19</v>
          </cell>
        </row>
        <row r="231">
          <cell r="H231">
            <v>30</v>
          </cell>
        </row>
        <row r="232">
          <cell r="H232">
            <v>38</v>
          </cell>
        </row>
        <row r="233">
          <cell r="H233">
            <v>40</v>
          </cell>
        </row>
        <row r="234">
          <cell r="H234">
            <v>43</v>
          </cell>
        </row>
        <row r="235">
          <cell r="H235">
            <v>45</v>
          </cell>
        </row>
        <row r="236">
          <cell r="H236">
            <v>48</v>
          </cell>
        </row>
        <row r="237">
          <cell r="H237">
            <v>48</v>
          </cell>
        </row>
        <row r="238">
          <cell r="H238">
            <v>51</v>
          </cell>
        </row>
        <row r="239">
          <cell r="H239">
            <v>51</v>
          </cell>
        </row>
        <row r="240">
          <cell r="H240">
            <v>58</v>
          </cell>
        </row>
        <row r="241">
          <cell r="H241">
            <v>62</v>
          </cell>
        </row>
        <row r="242">
          <cell r="H242">
            <v>67</v>
          </cell>
        </row>
        <row r="243">
          <cell r="H243">
            <v>68</v>
          </cell>
        </row>
        <row r="244">
          <cell r="H244">
            <v>70</v>
          </cell>
        </row>
        <row r="245">
          <cell r="H245">
            <v>71</v>
          </cell>
        </row>
        <row r="246">
          <cell r="H246">
            <v>95</v>
          </cell>
        </row>
        <row r="247">
          <cell r="H247">
            <v>103</v>
          </cell>
        </row>
        <row r="248">
          <cell r="H248">
            <v>108</v>
          </cell>
        </row>
        <row r="249">
          <cell r="H249">
            <v>110</v>
          </cell>
        </row>
        <row r="250">
          <cell r="H250">
            <v>111</v>
          </cell>
        </row>
        <row r="251">
          <cell r="H251">
            <v>120</v>
          </cell>
        </row>
        <row r="252">
          <cell r="H252">
            <v>127</v>
          </cell>
        </row>
        <row r="253">
          <cell r="H253">
            <v>133</v>
          </cell>
        </row>
        <row r="254">
          <cell r="H254">
            <v>138</v>
          </cell>
        </row>
        <row r="255">
          <cell r="H255">
            <v>187</v>
          </cell>
        </row>
        <row r="256">
          <cell r="H256">
            <v>207</v>
          </cell>
        </row>
        <row r="257">
          <cell r="H257">
            <v>243</v>
          </cell>
        </row>
        <row r="258">
          <cell r="H258">
            <v>244</v>
          </cell>
        </row>
        <row r="259">
          <cell r="H259">
            <v>262</v>
          </cell>
        </row>
        <row r="260">
          <cell r="H260">
            <v>282</v>
          </cell>
        </row>
        <row r="261">
          <cell r="H261">
            <v>312</v>
          </cell>
        </row>
        <row r="262">
          <cell r="H262">
            <v>350</v>
          </cell>
        </row>
        <row r="263">
          <cell r="H263">
            <v>354</v>
          </cell>
        </row>
        <row r="264">
          <cell r="H264">
            <v>362</v>
          </cell>
        </row>
        <row r="265">
          <cell r="H265">
            <v>362</v>
          </cell>
        </row>
        <row r="266">
          <cell r="H266">
            <v>388</v>
          </cell>
        </row>
        <row r="267">
          <cell r="H267">
            <v>390</v>
          </cell>
        </row>
        <row r="268">
          <cell r="H268">
            <v>409</v>
          </cell>
        </row>
        <row r="269">
          <cell r="H269">
            <v>420</v>
          </cell>
        </row>
        <row r="270">
          <cell r="H270">
            <v>496</v>
          </cell>
        </row>
        <row r="271">
          <cell r="H271">
            <v>497</v>
          </cell>
        </row>
        <row r="272">
          <cell r="H272">
            <v>499</v>
          </cell>
        </row>
        <row r="273">
          <cell r="H273">
            <v>518</v>
          </cell>
        </row>
        <row r="274">
          <cell r="H274">
            <v>530</v>
          </cell>
        </row>
        <row r="275">
          <cell r="H275">
            <v>546</v>
          </cell>
        </row>
        <row r="276">
          <cell r="H276">
            <v>547</v>
          </cell>
        </row>
        <row r="277">
          <cell r="H277">
            <v>600</v>
          </cell>
        </row>
        <row r="278">
          <cell r="H278">
            <v>644</v>
          </cell>
        </row>
        <row r="279">
          <cell r="H279">
            <v>668</v>
          </cell>
        </row>
        <row r="280">
          <cell r="H280">
            <v>709</v>
          </cell>
        </row>
        <row r="281">
          <cell r="H281">
            <v>769</v>
          </cell>
        </row>
        <row r="282">
          <cell r="H282">
            <v>884</v>
          </cell>
        </row>
        <row r="283">
          <cell r="H283">
            <v>901</v>
          </cell>
        </row>
        <row r="284">
          <cell r="H284">
            <v>911</v>
          </cell>
        </row>
        <row r="285">
          <cell r="H285">
            <v>925</v>
          </cell>
        </row>
        <row r="286">
          <cell r="H286">
            <v>969</v>
          </cell>
        </row>
        <row r="287">
          <cell r="H287">
            <v>986</v>
          </cell>
        </row>
        <row r="288">
          <cell r="H288">
            <v>1140</v>
          </cell>
        </row>
        <row r="289">
          <cell r="H289">
            <v>1157</v>
          </cell>
        </row>
        <row r="290">
          <cell r="H290">
            <v>1504</v>
          </cell>
        </row>
        <row r="291">
          <cell r="H291">
            <v>1555</v>
          </cell>
        </row>
        <row r="292">
          <cell r="H292">
            <v>1561</v>
          </cell>
        </row>
        <row r="293">
          <cell r="H293">
            <v>1575</v>
          </cell>
        </row>
        <row r="294">
          <cell r="H294">
            <v>1750</v>
          </cell>
        </row>
        <row r="295">
          <cell r="H295">
            <v>1799</v>
          </cell>
        </row>
        <row r="296">
          <cell r="H296">
            <v>1940</v>
          </cell>
        </row>
        <row r="297">
          <cell r="H297">
            <v>2006</v>
          </cell>
        </row>
        <row r="298">
          <cell r="H298">
            <v>2153</v>
          </cell>
        </row>
        <row r="299">
          <cell r="H299">
            <v>3009</v>
          </cell>
        </row>
        <row r="300">
          <cell r="H300">
            <v>3302</v>
          </cell>
        </row>
        <row r="301">
          <cell r="H301">
            <v>4115</v>
          </cell>
        </row>
        <row r="302">
          <cell r="H302">
            <v>6138</v>
          </cell>
        </row>
        <row r="303">
          <cell r="H303">
            <v>6467</v>
          </cell>
        </row>
        <row r="304">
          <cell r="H304">
            <v>11337</v>
          </cell>
        </row>
        <row r="305">
          <cell r="H305">
            <v>3</v>
          </cell>
        </row>
        <row r="306">
          <cell r="H306">
            <v>29</v>
          </cell>
        </row>
        <row r="307">
          <cell r="H307">
            <v>4</v>
          </cell>
        </row>
        <row r="308">
          <cell r="H308">
            <v>21</v>
          </cell>
        </row>
        <row r="309">
          <cell r="H309">
            <v>131</v>
          </cell>
        </row>
        <row r="310">
          <cell r="H310">
            <v>248</v>
          </cell>
        </row>
        <row r="311">
          <cell r="H311">
            <v>1103</v>
          </cell>
        </row>
        <row r="312">
          <cell r="H312">
            <v>241</v>
          </cell>
        </row>
        <row r="313">
          <cell r="H313">
            <v>264</v>
          </cell>
        </row>
        <row r="314">
          <cell r="H314">
            <v>466</v>
          </cell>
        </row>
        <row r="315">
          <cell r="H315">
            <v>182</v>
          </cell>
        </row>
        <row r="316">
          <cell r="H316">
            <v>259</v>
          </cell>
        </row>
        <row r="317">
          <cell r="H317">
            <v>487</v>
          </cell>
        </row>
        <row r="318">
          <cell r="H318">
            <v>327</v>
          </cell>
        </row>
        <row r="319">
          <cell r="H319">
            <v>84</v>
          </cell>
        </row>
        <row r="320">
          <cell r="H320">
            <v>225</v>
          </cell>
        </row>
        <row r="321">
          <cell r="H321">
            <v>1326</v>
          </cell>
        </row>
        <row r="322">
          <cell r="H322">
            <v>51</v>
          </cell>
        </row>
        <row r="323">
          <cell r="H323">
            <v>1</v>
          </cell>
        </row>
        <row r="324">
          <cell r="H324">
            <v>11</v>
          </cell>
        </row>
        <row r="325">
          <cell r="H325">
            <v>12</v>
          </cell>
        </row>
        <row r="326">
          <cell r="H326">
            <v>23</v>
          </cell>
        </row>
        <row r="327">
          <cell r="H327">
            <v>44</v>
          </cell>
        </row>
        <row r="328">
          <cell r="H328">
            <v>47</v>
          </cell>
        </row>
        <row r="329">
          <cell r="H329">
            <v>55</v>
          </cell>
        </row>
        <row r="330">
          <cell r="H330">
            <v>59</v>
          </cell>
        </row>
        <row r="331">
          <cell r="H331">
            <v>61</v>
          </cell>
        </row>
        <row r="332">
          <cell r="H332">
            <v>67</v>
          </cell>
        </row>
        <row r="333">
          <cell r="H333">
            <v>68</v>
          </cell>
        </row>
        <row r="334">
          <cell r="H334">
            <v>71</v>
          </cell>
        </row>
        <row r="335">
          <cell r="H335">
            <v>97</v>
          </cell>
        </row>
        <row r="336">
          <cell r="H336">
            <v>97</v>
          </cell>
        </row>
        <row r="337">
          <cell r="H337">
            <v>112</v>
          </cell>
        </row>
        <row r="338">
          <cell r="H338">
            <v>119</v>
          </cell>
        </row>
        <row r="339">
          <cell r="H339">
            <v>122</v>
          </cell>
        </row>
        <row r="340">
          <cell r="H340">
            <v>122</v>
          </cell>
        </row>
        <row r="341">
          <cell r="H341">
            <v>123</v>
          </cell>
        </row>
        <row r="342">
          <cell r="H342">
            <v>132</v>
          </cell>
        </row>
        <row r="343">
          <cell r="H343">
            <v>153</v>
          </cell>
        </row>
        <row r="344">
          <cell r="H344">
            <v>165</v>
          </cell>
        </row>
        <row r="345">
          <cell r="H345">
            <v>168</v>
          </cell>
        </row>
        <row r="346">
          <cell r="H346">
            <v>173</v>
          </cell>
        </row>
        <row r="347">
          <cell r="H347">
            <v>194</v>
          </cell>
        </row>
        <row r="348">
          <cell r="H348">
            <v>198</v>
          </cell>
        </row>
        <row r="349">
          <cell r="H349">
            <v>214</v>
          </cell>
        </row>
        <row r="350">
          <cell r="H350">
            <v>242</v>
          </cell>
        </row>
        <row r="351">
          <cell r="H351">
            <v>246</v>
          </cell>
        </row>
        <row r="352">
          <cell r="H352">
            <v>247</v>
          </cell>
        </row>
        <row r="353">
          <cell r="H353">
            <v>261</v>
          </cell>
        </row>
        <row r="354">
          <cell r="H354">
            <v>270</v>
          </cell>
        </row>
        <row r="355">
          <cell r="H355">
            <v>281</v>
          </cell>
        </row>
        <row r="356">
          <cell r="H356">
            <v>293</v>
          </cell>
        </row>
        <row r="357">
          <cell r="H357">
            <v>294</v>
          </cell>
        </row>
        <row r="358">
          <cell r="H358">
            <v>305</v>
          </cell>
        </row>
        <row r="359">
          <cell r="H359">
            <v>308</v>
          </cell>
        </row>
        <row r="360">
          <cell r="H360">
            <v>319</v>
          </cell>
        </row>
        <row r="361">
          <cell r="H361">
            <v>336</v>
          </cell>
        </row>
        <row r="362">
          <cell r="H362">
            <v>350</v>
          </cell>
        </row>
        <row r="363">
          <cell r="H363">
            <v>353</v>
          </cell>
        </row>
        <row r="364">
          <cell r="H364">
            <v>363</v>
          </cell>
        </row>
        <row r="365">
          <cell r="H365">
            <v>369</v>
          </cell>
        </row>
        <row r="366">
          <cell r="H366">
            <v>396</v>
          </cell>
        </row>
        <row r="367">
          <cell r="H367">
            <v>421</v>
          </cell>
        </row>
        <row r="368">
          <cell r="H368">
            <v>434</v>
          </cell>
        </row>
        <row r="369">
          <cell r="H369">
            <v>448</v>
          </cell>
        </row>
        <row r="370">
          <cell r="H370">
            <v>511</v>
          </cell>
        </row>
        <row r="371">
          <cell r="H371">
            <v>536</v>
          </cell>
        </row>
        <row r="372">
          <cell r="H372">
            <v>547</v>
          </cell>
        </row>
        <row r="373">
          <cell r="H373">
            <v>617</v>
          </cell>
        </row>
        <row r="374">
          <cell r="H374">
            <v>645</v>
          </cell>
        </row>
        <row r="375">
          <cell r="H375">
            <v>689</v>
          </cell>
        </row>
        <row r="376">
          <cell r="H376">
            <v>867</v>
          </cell>
        </row>
        <row r="377">
          <cell r="H377">
            <v>869</v>
          </cell>
        </row>
        <row r="378">
          <cell r="H378">
            <v>901</v>
          </cell>
        </row>
        <row r="379">
          <cell r="H379">
            <v>925</v>
          </cell>
        </row>
        <row r="380">
          <cell r="H380">
            <v>968</v>
          </cell>
        </row>
        <row r="381">
          <cell r="H381">
            <v>1010</v>
          </cell>
        </row>
        <row r="382">
          <cell r="H382">
            <v>1055</v>
          </cell>
        </row>
        <row r="383">
          <cell r="H383">
            <v>1123</v>
          </cell>
        </row>
        <row r="384">
          <cell r="H384">
            <v>1125</v>
          </cell>
        </row>
        <row r="385">
          <cell r="H385">
            <v>1156</v>
          </cell>
        </row>
        <row r="386">
          <cell r="H386">
            <v>1504</v>
          </cell>
        </row>
        <row r="387">
          <cell r="H387">
            <v>1561</v>
          </cell>
        </row>
        <row r="388">
          <cell r="H388">
            <v>1575</v>
          </cell>
        </row>
        <row r="389">
          <cell r="H389">
            <v>1593</v>
          </cell>
        </row>
        <row r="390">
          <cell r="H390">
            <v>1750</v>
          </cell>
        </row>
        <row r="391">
          <cell r="H391">
            <v>1774</v>
          </cell>
        </row>
        <row r="392">
          <cell r="H392">
            <v>1799</v>
          </cell>
        </row>
        <row r="393">
          <cell r="H393">
            <v>1895</v>
          </cell>
        </row>
        <row r="394">
          <cell r="H394">
            <v>1939</v>
          </cell>
        </row>
        <row r="395">
          <cell r="H395">
            <v>2006</v>
          </cell>
        </row>
        <row r="396">
          <cell r="H396">
            <v>2657</v>
          </cell>
        </row>
        <row r="397">
          <cell r="H397">
            <v>3009</v>
          </cell>
        </row>
        <row r="398">
          <cell r="H398">
            <v>3177</v>
          </cell>
        </row>
        <row r="399">
          <cell r="H399">
            <v>3361</v>
          </cell>
        </row>
        <row r="400">
          <cell r="H400">
            <v>4261</v>
          </cell>
        </row>
        <row r="401">
          <cell r="H401">
            <v>4458</v>
          </cell>
        </row>
        <row r="402">
          <cell r="H402">
            <v>6271</v>
          </cell>
        </row>
        <row r="403">
          <cell r="H403">
            <v>6467</v>
          </cell>
        </row>
        <row r="404">
          <cell r="H404">
            <v>10318</v>
          </cell>
        </row>
        <row r="405">
          <cell r="H405">
            <v>11336</v>
          </cell>
        </row>
        <row r="406">
          <cell r="H406">
            <v>18224</v>
          </cell>
        </row>
        <row r="407">
          <cell r="H407">
            <v>7</v>
          </cell>
        </row>
        <row r="408">
          <cell r="H408">
            <v>100</v>
          </cell>
        </row>
        <row r="409">
          <cell r="H409">
            <v>68</v>
          </cell>
        </row>
        <row r="410">
          <cell r="H410">
            <v>4</v>
          </cell>
        </row>
        <row r="411">
          <cell r="H411">
            <v>17</v>
          </cell>
        </row>
        <row r="412">
          <cell r="H412">
            <v>72</v>
          </cell>
        </row>
        <row r="413">
          <cell r="H413">
            <v>159</v>
          </cell>
        </row>
        <row r="414">
          <cell r="H414">
            <v>110</v>
          </cell>
        </row>
        <row r="415">
          <cell r="H415">
            <v>61</v>
          </cell>
        </row>
        <row r="416">
          <cell r="H416">
            <v>354</v>
          </cell>
        </row>
        <row r="417">
          <cell r="H417">
            <v>51</v>
          </cell>
        </row>
        <row r="418">
          <cell r="H418">
            <v>51</v>
          </cell>
        </row>
        <row r="419">
          <cell r="H419">
            <v>28</v>
          </cell>
        </row>
        <row r="420">
          <cell r="H420">
            <v>82</v>
          </cell>
        </row>
        <row r="421">
          <cell r="H421">
            <v>69</v>
          </cell>
        </row>
        <row r="422">
          <cell r="H422">
            <v>46</v>
          </cell>
        </row>
        <row r="423">
          <cell r="H423">
            <v>1027</v>
          </cell>
        </row>
        <row r="424">
          <cell r="H424">
            <v>1540</v>
          </cell>
        </row>
        <row r="425">
          <cell r="H425">
            <v>547</v>
          </cell>
        </row>
        <row r="426">
          <cell r="H426">
            <v>168</v>
          </cell>
        </row>
        <row r="427">
          <cell r="H427">
            <v>140</v>
          </cell>
        </row>
        <row r="428">
          <cell r="H428">
            <v>8</v>
          </cell>
        </row>
        <row r="429">
          <cell r="H429">
            <v>3295</v>
          </cell>
        </row>
        <row r="430">
          <cell r="H430">
            <v>77</v>
          </cell>
        </row>
        <row r="431">
          <cell r="H431">
            <v>194</v>
          </cell>
        </row>
        <row r="432">
          <cell r="H432">
            <v>289</v>
          </cell>
        </row>
        <row r="433">
          <cell r="H433">
            <v>93</v>
          </cell>
        </row>
        <row r="434">
          <cell r="H434">
            <v>246</v>
          </cell>
        </row>
        <row r="435">
          <cell r="H435">
            <v>323</v>
          </cell>
        </row>
        <row r="436">
          <cell r="H436">
            <v>861</v>
          </cell>
        </row>
        <row r="437">
          <cell r="H437">
            <v>1524</v>
          </cell>
        </row>
        <row r="438">
          <cell r="H438">
            <v>1287</v>
          </cell>
        </row>
        <row r="439">
          <cell r="H439">
            <v>3</v>
          </cell>
        </row>
        <row r="440">
          <cell r="H440">
            <v>45</v>
          </cell>
        </row>
        <row r="441">
          <cell r="H441">
            <v>66</v>
          </cell>
        </row>
        <row r="442">
          <cell r="H442">
            <v>71</v>
          </cell>
        </row>
        <row r="443">
          <cell r="H443">
            <v>98</v>
          </cell>
        </row>
        <row r="444">
          <cell r="H444">
            <v>140</v>
          </cell>
        </row>
        <row r="445">
          <cell r="H445">
            <v>184</v>
          </cell>
        </row>
        <row r="446">
          <cell r="H446">
            <v>313</v>
          </cell>
        </row>
        <row r="447">
          <cell r="H447">
            <v>378</v>
          </cell>
        </row>
        <row r="448">
          <cell r="H448">
            <v>605</v>
          </cell>
        </row>
        <row r="449">
          <cell r="H449">
            <v>645</v>
          </cell>
        </row>
        <row r="450">
          <cell r="H450">
            <v>687</v>
          </cell>
        </row>
        <row r="451">
          <cell r="H451">
            <v>945</v>
          </cell>
        </row>
        <row r="452">
          <cell r="H452">
            <v>1147</v>
          </cell>
        </row>
        <row r="453">
          <cell r="H453">
            <v>1156</v>
          </cell>
        </row>
        <row r="454">
          <cell r="H454">
            <v>1191</v>
          </cell>
        </row>
        <row r="455">
          <cell r="H455">
            <v>1572</v>
          </cell>
        </row>
        <row r="456">
          <cell r="H456">
            <v>1613</v>
          </cell>
        </row>
        <row r="457">
          <cell r="H457">
            <v>3513</v>
          </cell>
        </row>
        <row r="458">
          <cell r="H458">
            <v>4322</v>
          </cell>
        </row>
        <row r="459">
          <cell r="H459">
            <v>19</v>
          </cell>
        </row>
        <row r="460">
          <cell r="H460">
            <v>38</v>
          </cell>
        </row>
        <row r="461">
          <cell r="H461">
            <v>40</v>
          </cell>
        </row>
        <row r="462">
          <cell r="H462">
            <v>46</v>
          </cell>
        </row>
        <row r="463">
          <cell r="H463">
            <v>48</v>
          </cell>
        </row>
        <row r="464">
          <cell r="H464">
            <v>53</v>
          </cell>
        </row>
        <row r="465">
          <cell r="H465">
            <v>59</v>
          </cell>
        </row>
        <row r="466">
          <cell r="H466">
            <v>59</v>
          </cell>
        </row>
        <row r="467">
          <cell r="H467">
            <v>68</v>
          </cell>
        </row>
        <row r="468">
          <cell r="H468">
            <v>95</v>
          </cell>
        </row>
        <row r="469">
          <cell r="H469">
            <v>180</v>
          </cell>
        </row>
        <row r="470">
          <cell r="H470">
            <v>297</v>
          </cell>
        </row>
        <row r="471">
          <cell r="H471">
            <v>374</v>
          </cell>
        </row>
        <row r="472">
          <cell r="H472">
            <v>375</v>
          </cell>
        </row>
        <row r="473">
          <cell r="H473">
            <v>379</v>
          </cell>
        </row>
        <row r="474">
          <cell r="H474">
            <v>387</v>
          </cell>
        </row>
        <row r="475">
          <cell r="H475">
            <v>405</v>
          </cell>
        </row>
        <row r="476">
          <cell r="H476">
            <v>408</v>
          </cell>
        </row>
        <row r="477">
          <cell r="H477">
            <v>504</v>
          </cell>
        </row>
        <row r="478">
          <cell r="H478">
            <v>528</v>
          </cell>
        </row>
        <row r="479">
          <cell r="H479">
            <v>547</v>
          </cell>
        </row>
        <row r="480">
          <cell r="H480">
            <v>666</v>
          </cell>
        </row>
        <row r="481">
          <cell r="H481">
            <v>758</v>
          </cell>
        </row>
        <row r="482">
          <cell r="H482">
            <v>1092</v>
          </cell>
        </row>
        <row r="483">
          <cell r="H483">
            <v>2124</v>
          </cell>
        </row>
        <row r="484">
          <cell r="H484">
            <v>3241</v>
          </cell>
        </row>
        <row r="485">
          <cell r="H485">
            <v>6356</v>
          </cell>
        </row>
        <row r="486">
          <cell r="H486">
            <v>11336</v>
          </cell>
        </row>
        <row r="487">
          <cell r="H487">
            <v>24</v>
          </cell>
        </row>
        <row r="488">
          <cell r="H488">
            <v>49</v>
          </cell>
        </row>
        <row r="489">
          <cell r="H489">
            <v>99</v>
          </cell>
        </row>
        <row r="490">
          <cell r="H490">
            <v>105</v>
          </cell>
        </row>
        <row r="491">
          <cell r="H491">
            <v>111</v>
          </cell>
        </row>
        <row r="492">
          <cell r="H492">
            <v>111</v>
          </cell>
        </row>
        <row r="493">
          <cell r="H493">
            <v>135</v>
          </cell>
        </row>
        <row r="494">
          <cell r="H494">
            <v>188</v>
          </cell>
        </row>
        <row r="495">
          <cell r="H495">
            <v>243</v>
          </cell>
        </row>
        <row r="496">
          <cell r="H496">
            <v>281</v>
          </cell>
        </row>
        <row r="497">
          <cell r="H497">
            <v>349</v>
          </cell>
        </row>
        <row r="498">
          <cell r="H498">
            <v>435</v>
          </cell>
        </row>
        <row r="499">
          <cell r="H499">
            <v>540</v>
          </cell>
        </row>
        <row r="500">
          <cell r="H500">
            <v>596</v>
          </cell>
        </row>
        <row r="501">
          <cell r="H501">
            <v>601</v>
          </cell>
        </row>
        <row r="502">
          <cell r="H502">
            <v>878</v>
          </cell>
        </row>
        <row r="503">
          <cell r="H503">
            <v>1032</v>
          </cell>
        </row>
        <row r="504">
          <cell r="H504">
            <v>1048</v>
          </cell>
        </row>
        <row r="505">
          <cell r="H505">
            <v>1561</v>
          </cell>
        </row>
        <row r="506">
          <cell r="H506">
            <v>1636</v>
          </cell>
        </row>
        <row r="507">
          <cell r="H507">
            <v>2394</v>
          </cell>
        </row>
        <row r="508">
          <cell r="H508">
            <v>3894</v>
          </cell>
        </row>
        <row r="509">
          <cell r="H509">
            <v>6467</v>
          </cell>
        </row>
        <row r="510">
          <cell r="H510">
            <v>8304</v>
          </cell>
        </row>
        <row r="511">
          <cell r="H511">
            <v>10579</v>
          </cell>
        </row>
        <row r="512">
          <cell r="H512">
            <v>31254</v>
          </cell>
        </row>
        <row r="513">
          <cell r="H513">
            <v>19</v>
          </cell>
        </row>
        <row r="514">
          <cell r="H514">
            <v>50</v>
          </cell>
        </row>
        <row r="515">
          <cell r="H515">
            <v>60</v>
          </cell>
        </row>
        <row r="516">
          <cell r="H516">
            <v>68</v>
          </cell>
        </row>
        <row r="517">
          <cell r="H517">
            <v>71</v>
          </cell>
        </row>
        <row r="518">
          <cell r="H518">
            <v>174</v>
          </cell>
        </row>
        <row r="519">
          <cell r="H519">
            <v>218</v>
          </cell>
        </row>
        <row r="520">
          <cell r="H520">
            <v>350</v>
          </cell>
        </row>
        <row r="521">
          <cell r="H521">
            <v>440</v>
          </cell>
        </row>
        <row r="522">
          <cell r="H522">
            <v>483</v>
          </cell>
        </row>
        <row r="523">
          <cell r="H523">
            <v>925</v>
          </cell>
        </row>
        <row r="524">
          <cell r="H524">
            <v>1750</v>
          </cell>
        </row>
        <row r="525">
          <cell r="H525">
            <v>1799</v>
          </cell>
        </row>
        <row r="526">
          <cell r="H526">
            <v>1939</v>
          </cell>
        </row>
        <row r="527">
          <cell r="H527">
            <v>2153</v>
          </cell>
        </row>
        <row r="528">
          <cell r="H528">
            <v>4262</v>
          </cell>
        </row>
        <row r="529">
          <cell r="H529">
            <v>6151</v>
          </cell>
        </row>
        <row r="530">
          <cell r="H530">
            <v>352</v>
          </cell>
        </row>
        <row r="531">
          <cell r="H531">
            <v>219</v>
          </cell>
        </row>
        <row r="532">
          <cell r="H532">
            <v>56</v>
          </cell>
        </row>
        <row r="533">
          <cell r="H533">
            <v>11</v>
          </cell>
        </row>
        <row r="534">
          <cell r="H534">
            <v>4641</v>
          </cell>
        </row>
        <row r="535">
          <cell r="H535">
            <v>1356</v>
          </cell>
        </row>
        <row r="536">
          <cell r="H536">
            <v>1695</v>
          </cell>
        </row>
        <row r="537">
          <cell r="H537">
            <v>1695</v>
          </cell>
        </row>
        <row r="538">
          <cell r="H538">
            <v>1695</v>
          </cell>
        </row>
        <row r="539">
          <cell r="H539">
            <v>411</v>
          </cell>
        </row>
        <row r="540">
          <cell r="H540">
            <v>67734</v>
          </cell>
        </row>
        <row r="541">
          <cell r="H541">
            <v>67734</v>
          </cell>
        </row>
        <row r="542">
          <cell r="H542">
            <v>67734</v>
          </cell>
        </row>
        <row r="543">
          <cell r="H543">
            <v>976</v>
          </cell>
        </row>
        <row r="544">
          <cell r="H544">
            <v>557</v>
          </cell>
        </row>
        <row r="545">
          <cell r="H545">
            <v>104</v>
          </cell>
        </row>
        <row r="546">
          <cell r="H546">
            <v>20</v>
          </cell>
        </row>
        <row r="547">
          <cell r="H547">
            <v>7002</v>
          </cell>
        </row>
        <row r="548">
          <cell r="H548">
            <v>1835</v>
          </cell>
        </row>
        <row r="549">
          <cell r="H549">
            <v>2294</v>
          </cell>
        </row>
        <row r="550">
          <cell r="H550">
            <v>2294</v>
          </cell>
        </row>
        <row r="551">
          <cell r="H551">
            <v>2294</v>
          </cell>
        </row>
        <row r="552">
          <cell r="H552">
            <v>475</v>
          </cell>
        </row>
        <row r="553">
          <cell r="H553">
            <v>2250</v>
          </cell>
        </row>
        <row r="554">
          <cell r="H554">
            <v>67734</v>
          </cell>
        </row>
        <row r="555">
          <cell r="H555">
            <v>67734</v>
          </cell>
        </row>
        <row r="556">
          <cell r="H556">
            <v>5961</v>
          </cell>
        </row>
        <row r="557">
          <cell r="H557">
            <v>2384</v>
          </cell>
        </row>
        <row r="558">
          <cell r="H558">
            <v>2384</v>
          </cell>
        </row>
        <row r="559">
          <cell r="H559">
            <v>2384</v>
          </cell>
        </row>
        <row r="560">
          <cell r="H560">
            <v>2384</v>
          </cell>
        </row>
        <row r="561">
          <cell r="H561">
            <v>2384</v>
          </cell>
        </row>
        <row r="562">
          <cell r="H562">
            <v>3337</v>
          </cell>
        </row>
        <row r="563">
          <cell r="H563">
            <v>2384</v>
          </cell>
        </row>
        <row r="564">
          <cell r="H564">
            <v>2384</v>
          </cell>
        </row>
        <row r="565">
          <cell r="H565">
            <v>2384</v>
          </cell>
        </row>
        <row r="566">
          <cell r="H566">
            <v>2384</v>
          </cell>
        </row>
        <row r="567">
          <cell r="H567">
            <v>4785</v>
          </cell>
        </row>
        <row r="568">
          <cell r="H568">
            <v>992</v>
          </cell>
        </row>
        <row r="569">
          <cell r="H569">
            <v>569</v>
          </cell>
        </row>
        <row r="570">
          <cell r="H570">
            <v>107</v>
          </cell>
        </row>
        <row r="571">
          <cell r="H571">
            <v>19</v>
          </cell>
        </row>
        <row r="572">
          <cell r="H572">
            <v>2269</v>
          </cell>
        </row>
        <row r="573">
          <cell r="H573">
            <v>2269</v>
          </cell>
        </row>
        <row r="574">
          <cell r="H574">
            <v>1815</v>
          </cell>
        </row>
        <row r="575">
          <cell r="H575">
            <v>2269</v>
          </cell>
        </row>
        <row r="576">
          <cell r="H576">
            <v>9019</v>
          </cell>
        </row>
        <row r="577">
          <cell r="H577">
            <v>1156</v>
          </cell>
        </row>
        <row r="578">
          <cell r="H578">
            <v>2410</v>
          </cell>
        </row>
        <row r="579">
          <cell r="H579">
            <v>506</v>
          </cell>
        </row>
        <row r="580">
          <cell r="H580">
            <v>1721</v>
          </cell>
        </row>
        <row r="581">
          <cell r="H581">
            <v>482</v>
          </cell>
        </row>
        <row r="582">
          <cell r="H582">
            <v>2296</v>
          </cell>
        </row>
        <row r="583">
          <cell r="H583">
            <v>5961</v>
          </cell>
        </row>
        <row r="584">
          <cell r="H584">
            <v>5961</v>
          </cell>
        </row>
        <row r="585">
          <cell r="H585">
            <v>5961</v>
          </cell>
        </row>
        <row r="586">
          <cell r="H586">
            <v>6487</v>
          </cell>
        </row>
        <row r="587">
          <cell r="H587">
            <v>6311</v>
          </cell>
        </row>
        <row r="588">
          <cell r="H588">
            <v>6722</v>
          </cell>
        </row>
        <row r="589">
          <cell r="H589">
            <v>4119</v>
          </cell>
        </row>
        <row r="590">
          <cell r="H590">
            <v>4119</v>
          </cell>
        </row>
        <row r="591">
          <cell r="H591">
            <v>1007</v>
          </cell>
        </row>
        <row r="592">
          <cell r="H592">
            <v>581</v>
          </cell>
        </row>
        <row r="593">
          <cell r="H593">
            <v>911</v>
          </cell>
        </row>
        <row r="594">
          <cell r="H594">
            <v>985</v>
          </cell>
        </row>
        <row r="595">
          <cell r="H595">
            <v>109</v>
          </cell>
        </row>
        <row r="596">
          <cell r="H596">
            <v>599</v>
          </cell>
        </row>
        <row r="597">
          <cell r="H597">
            <v>620</v>
          </cell>
        </row>
        <row r="598">
          <cell r="H598">
            <v>20</v>
          </cell>
        </row>
        <row r="599">
          <cell r="H599">
            <v>3564</v>
          </cell>
        </row>
        <row r="600">
          <cell r="H600">
            <v>509</v>
          </cell>
        </row>
        <row r="601">
          <cell r="H601">
            <v>2269</v>
          </cell>
        </row>
        <row r="602">
          <cell r="H602">
            <v>1815</v>
          </cell>
        </row>
        <row r="603">
          <cell r="H603">
            <v>2269</v>
          </cell>
        </row>
        <row r="604">
          <cell r="H604">
            <v>2269</v>
          </cell>
        </row>
        <row r="605">
          <cell r="H605">
            <v>9206</v>
          </cell>
        </row>
        <row r="606">
          <cell r="H606">
            <v>1181</v>
          </cell>
        </row>
        <row r="607">
          <cell r="H607">
            <v>2454</v>
          </cell>
        </row>
        <row r="608">
          <cell r="H608">
            <v>1753</v>
          </cell>
        </row>
        <row r="609">
          <cell r="H609">
            <v>516</v>
          </cell>
        </row>
        <row r="610">
          <cell r="H610">
            <v>490</v>
          </cell>
        </row>
        <row r="611">
          <cell r="H611">
            <v>3931</v>
          </cell>
        </row>
        <row r="612">
          <cell r="H612">
            <v>5434</v>
          </cell>
        </row>
        <row r="613">
          <cell r="H613">
            <v>2342</v>
          </cell>
        </row>
        <row r="614">
          <cell r="H614">
            <v>241</v>
          </cell>
        </row>
        <row r="615">
          <cell r="H615">
            <v>278</v>
          </cell>
        </row>
        <row r="616">
          <cell r="H616">
            <v>2662</v>
          </cell>
        </row>
        <row r="617">
          <cell r="H617">
            <v>2662</v>
          </cell>
        </row>
        <row r="618">
          <cell r="H618">
            <v>244</v>
          </cell>
        </row>
        <row r="619">
          <cell r="H619">
            <v>189</v>
          </cell>
        </row>
        <row r="620">
          <cell r="H620">
            <v>9</v>
          </cell>
        </row>
        <row r="621">
          <cell r="H621">
            <v>355</v>
          </cell>
        </row>
        <row r="622">
          <cell r="H622">
            <v>598</v>
          </cell>
        </row>
        <row r="623">
          <cell r="H623">
            <v>312</v>
          </cell>
        </row>
        <row r="624">
          <cell r="H624">
            <v>185</v>
          </cell>
        </row>
        <row r="625">
          <cell r="H625">
            <v>416</v>
          </cell>
        </row>
        <row r="626">
          <cell r="H626">
            <v>81</v>
          </cell>
        </row>
        <row r="627">
          <cell r="H627">
            <v>6180</v>
          </cell>
        </row>
        <row r="628">
          <cell r="H628">
            <v>253</v>
          </cell>
        </row>
        <row r="629">
          <cell r="H629">
            <v>4498</v>
          </cell>
        </row>
        <row r="630">
          <cell r="H630">
            <v>648</v>
          </cell>
        </row>
        <row r="631">
          <cell r="H631">
            <v>598</v>
          </cell>
        </row>
        <row r="632">
          <cell r="H632">
            <v>598</v>
          </cell>
        </row>
        <row r="633">
          <cell r="H633">
            <v>479</v>
          </cell>
        </row>
        <row r="634">
          <cell r="H634">
            <v>1880</v>
          </cell>
        </row>
        <row r="635">
          <cell r="H635">
            <v>1319</v>
          </cell>
        </row>
        <row r="636">
          <cell r="H636">
            <v>6010</v>
          </cell>
        </row>
        <row r="637">
          <cell r="H637">
            <v>444</v>
          </cell>
        </row>
        <row r="638">
          <cell r="H638">
            <v>481</v>
          </cell>
        </row>
        <row r="639">
          <cell r="H639">
            <v>79</v>
          </cell>
        </row>
        <row r="640">
          <cell r="H640">
            <v>50</v>
          </cell>
        </row>
        <row r="641">
          <cell r="H641">
            <v>61</v>
          </cell>
        </row>
        <row r="642">
          <cell r="H642">
            <v>5961</v>
          </cell>
        </row>
        <row r="643">
          <cell r="H643">
            <v>5961</v>
          </cell>
        </row>
        <row r="644">
          <cell r="H644">
            <v>5961</v>
          </cell>
        </row>
        <row r="645">
          <cell r="H645">
            <v>2233</v>
          </cell>
        </row>
        <row r="646">
          <cell r="H646">
            <v>2402</v>
          </cell>
        </row>
        <row r="647">
          <cell r="H647">
            <v>2402</v>
          </cell>
        </row>
        <row r="648">
          <cell r="H648">
            <v>2402</v>
          </cell>
        </row>
        <row r="649">
          <cell r="H649">
            <v>24073</v>
          </cell>
        </row>
        <row r="650">
          <cell r="H650">
            <v>24073</v>
          </cell>
        </row>
        <row r="651">
          <cell r="H651">
            <v>1</v>
          </cell>
        </row>
        <row r="652">
          <cell r="H652">
            <v>19</v>
          </cell>
        </row>
        <row r="653">
          <cell r="H653">
            <v>21</v>
          </cell>
        </row>
        <row r="654">
          <cell r="H654">
            <v>25</v>
          </cell>
        </row>
        <row r="655">
          <cell r="H655">
            <v>667</v>
          </cell>
        </row>
        <row r="656">
          <cell r="H656">
            <v>135</v>
          </cell>
        </row>
        <row r="657">
          <cell r="H657">
            <v>250</v>
          </cell>
        </row>
        <row r="658">
          <cell r="H658">
            <v>122</v>
          </cell>
        </row>
        <row r="659">
          <cell r="H659">
            <v>192</v>
          </cell>
        </row>
        <row r="660">
          <cell r="H660">
            <v>2</v>
          </cell>
        </row>
        <row r="661">
          <cell r="H661">
            <v>216</v>
          </cell>
        </row>
        <row r="662">
          <cell r="H662">
            <v>816</v>
          </cell>
        </row>
        <row r="663">
          <cell r="H663">
            <v>217</v>
          </cell>
        </row>
        <row r="664">
          <cell r="H664">
            <v>4</v>
          </cell>
        </row>
        <row r="665">
          <cell r="H665">
            <v>594</v>
          </cell>
        </row>
        <row r="666">
          <cell r="H666">
            <v>430</v>
          </cell>
        </row>
        <row r="667">
          <cell r="H667">
            <v>952</v>
          </cell>
        </row>
        <row r="668">
          <cell r="H668">
            <v>444</v>
          </cell>
        </row>
        <row r="669">
          <cell r="H669">
            <v>25</v>
          </cell>
        </row>
        <row r="670">
          <cell r="H670">
            <v>1948</v>
          </cell>
        </row>
        <row r="671">
          <cell r="H671">
            <v>689</v>
          </cell>
        </row>
        <row r="672">
          <cell r="H672">
            <v>12575</v>
          </cell>
        </row>
        <row r="673">
          <cell r="H673">
            <v>12808</v>
          </cell>
        </row>
        <row r="674">
          <cell r="H674">
            <v>13041</v>
          </cell>
        </row>
        <row r="675">
          <cell r="H675">
            <v>1593</v>
          </cell>
        </row>
        <row r="676">
          <cell r="H676">
            <v>3062</v>
          </cell>
        </row>
        <row r="677">
          <cell r="H677">
            <v>23436</v>
          </cell>
        </row>
        <row r="678">
          <cell r="H678">
            <v>23436</v>
          </cell>
        </row>
        <row r="679">
          <cell r="H679">
            <v>1935</v>
          </cell>
        </row>
        <row r="680">
          <cell r="H680">
            <v>122</v>
          </cell>
        </row>
        <row r="681">
          <cell r="H681">
            <v>559</v>
          </cell>
        </row>
        <row r="682">
          <cell r="H682">
            <v>416</v>
          </cell>
        </row>
        <row r="683">
          <cell r="H683">
            <v>5424</v>
          </cell>
        </row>
        <row r="684">
          <cell r="H684">
            <v>575</v>
          </cell>
        </row>
        <row r="685">
          <cell r="H685">
            <v>575</v>
          </cell>
        </row>
        <row r="686">
          <cell r="H686">
            <v>518</v>
          </cell>
        </row>
        <row r="687">
          <cell r="H687">
            <v>68</v>
          </cell>
        </row>
        <row r="688">
          <cell r="H688">
            <v>208</v>
          </cell>
        </row>
        <row r="689">
          <cell r="H689">
            <v>44</v>
          </cell>
        </row>
        <row r="690">
          <cell r="H690">
            <v>1129</v>
          </cell>
        </row>
        <row r="691">
          <cell r="H691">
            <v>457</v>
          </cell>
        </row>
        <row r="692">
          <cell r="H692">
            <v>639</v>
          </cell>
        </row>
        <row r="693">
          <cell r="H693">
            <v>471</v>
          </cell>
        </row>
        <row r="694">
          <cell r="H694">
            <v>45</v>
          </cell>
        </row>
        <row r="695">
          <cell r="H695">
            <v>281</v>
          </cell>
        </row>
        <row r="696">
          <cell r="H696">
            <v>244</v>
          </cell>
        </row>
        <row r="697">
          <cell r="H697">
            <v>857</v>
          </cell>
        </row>
        <row r="698">
          <cell r="H698">
            <v>281</v>
          </cell>
        </row>
        <row r="699">
          <cell r="H699">
            <v>2700</v>
          </cell>
        </row>
        <row r="700">
          <cell r="H700">
            <v>144</v>
          </cell>
        </row>
        <row r="701">
          <cell r="H701">
            <v>186</v>
          </cell>
        </row>
        <row r="702">
          <cell r="H702">
            <v>2026</v>
          </cell>
        </row>
        <row r="703">
          <cell r="H703">
            <v>11256</v>
          </cell>
        </row>
        <row r="704">
          <cell r="H704">
            <v>3172</v>
          </cell>
        </row>
        <row r="705">
          <cell r="H705">
            <v>4830</v>
          </cell>
        </row>
        <row r="706">
          <cell r="H706">
            <v>2259</v>
          </cell>
        </row>
        <row r="707">
          <cell r="H707">
            <v>21657</v>
          </cell>
        </row>
        <row r="708">
          <cell r="H708">
            <v>11249</v>
          </cell>
        </row>
        <row r="709">
          <cell r="H709">
            <v>21657</v>
          </cell>
        </row>
        <row r="710">
          <cell r="H710">
            <v>2327</v>
          </cell>
        </row>
        <row r="711">
          <cell r="H711">
            <v>15234</v>
          </cell>
        </row>
        <row r="712">
          <cell r="H712">
            <v>21657</v>
          </cell>
        </row>
        <row r="713">
          <cell r="H713">
            <v>458</v>
          </cell>
        </row>
        <row r="714">
          <cell r="H714">
            <v>4342</v>
          </cell>
        </row>
        <row r="715">
          <cell r="H715">
            <v>176</v>
          </cell>
        </row>
        <row r="716">
          <cell r="H716">
            <v>701</v>
          </cell>
        </row>
        <row r="717">
          <cell r="H717">
            <v>177</v>
          </cell>
        </row>
        <row r="718">
          <cell r="H718">
            <v>663</v>
          </cell>
        </row>
        <row r="719">
          <cell r="H719">
            <v>1953</v>
          </cell>
        </row>
        <row r="720">
          <cell r="H720">
            <v>761</v>
          </cell>
        </row>
        <row r="721">
          <cell r="H721">
            <v>150</v>
          </cell>
        </row>
        <row r="722">
          <cell r="H722">
            <v>468</v>
          </cell>
        </row>
        <row r="723">
          <cell r="H723">
            <v>3868</v>
          </cell>
        </row>
        <row r="724">
          <cell r="H724">
            <v>195</v>
          </cell>
        </row>
        <row r="725">
          <cell r="H725">
            <v>13</v>
          </cell>
        </row>
        <row r="726">
          <cell r="H726">
            <v>803</v>
          </cell>
        </row>
        <row r="727">
          <cell r="H727">
            <v>2059</v>
          </cell>
        </row>
        <row r="728">
          <cell r="H728">
            <v>184</v>
          </cell>
        </row>
        <row r="729">
          <cell r="H729">
            <v>2070</v>
          </cell>
        </row>
        <row r="730">
          <cell r="H730">
            <v>240</v>
          </cell>
        </row>
        <row r="731">
          <cell r="H731">
            <v>5448</v>
          </cell>
        </row>
        <row r="732">
          <cell r="H732">
            <v>164</v>
          </cell>
        </row>
        <row r="733">
          <cell r="H733">
            <v>1067</v>
          </cell>
        </row>
        <row r="734">
          <cell r="H734">
            <v>290</v>
          </cell>
        </row>
        <row r="735">
          <cell r="H735">
            <v>8845</v>
          </cell>
        </row>
        <row r="736">
          <cell r="H736">
            <v>5888</v>
          </cell>
        </row>
        <row r="737">
          <cell r="H737">
            <v>11439</v>
          </cell>
        </row>
        <row r="738">
          <cell r="H738">
            <v>4043</v>
          </cell>
        </row>
        <row r="739">
          <cell r="H739">
            <v>576</v>
          </cell>
        </row>
        <row r="740">
          <cell r="H740">
            <v>21657</v>
          </cell>
        </row>
        <row r="741">
          <cell r="H741">
            <v>21657</v>
          </cell>
        </row>
        <row r="742">
          <cell r="H742">
            <v>21657</v>
          </cell>
        </row>
        <row r="743">
          <cell r="H743">
            <v>6583</v>
          </cell>
        </row>
        <row r="744">
          <cell r="H744">
            <v>80</v>
          </cell>
        </row>
        <row r="745">
          <cell r="H745">
            <v>745</v>
          </cell>
        </row>
        <row r="746">
          <cell r="H746">
            <v>14970</v>
          </cell>
        </row>
        <row r="747">
          <cell r="H747">
            <v>7549</v>
          </cell>
        </row>
        <row r="748">
          <cell r="H748">
            <v>685</v>
          </cell>
        </row>
        <row r="749">
          <cell r="H749">
            <v>709</v>
          </cell>
        </row>
        <row r="750">
          <cell r="H750">
            <v>1406</v>
          </cell>
        </row>
        <row r="751">
          <cell r="H751">
            <v>272</v>
          </cell>
        </row>
        <row r="752">
          <cell r="H752">
            <v>3749</v>
          </cell>
        </row>
        <row r="753">
          <cell r="H753">
            <v>3407</v>
          </cell>
        </row>
        <row r="754">
          <cell r="H754">
            <v>14373</v>
          </cell>
        </row>
        <row r="755">
          <cell r="H755">
            <v>3555</v>
          </cell>
        </row>
        <row r="756">
          <cell r="H756">
            <v>189</v>
          </cell>
        </row>
        <row r="757">
          <cell r="H757">
            <v>16850</v>
          </cell>
        </row>
        <row r="758">
          <cell r="H758">
            <v>3448</v>
          </cell>
        </row>
        <row r="759">
          <cell r="H759">
            <v>565</v>
          </cell>
        </row>
        <row r="760">
          <cell r="H760">
            <v>2126</v>
          </cell>
        </row>
        <row r="761">
          <cell r="H761">
            <v>7671</v>
          </cell>
        </row>
        <row r="762">
          <cell r="H762">
            <v>273</v>
          </cell>
        </row>
        <row r="763">
          <cell r="H763">
            <v>2379</v>
          </cell>
        </row>
        <row r="764">
          <cell r="H764">
            <v>27</v>
          </cell>
        </row>
        <row r="765">
          <cell r="H765">
            <v>21657</v>
          </cell>
        </row>
        <row r="766">
          <cell r="H766">
            <v>17681</v>
          </cell>
        </row>
        <row r="767">
          <cell r="H767">
            <v>2701</v>
          </cell>
        </row>
        <row r="768">
          <cell r="H768">
            <v>333</v>
          </cell>
        </row>
        <row r="769">
          <cell r="H769">
            <v>21667</v>
          </cell>
        </row>
        <row r="770">
          <cell r="H770">
            <v>21657</v>
          </cell>
        </row>
        <row r="771">
          <cell r="H771">
            <v>199</v>
          </cell>
        </row>
        <row r="772">
          <cell r="H772">
            <v>297</v>
          </cell>
        </row>
        <row r="773">
          <cell r="H773">
            <v>1969</v>
          </cell>
        </row>
        <row r="774">
          <cell r="H774">
            <v>1266</v>
          </cell>
        </row>
        <row r="775">
          <cell r="H775">
            <v>1471</v>
          </cell>
        </row>
        <row r="776">
          <cell r="H776">
            <v>1470</v>
          </cell>
        </row>
        <row r="777">
          <cell r="H777">
            <v>664</v>
          </cell>
        </row>
        <row r="778">
          <cell r="H778">
            <v>4109</v>
          </cell>
        </row>
        <row r="779">
          <cell r="H779">
            <v>352</v>
          </cell>
        </row>
        <row r="780">
          <cell r="H780">
            <v>257</v>
          </cell>
        </row>
        <row r="781">
          <cell r="H781">
            <v>446</v>
          </cell>
        </row>
        <row r="782">
          <cell r="H782">
            <v>228</v>
          </cell>
        </row>
        <row r="783">
          <cell r="H783">
            <v>8284</v>
          </cell>
        </row>
        <row r="784">
          <cell r="H784">
            <v>9082</v>
          </cell>
        </row>
        <row r="785">
          <cell r="H785">
            <v>1986</v>
          </cell>
        </row>
        <row r="786">
          <cell r="H786">
            <v>5363</v>
          </cell>
        </row>
        <row r="787">
          <cell r="H787">
            <v>3840</v>
          </cell>
        </row>
        <row r="788">
          <cell r="H788">
            <v>8291</v>
          </cell>
        </row>
        <row r="789">
          <cell r="H789">
            <v>4139</v>
          </cell>
        </row>
        <row r="790">
          <cell r="H790">
            <v>352</v>
          </cell>
        </row>
        <row r="791">
          <cell r="H791">
            <v>420</v>
          </cell>
        </row>
        <row r="792">
          <cell r="H792">
            <v>4225</v>
          </cell>
        </row>
        <row r="793">
          <cell r="H793">
            <v>8650</v>
          </cell>
        </row>
        <row r="794">
          <cell r="H794">
            <v>8417</v>
          </cell>
        </row>
        <row r="795">
          <cell r="H795">
            <v>755</v>
          </cell>
        </row>
        <row r="796">
          <cell r="H796">
            <v>3994</v>
          </cell>
        </row>
        <row r="797">
          <cell r="H797">
            <v>6898</v>
          </cell>
        </row>
        <row r="798">
          <cell r="H798">
            <v>4460</v>
          </cell>
        </row>
        <row r="799">
          <cell r="H799">
            <v>13294</v>
          </cell>
        </row>
        <row r="800">
          <cell r="H800">
            <v>13294</v>
          </cell>
        </row>
        <row r="801">
          <cell r="H801">
            <v>12565</v>
          </cell>
        </row>
        <row r="802">
          <cell r="H802">
            <v>1499</v>
          </cell>
        </row>
        <row r="803">
          <cell r="H803">
            <v>339</v>
          </cell>
        </row>
        <row r="804">
          <cell r="H804">
            <v>553</v>
          </cell>
        </row>
        <row r="805">
          <cell r="H805">
            <v>804</v>
          </cell>
        </row>
        <row r="806">
          <cell r="H806">
            <v>1006</v>
          </cell>
        </row>
        <row r="807">
          <cell r="H807">
            <v>437</v>
          </cell>
        </row>
        <row r="808">
          <cell r="H808">
            <v>286</v>
          </cell>
        </row>
        <row r="809">
          <cell r="H809">
            <v>357</v>
          </cell>
        </row>
        <row r="810">
          <cell r="H810">
            <v>374</v>
          </cell>
        </row>
        <row r="811">
          <cell r="H811">
            <v>205</v>
          </cell>
        </row>
        <row r="812">
          <cell r="H812">
            <v>234</v>
          </cell>
        </row>
        <row r="813">
          <cell r="H813">
            <v>202</v>
          </cell>
        </row>
        <row r="814">
          <cell r="H814">
            <v>48</v>
          </cell>
        </row>
        <row r="815">
          <cell r="H815">
            <v>29</v>
          </cell>
        </row>
        <row r="816">
          <cell r="H816">
            <v>44</v>
          </cell>
        </row>
        <row r="817">
          <cell r="H817">
            <v>6986</v>
          </cell>
        </row>
        <row r="818">
          <cell r="H818">
            <v>8849</v>
          </cell>
        </row>
        <row r="819">
          <cell r="H819">
            <v>8616</v>
          </cell>
        </row>
        <row r="820">
          <cell r="H820">
            <v>3716</v>
          </cell>
        </row>
        <row r="821">
          <cell r="H821">
            <v>4210</v>
          </cell>
        </row>
        <row r="822">
          <cell r="H822">
            <v>57015</v>
          </cell>
        </row>
        <row r="823">
          <cell r="H823">
            <v>61329</v>
          </cell>
        </row>
        <row r="824">
          <cell r="H824">
            <v>45978</v>
          </cell>
        </row>
        <row r="825">
          <cell r="H825">
            <v>4792</v>
          </cell>
        </row>
        <row r="826">
          <cell r="H826">
            <v>30706</v>
          </cell>
        </row>
        <row r="827">
          <cell r="H827">
            <v>63687</v>
          </cell>
        </row>
        <row r="828">
          <cell r="H828">
            <v>13294</v>
          </cell>
        </row>
        <row r="829">
          <cell r="H829">
            <v>15529</v>
          </cell>
        </row>
        <row r="830">
          <cell r="H830">
            <v>16772</v>
          </cell>
        </row>
        <row r="831">
          <cell r="H831">
            <v>3</v>
          </cell>
        </row>
        <row r="832">
          <cell r="H832">
            <v>2768</v>
          </cell>
        </row>
        <row r="833">
          <cell r="H833">
            <v>900</v>
          </cell>
        </row>
        <row r="834">
          <cell r="H834">
            <v>775</v>
          </cell>
        </row>
        <row r="835">
          <cell r="H835">
            <v>359</v>
          </cell>
        </row>
        <row r="836">
          <cell r="H836">
            <v>614</v>
          </cell>
        </row>
        <row r="837">
          <cell r="H837">
            <v>887</v>
          </cell>
        </row>
        <row r="838">
          <cell r="H838">
            <v>868</v>
          </cell>
        </row>
        <row r="839">
          <cell r="H839">
            <v>566</v>
          </cell>
        </row>
        <row r="840">
          <cell r="H840">
            <v>485</v>
          </cell>
        </row>
        <row r="841">
          <cell r="H841">
            <v>364</v>
          </cell>
        </row>
        <row r="842">
          <cell r="H842">
            <v>207</v>
          </cell>
        </row>
        <row r="843">
          <cell r="H843">
            <v>206</v>
          </cell>
        </row>
        <row r="844">
          <cell r="H844">
            <v>307</v>
          </cell>
        </row>
        <row r="845">
          <cell r="H845">
            <v>27</v>
          </cell>
        </row>
        <row r="846">
          <cell r="H846">
            <v>8</v>
          </cell>
        </row>
        <row r="847">
          <cell r="H847">
            <v>5</v>
          </cell>
        </row>
        <row r="848">
          <cell r="H848">
            <v>8389</v>
          </cell>
        </row>
        <row r="849">
          <cell r="H849">
            <v>3617</v>
          </cell>
        </row>
        <row r="850">
          <cell r="H850">
            <v>399</v>
          </cell>
        </row>
        <row r="851">
          <cell r="H851">
            <v>2828</v>
          </cell>
        </row>
        <row r="852">
          <cell r="H852">
            <v>4</v>
          </cell>
        </row>
        <row r="853">
          <cell r="H853">
            <v>1014</v>
          </cell>
        </row>
        <row r="854">
          <cell r="H854">
            <v>23113</v>
          </cell>
        </row>
        <row r="855">
          <cell r="H855">
            <v>11158</v>
          </cell>
        </row>
        <row r="856">
          <cell r="H856">
            <v>5175</v>
          </cell>
        </row>
        <row r="857">
          <cell r="H857">
            <v>7562</v>
          </cell>
        </row>
        <row r="858">
          <cell r="H858">
            <v>57015</v>
          </cell>
        </row>
        <row r="859">
          <cell r="H859">
            <v>24303</v>
          </cell>
        </row>
        <row r="860">
          <cell r="H860">
            <v>13294</v>
          </cell>
        </row>
        <row r="861">
          <cell r="H861">
            <v>15529</v>
          </cell>
        </row>
        <row r="862">
          <cell r="H862">
            <v>2374</v>
          </cell>
        </row>
        <row r="863">
          <cell r="H863">
            <v>2299</v>
          </cell>
        </row>
        <row r="864">
          <cell r="H864">
            <v>1354</v>
          </cell>
        </row>
        <row r="865">
          <cell r="H865">
            <v>974</v>
          </cell>
        </row>
        <row r="866">
          <cell r="H866">
            <v>804</v>
          </cell>
        </row>
        <row r="867">
          <cell r="H867">
            <v>208</v>
          </cell>
        </row>
        <row r="868">
          <cell r="H868">
            <v>349</v>
          </cell>
        </row>
        <row r="869">
          <cell r="H869">
            <v>267</v>
          </cell>
        </row>
        <row r="870">
          <cell r="H870">
            <v>205</v>
          </cell>
        </row>
        <row r="871">
          <cell r="H871">
            <v>313</v>
          </cell>
        </row>
        <row r="872">
          <cell r="H872">
            <v>103</v>
          </cell>
        </row>
        <row r="873">
          <cell r="H873">
            <v>59</v>
          </cell>
        </row>
        <row r="874">
          <cell r="H874">
            <v>52</v>
          </cell>
        </row>
        <row r="875">
          <cell r="H875">
            <v>1942</v>
          </cell>
        </row>
        <row r="876">
          <cell r="H876">
            <v>2931</v>
          </cell>
        </row>
        <row r="877">
          <cell r="H877">
            <v>42144</v>
          </cell>
        </row>
        <row r="878">
          <cell r="H878">
            <v>118200</v>
          </cell>
        </row>
        <row r="879">
          <cell r="H879">
            <v>24234</v>
          </cell>
        </row>
        <row r="880">
          <cell r="H880">
            <v>116750</v>
          </cell>
        </row>
        <row r="881">
          <cell r="H881">
            <v>36439</v>
          </cell>
        </row>
        <row r="882">
          <cell r="H882">
            <v>17134</v>
          </cell>
        </row>
        <row r="883">
          <cell r="H883">
            <v>57015</v>
          </cell>
        </row>
        <row r="884">
          <cell r="H884">
            <v>56968</v>
          </cell>
        </row>
        <row r="885">
          <cell r="H885">
            <v>26831</v>
          </cell>
        </row>
        <row r="886">
          <cell r="H886">
            <v>5028</v>
          </cell>
        </row>
        <row r="887">
          <cell r="H887">
            <v>14916</v>
          </cell>
        </row>
        <row r="888">
          <cell r="H888">
            <v>8790</v>
          </cell>
        </row>
        <row r="889">
          <cell r="H889">
            <v>13294</v>
          </cell>
        </row>
        <row r="890">
          <cell r="H890">
            <v>13294</v>
          </cell>
        </row>
        <row r="891">
          <cell r="H891">
            <v>2775</v>
          </cell>
        </row>
        <row r="892">
          <cell r="H892">
            <v>6647</v>
          </cell>
        </row>
        <row r="893">
          <cell r="H893">
            <v>15529</v>
          </cell>
        </row>
        <row r="894">
          <cell r="H894">
            <v>3812</v>
          </cell>
        </row>
        <row r="895">
          <cell r="H895">
            <v>9495</v>
          </cell>
        </row>
        <row r="896">
          <cell r="H896">
            <v>591</v>
          </cell>
        </row>
        <row r="897">
          <cell r="H897">
            <v>1525</v>
          </cell>
        </row>
        <row r="898">
          <cell r="H898">
            <v>1995</v>
          </cell>
        </row>
        <row r="899">
          <cell r="H899">
            <v>743</v>
          </cell>
        </row>
        <row r="900">
          <cell r="H900">
            <v>512</v>
          </cell>
        </row>
        <row r="901">
          <cell r="H901">
            <v>1351</v>
          </cell>
        </row>
        <row r="902">
          <cell r="H902">
            <v>662</v>
          </cell>
        </row>
        <row r="903">
          <cell r="H903">
            <v>735</v>
          </cell>
        </row>
        <row r="904">
          <cell r="H904">
            <v>318</v>
          </cell>
        </row>
        <row r="905">
          <cell r="H905">
            <v>100</v>
          </cell>
        </row>
        <row r="906">
          <cell r="H906">
            <v>72</v>
          </cell>
        </row>
        <row r="907">
          <cell r="H907">
            <v>205</v>
          </cell>
        </row>
        <row r="908">
          <cell r="H908">
            <v>51</v>
          </cell>
        </row>
        <row r="909">
          <cell r="H909">
            <v>33</v>
          </cell>
        </row>
        <row r="910">
          <cell r="H910">
            <v>22</v>
          </cell>
        </row>
        <row r="911">
          <cell r="H911">
            <v>20038</v>
          </cell>
        </row>
        <row r="912">
          <cell r="H912">
            <v>21245</v>
          </cell>
        </row>
        <row r="913">
          <cell r="H913">
            <v>19797</v>
          </cell>
        </row>
        <row r="914">
          <cell r="H914">
            <v>20762</v>
          </cell>
        </row>
        <row r="915">
          <cell r="H915">
            <v>20521</v>
          </cell>
        </row>
        <row r="916">
          <cell r="H916">
            <v>19555</v>
          </cell>
        </row>
        <row r="917">
          <cell r="H917">
            <v>21004</v>
          </cell>
        </row>
        <row r="918">
          <cell r="H918">
            <v>10623</v>
          </cell>
        </row>
        <row r="919">
          <cell r="H919">
            <v>21486</v>
          </cell>
        </row>
        <row r="920">
          <cell r="H920">
            <v>19314</v>
          </cell>
        </row>
        <row r="921">
          <cell r="H921">
            <v>19072</v>
          </cell>
        </row>
        <row r="922">
          <cell r="H922">
            <v>18831</v>
          </cell>
        </row>
        <row r="923">
          <cell r="H923">
            <v>77</v>
          </cell>
        </row>
        <row r="924">
          <cell r="H924">
            <v>5786</v>
          </cell>
        </row>
        <row r="925">
          <cell r="H925">
            <v>5000</v>
          </cell>
        </row>
        <row r="926">
          <cell r="H926">
            <v>16977</v>
          </cell>
        </row>
        <row r="927">
          <cell r="H927">
            <v>25150</v>
          </cell>
        </row>
        <row r="928">
          <cell r="H928">
            <v>24234</v>
          </cell>
        </row>
        <row r="929">
          <cell r="H929">
            <v>3149</v>
          </cell>
        </row>
        <row r="930">
          <cell r="H930">
            <v>1083</v>
          </cell>
        </row>
        <row r="931">
          <cell r="H931">
            <v>1535</v>
          </cell>
        </row>
        <row r="932">
          <cell r="H932">
            <v>20000</v>
          </cell>
        </row>
        <row r="933">
          <cell r="H933">
            <v>20000</v>
          </cell>
        </row>
        <row r="934">
          <cell r="H934">
            <v>20000</v>
          </cell>
        </row>
        <row r="935">
          <cell r="H935">
            <v>40000</v>
          </cell>
        </row>
        <row r="936">
          <cell r="H936">
            <v>30000</v>
          </cell>
        </row>
        <row r="937">
          <cell r="H937">
            <v>24271</v>
          </cell>
        </row>
        <row r="938">
          <cell r="H938">
            <v>5800</v>
          </cell>
        </row>
        <row r="939">
          <cell r="H939">
            <v>44756</v>
          </cell>
        </row>
        <row r="940">
          <cell r="H940">
            <v>12105</v>
          </cell>
        </row>
        <row r="941">
          <cell r="H941">
            <v>9610</v>
          </cell>
        </row>
        <row r="942">
          <cell r="H942">
            <v>23740</v>
          </cell>
        </row>
        <row r="943">
          <cell r="H943">
            <v>11534</v>
          </cell>
        </row>
        <row r="944">
          <cell r="H944">
            <v>23705</v>
          </cell>
        </row>
        <row r="945">
          <cell r="H945">
            <v>596</v>
          </cell>
        </row>
        <row r="946">
          <cell r="H946">
            <v>50054</v>
          </cell>
        </row>
        <row r="947">
          <cell r="H947">
            <v>27686</v>
          </cell>
        </row>
        <row r="948">
          <cell r="H948">
            <v>16370</v>
          </cell>
        </row>
        <row r="949">
          <cell r="H949">
            <v>16024</v>
          </cell>
        </row>
        <row r="950">
          <cell r="H950">
            <v>21780</v>
          </cell>
        </row>
        <row r="951">
          <cell r="H951">
            <v>29021</v>
          </cell>
        </row>
        <row r="952">
          <cell r="H952">
            <v>200000</v>
          </cell>
        </row>
        <row r="953">
          <cell r="H953">
            <v>158000</v>
          </cell>
        </row>
        <row r="954">
          <cell r="H954">
            <v>158000</v>
          </cell>
        </row>
        <row r="955">
          <cell r="H955">
            <v>421505</v>
          </cell>
        </row>
        <row r="956">
          <cell r="H956">
            <v>291342</v>
          </cell>
        </row>
        <row r="957">
          <cell r="H957">
            <v>48643</v>
          </cell>
        </row>
        <row r="958">
          <cell r="H958">
            <v>307131</v>
          </cell>
        </row>
        <row r="959">
          <cell r="H959">
            <v>248153</v>
          </cell>
        </row>
        <row r="960">
          <cell r="H960">
            <v>393945</v>
          </cell>
        </row>
        <row r="961">
          <cell r="H961">
            <v>16072</v>
          </cell>
        </row>
        <row r="962">
          <cell r="H962">
            <v>64287</v>
          </cell>
        </row>
        <row r="963">
          <cell r="H963">
            <v>9511</v>
          </cell>
        </row>
        <row r="964">
          <cell r="H964">
            <v>33367</v>
          </cell>
        </row>
        <row r="965">
          <cell r="H965">
            <v>23689</v>
          </cell>
        </row>
        <row r="966">
          <cell r="H966">
            <v>11005</v>
          </cell>
        </row>
        <row r="967">
          <cell r="H967">
            <v>12422</v>
          </cell>
        </row>
        <row r="968">
          <cell r="H968">
            <v>3170</v>
          </cell>
        </row>
        <row r="969">
          <cell r="H969">
            <v>502993</v>
          </cell>
        </row>
        <row r="970">
          <cell r="H970">
            <v>77273</v>
          </cell>
        </row>
        <row r="971">
          <cell r="H971">
            <v>104269</v>
          </cell>
        </row>
        <row r="972">
          <cell r="H972">
            <v>97788</v>
          </cell>
        </row>
        <row r="973">
          <cell r="H973">
            <v>872604</v>
          </cell>
        </row>
        <row r="974">
          <cell r="H974">
            <v>486261</v>
          </cell>
        </row>
        <row r="975">
          <cell r="H975">
            <v>489058</v>
          </cell>
        </row>
        <row r="976">
          <cell r="H976">
            <v>503139</v>
          </cell>
        </row>
        <row r="977">
          <cell r="H977">
            <v>256692</v>
          </cell>
        </row>
        <row r="978">
          <cell r="H978">
            <v>293550</v>
          </cell>
        </row>
        <row r="979">
          <cell r="H979">
            <v>45026</v>
          </cell>
        </row>
        <row r="980">
          <cell r="H980">
            <v>169865</v>
          </cell>
        </row>
        <row r="981">
          <cell r="H981">
            <v>162638</v>
          </cell>
        </row>
        <row r="982">
          <cell r="H982">
            <v>156343</v>
          </cell>
        </row>
        <row r="983">
          <cell r="H983">
            <v>21505</v>
          </cell>
        </row>
        <row r="984">
          <cell r="H984">
            <v>886</v>
          </cell>
        </row>
        <row r="985">
          <cell r="H985">
            <v>4399</v>
          </cell>
        </row>
        <row r="986">
          <cell r="H986">
            <v>6793</v>
          </cell>
        </row>
        <row r="987">
          <cell r="H987">
            <v>46810</v>
          </cell>
        </row>
        <row r="988">
          <cell r="H988">
            <v>57008</v>
          </cell>
        </row>
        <row r="989">
          <cell r="H989">
            <v>242644</v>
          </cell>
        </row>
        <row r="990">
          <cell r="H990">
            <v>70899</v>
          </cell>
        </row>
        <row r="991">
          <cell r="H991">
            <v>265098</v>
          </cell>
        </row>
        <row r="992">
          <cell r="H992">
            <v>34536</v>
          </cell>
        </row>
        <row r="993">
          <cell r="H993">
            <v>76228</v>
          </cell>
        </row>
        <row r="994">
          <cell r="H994">
            <v>21899</v>
          </cell>
        </row>
        <row r="995">
          <cell r="H995">
            <v>63834</v>
          </cell>
        </row>
        <row r="996">
          <cell r="H996">
            <v>18201</v>
          </cell>
        </row>
        <row r="997">
          <cell r="H997">
            <v>19636</v>
          </cell>
        </row>
        <row r="998">
          <cell r="H998">
            <v>18915</v>
          </cell>
        </row>
        <row r="999">
          <cell r="H999">
            <v>45419</v>
          </cell>
        </row>
        <row r="1000">
          <cell r="H1000">
            <v>1990</v>
          </cell>
        </row>
        <row r="1001">
          <cell r="H1001">
            <v>5945</v>
          </cell>
        </row>
        <row r="1002">
          <cell r="H1002">
            <v>4932</v>
          </cell>
        </row>
        <row r="1003">
          <cell r="H1003">
            <v>19127</v>
          </cell>
        </row>
        <row r="1004">
          <cell r="H1004">
            <v>14731</v>
          </cell>
        </row>
        <row r="1005">
          <cell r="H1005">
            <v>14593</v>
          </cell>
        </row>
        <row r="1006">
          <cell r="H1006">
            <v>4235</v>
          </cell>
        </row>
        <row r="1007">
          <cell r="H1007">
            <v>12691</v>
          </cell>
        </row>
        <row r="1008">
          <cell r="H1008">
            <v>6278</v>
          </cell>
        </row>
        <row r="1009">
          <cell r="H1009">
            <v>7188</v>
          </cell>
        </row>
        <row r="1010">
          <cell r="H1010">
            <v>2216</v>
          </cell>
        </row>
        <row r="1011">
          <cell r="H1011">
            <v>3350</v>
          </cell>
        </row>
        <row r="1012">
          <cell r="H1012">
            <v>5284</v>
          </cell>
        </row>
        <row r="1013">
          <cell r="H1013">
            <v>4781</v>
          </cell>
        </row>
        <row r="1014">
          <cell r="H1014">
            <v>98225</v>
          </cell>
        </row>
        <row r="1015">
          <cell r="H1015">
            <v>194968</v>
          </cell>
        </row>
        <row r="1016">
          <cell r="H1016">
            <v>85375</v>
          </cell>
        </row>
        <row r="1017">
          <cell r="H1017">
            <v>102071</v>
          </cell>
        </row>
        <row r="1018">
          <cell r="H1018">
            <v>3536</v>
          </cell>
        </row>
        <row r="1019">
          <cell r="H1019">
            <v>181113</v>
          </cell>
        </row>
        <row r="1020">
          <cell r="H1020">
            <v>54219</v>
          </cell>
        </row>
        <row r="1021">
          <cell r="H1021">
            <v>555047</v>
          </cell>
        </row>
        <row r="1022">
          <cell r="H1022">
            <v>46700</v>
          </cell>
        </row>
        <row r="1023">
          <cell r="H1023">
            <v>140497</v>
          </cell>
        </row>
        <row r="1024">
          <cell r="H1024">
            <v>193102</v>
          </cell>
        </row>
        <row r="1025">
          <cell r="H1025">
            <v>207359</v>
          </cell>
        </row>
        <row r="1026">
          <cell r="H1026">
            <v>61676</v>
          </cell>
        </row>
        <row r="1027">
          <cell r="H1027">
            <v>131647</v>
          </cell>
        </row>
        <row r="1028">
          <cell r="H1028">
            <v>65252</v>
          </cell>
        </row>
        <row r="1029">
          <cell r="H1029">
            <v>343839</v>
          </cell>
        </row>
        <row r="1030">
          <cell r="H1030">
            <v>236737</v>
          </cell>
        </row>
        <row r="1031">
          <cell r="H1031">
            <v>44441</v>
          </cell>
        </row>
        <row r="1032">
          <cell r="H1032">
            <v>24374</v>
          </cell>
        </row>
        <row r="1033">
          <cell r="H1033">
            <v>24455</v>
          </cell>
        </row>
        <row r="1034">
          <cell r="H1034">
            <v>65997</v>
          </cell>
        </row>
        <row r="1035">
          <cell r="H1035">
            <v>46156</v>
          </cell>
        </row>
        <row r="1036">
          <cell r="H1036">
            <v>50909</v>
          </cell>
        </row>
        <row r="1037">
          <cell r="H1037">
            <v>5073</v>
          </cell>
        </row>
        <row r="1038">
          <cell r="H1038">
            <v>9665</v>
          </cell>
        </row>
        <row r="1039">
          <cell r="H1039">
            <v>73498</v>
          </cell>
        </row>
        <row r="1040">
          <cell r="H1040">
            <v>52492</v>
          </cell>
        </row>
        <row r="1041">
          <cell r="H1041">
            <v>71265</v>
          </cell>
        </row>
        <row r="1042">
          <cell r="H1042">
            <v>49597</v>
          </cell>
        </row>
        <row r="1043">
          <cell r="H1043">
            <v>1087728</v>
          </cell>
        </row>
        <row r="1044">
          <cell r="H1044">
            <v>1571142</v>
          </cell>
        </row>
        <row r="1045">
          <cell r="H1045">
            <v>1596791</v>
          </cell>
        </row>
        <row r="1046">
          <cell r="H1046">
            <v>1807165</v>
          </cell>
        </row>
        <row r="1047">
          <cell r="H1047">
            <v>1523768</v>
          </cell>
        </row>
        <row r="1048">
          <cell r="H1048">
            <v>722039</v>
          </cell>
        </row>
        <row r="1049">
          <cell r="H1049">
            <v>844112</v>
          </cell>
        </row>
        <row r="1050">
          <cell r="H1050">
            <v>2039551</v>
          </cell>
        </row>
        <row r="1051">
          <cell r="H1051">
            <v>952759</v>
          </cell>
        </row>
        <row r="1052">
          <cell r="H1052">
            <v>55104</v>
          </cell>
        </row>
        <row r="1053">
          <cell r="H1053">
            <v>22373</v>
          </cell>
        </row>
        <row r="1054">
          <cell r="H1054">
            <v>5523</v>
          </cell>
        </row>
        <row r="1055">
          <cell r="H1055">
            <v>27139</v>
          </cell>
        </row>
        <row r="1056">
          <cell r="H1056">
            <v>194465</v>
          </cell>
        </row>
        <row r="1057">
          <cell r="H1057">
            <v>500000</v>
          </cell>
        </row>
        <row r="1058">
          <cell r="H1058">
            <v>201696</v>
          </cell>
        </row>
        <row r="1059">
          <cell r="H1059">
            <v>455930</v>
          </cell>
        </row>
        <row r="1060">
          <cell r="H1060">
            <v>131416</v>
          </cell>
        </row>
        <row r="1061">
          <cell r="H1061">
            <v>350000</v>
          </cell>
        </row>
        <row r="1062">
          <cell r="H1062">
            <v>350000</v>
          </cell>
        </row>
        <row r="1063">
          <cell r="H1063">
            <v>447273</v>
          </cell>
        </row>
        <row r="1064">
          <cell r="H1064">
            <v>350000</v>
          </cell>
        </row>
        <row r="1065">
          <cell r="H1065">
            <v>257118</v>
          </cell>
        </row>
        <row r="1066">
          <cell r="H1066">
            <v>500000</v>
          </cell>
        </row>
        <row r="1067">
          <cell r="H1067">
            <v>11650</v>
          </cell>
        </row>
        <row r="1068">
          <cell r="H1068">
            <v>500000</v>
          </cell>
        </row>
        <row r="1069">
          <cell r="H1069">
            <v>500000</v>
          </cell>
        </row>
        <row r="1070">
          <cell r="H1070">
            <v>500000</v>
          </cell>
        </row>
        <row r="1071">
          <cell r="H1071">
            <v>500000</v>
          </cell>
        </row>
        <row r="1072">
          <cell r="H1072">
            <v>39788</v>
          </cell>
        </row>
        <row r="1073">
          <cell r="H1073">
            <v>143192</v>
          </cell>
        </row>
        <row r="1074">
          <cell r="H1074">
            <v>20570</v>
          </cell>
        </row>
        <row r="1075">
          <cell r="H1075">
            <v>60785</v>
          </cell>
        </row>
        <row r="1076">
          <cell r="H1076">
            <v>92225</v>
          </cell>
        </row>
        <row r="1077">
          <cell r="H1077">
            <v>49878</v>
          </cell>
        </row>
        <row r="1078">
          <cell r="H1078">
            <v>33750</v>
          </cell>
        </row>
        <row r="1079">
          <cell r="H1079">
            <v>54565</v>
          </cell>
        </row>
        <row r="1080">
          <cell r="H1080">
            <v>104781</v>
          </cell>
        </row>
        <row r="1081">
          <cell r="H1081">
            <v>73969</v>
          </cell>
        </row>
        <row r="1082">
          <cell r="H1082">
            <v>14704</v>
          </cell>
        </row>
        <row r="1083">
          <cell r="H1083">
            <v>188288</v>
          </cell>
        </row>
        <row r="1084">
          <cell r="H1084">
            <v>97665</v>
          </cell>
        </row>
        <row r="1085">
          <cell r="H1085">
            <v>111940</v>
          </cell>
        </row>
        <row r="1086">
          <cell r="H1086">
            <v>52846</v>
          </cell>
        </row>
        <row r="1087">
          <cell r="H1087">
            <v>538530</v>
          </cell>
        </row>
        <row r="1088">
          <cell r="H1088">
            <v>1386962</v>
          </cell>
        </row>
        <row r="1089">
          <cell r="H1089">
            <v>1234510</v>
          </cell>
        </row>
        <row r="1090">
          <cell r="H1090">
            <v>902000</v>
          </cell>
        </row>
        <row r="1091">
          <cell r="H1091">
            <v>5848373</v>
          </cell>
        </row>
        <row r="1092">
          <cell r="H1092">
            <v>1249867</v>
          </cell>
        </row>
        <row r="1093">
          <cell r="H1093">
            <v>570381</v>
          </cell>
        </row>
        <row r="1094">
          <cell r="H1094">
            <v>360829</v>
          </cell>
        </row>
        <row r="1095">
          <cell r="H1095">
            <v>4005116</v>
          </cell>
        </row>
        <row r="1096">
          <cell r="H1096">
            <v>5646482</v>
          </cell>
        </row>
        <row r="1097">
          <cell r="H1097">
            <v>52134</v>
          </cell>
        </row>
        <row r="1098">
          <cell r="H1098">
            <v>67175</v>
          </cell>
        </row>
        <row r="1099">
          <cell r="H1099">
            <v>105389</v>
          </cell>
        </row>
        <row r="1100">
          <cell r="H1100">
            <v>488069</v>
          </cell>
        </row>
        <row r="1101">
          <cell r="H1101">
            <v>285248</v>
          </cell>
        </row>
        <row r="1102">
          <cell r="H1102">
            <v>285561</v>
          </cell>
        </row>
        <row r="1103">
          <cell r="H1103">
            <v>188581</v>
          </cell>
        </row>
        <row r="1104">
          <cell r="H1104">
            <v>307483</v>
          </cell>
        </row>
        <row r="1105">
          <cell r="H1105">
            <v>408970</v>
          </cell>
        </row>
        <row r="1106">
          <cell r="H1106">
            <v>507494</v>
          </cell>
        </row>
        <row r="1107">
          <cell r="H1107">
            <v>788710</v>
          </cell>
        </row>
        <row r="1108">
          <cell r="H1108">
            <v>85112</v>
          </cell>
        </row>
        <row r="1109">
          <cell r="H1109">
            <v>308141</v>
          </cell>
        </row>
        <row r="1110">
          <cell r="H1110">
            <v>783881</v>
          </cell>
        </row>
        <row r="1111">
          <cell r="H1111">
            <v>71742</v>
          </cell>
        </row>
        <row r="1112">
          <cell r="H1112">
            <v>749957</v>
          </cell>
        </row>
        <row r="1113">
          <cell r="H1113">
            <v>1005153</v>
          </cell>
        </row>
        <row r="1114">
          <cell r="H1114">
            <v>56002</v>
          </cell>
        </row>
        <row r="1115">
          <cell r="H1115">
            <v>980394</v>
          </cell>
        </row>
        <row r="1116">
          <cell r="H1116">
            <v>867300</v>
          </cell>
        </row>
        <row r="1117">
          <cell r="H1117">
            <v>1734600</v>
          </cell>
        </row>
        <row r="1118">
          <cell r="H1118">
            <v>166229</v>
          </cell>
        </row>
        <row r="1119">
          <cell r="H1119">
            <v>259072</v>
          </cell>
        </row>
        <row r="1120">
          <cell r="H1120">
            <v>26400</v>
          </cell>
        </row>
        <row r="1121">
          <cell r="H1121">
            <v>26400</v>
          </cell>
        </row>
        <row r="1122">
          <cell r="H1122">
            <v>206109</v>
          </cell>
        </row>
        <row r="1123">
          <cell r="H1123">
            <v>205211</v>
          </cell>
        </row>
        <row r="1124">
          <cell r="H1124">
            <v>80069</v>
          </cell>
        </row>
        <row r="1125">
          <cell r="H1125">
            <v>91930</v>
          </cell>
        </row>
        <row r="1126">
          <cell r="H1126">
            <v>75957</v>
          </cell>
        </row>
        <row r="1127">
          <cell r="H1127">
            <v>126834</v>
          </cell>
        </row>
        <row r="1128">
          <cell r="H1128">
            <v>91531</v>
          </cell>
        </row>
        <row r="1129">
          <cell r="H1129">
            <v>93923</v>
          </cell>
        </row>
        <row r="1130">
          <cell r="H1130">
            <v>197536</v>
          </cell>
        </row>
        <row r="1131">
          <cell r="H1131">
            <v>197536</v>
          </cell>
        </row>
        <row r="1132">
          <cell r="H1132">
            <v>880000</v>
          </cell>
        </row>
        <row r="1133">
          <cell r="H1133">
            <v>1760000</v>
          </cell>
        </row>
        <row r="1134">
          <cell r="H1134">
            <v>1320000</v>
          </cell>
        </row>
        <row r="1135">
          <cell r="H1135">
            <v>1320000</v>
          </cell>
        </row>
        <row r="1136">
          <cell r="H1136">
            <v>90000</v>
          </cell>
        </row>
        <row r="1137">
          <cell r="H1137">
            <v>156600</v>
          </cell>
        </row>
        <row r="1138">
          <cell r="H1138">
            <v>140000</v>
          </cell>
        </row>
        <row r="1139">
          <cell r="H1139">
            <v>37000</v>
          </cell>
        </row>
        <row r="1140">
          <cell r="H1140">
            <v>46000</v>
          </cell>
        </row>
        <row r="1141">
          <cell r="H1141">
            <v>50000</v>
          </cell>
        </row>
        <row r="1142">
          <cell r="H1142">
            <v>60000</v>
          </cell>
        </row>
        <row r="1143">
          <cell r="H1143">
            <v>40000</v>
          </cell>
        </row>
        <row r="1144">
          <cell r="H1144">
            <v>80000</v>
          </cell>
        </row>
        <row r="1145">
          <cell r="H1145">
            <v>100000</v>
          </cell>
        </row>
        <row r="1146">
          <cell r="H1146">
            <v>190000</v>
          </cell>
        </row>
        <row r="1147">
          <cell r="H1147">
            <v>120000</v>
          </cell>
        </row>
        <row r="1148">
          <cell r="H1148">
            <v>264000</v>
          </cell>
        </row>
        <row r="1149">
          <cell r="H1149">
            <v>187803</v>
          </cell>
        </row>
        <row r="1150">
          <cell r="H1150">
            <v>179873</v>
          </cell>
        </row>
        <row r="1151">
          <cell r="H1151">
            <v>305885</v>
          </cell>
        </row>
        <row r="1152">
          <cell r="H1152">
            <v>789207</v>
          </cell>
        </row>
        <row r="1153">
          <cell r="H1153">
            <v>26654</v>
          </cell>
        </row>
        <row r="1154">
          <cell r="H1154">
            <v>2000000</v>
          </cell>
        </row>
        <row r="1155">
          <cell r="H1155">
            <v>155213</v>
          </cell>
        </row>
        <row r="1156">
          <cell r="H1156">
            <v>7165</v>
          </cell>
        </row>
        <row r="1157">
          <cell r="H1157">
            <v>1571</v>
          </cell>
        </row>
        <row r="1158">
          <cell r="H1158">
            <v>6940</v>
          </cell>
        </row>
        <row r="1159">
          <cell r="H1159">
            <v>12460</v>
          </cell>
        </row>
        <row r="1160">
          <cell r="H1160">
            <v>3789</v>
          </cell>
        </row>
        <row r="1161">
          <cell r="H1161">
            <v>8635</v>
          </cell>
        </row>
        <row r="1162">
          <cell r="H1162">
            <v>45887</v>
          </cell>
        </row>
        <row r="1163">
          <cell r="H1163">
            <v>1091</v>
          </cell>
        </row>
        <row r="1164">
          <cell r="H1164">
            <v>13568</v>
          </cell>
        </row>
        <row r="1165">
          <cell r="H1165">
            <v>21360</v>
          </cell>
        </row>
        <row r="1166">
          <cell r="H1166">
            <v>19337</v>
          </cell>
        </row>
        <row r="1167">
          <cell r="H1167">
            <v>15924</v>
          </cell>
        </row>
        <row r="1168">
          <cell r="H1168">
            <v>5431</v>
          </cell>
        </row>
        <row r="1169">
          <cell r="H1169">
            <v>33980</v>
          </cell>
        </row>
        <row r="1170">
          <cell r="H1170">
            <v>890</v>
          </cell>
        </row>
        <row r="1171">
          <cell r="H1171">
            <v>18636</v>
          </cell>
        </row>
        <row r="1172">
          <cell r="H1172">
            <v>23620</v>
          </cell>
        </row>
        <row r="1173">
          <cell r="H1173">
            <v>5527</v>
          </cell>
        </row>
        <row r="1174">
          <cell r="H1174">
            <v>54000</v>
          </cell>
        </row>
        <row r="1175">
          <cell r="H1175">
            <v>31373</v>
          </cell>
        </row>
        <row r="1176">
          <cell r="H1176">
            <v>42832</v>
          </cell>
        </row>
        <row r="1177">
          <cell r="H1177">
            <v>39808</v>
          </cell>
        </row>
        <row r="1178">
          <cell r="H1178">
            <v>20114</v>
          </cell>
        </row>
        <row r="1179">
          <cell r="H1179">
            <v>5674</v>
          </cell>
        </row>
        <row r="1180">
          <cell r="H1180">
            <v>360000</v>
          </cell>
        </row>
        <row r="1181">
          <cell r="H1181">
            <v>120822</v>
          </cell>
        </row>
        <row r="1182">
          <cell r="H1182">
            <v>251062</v>
          </cell>
        </row>
        <row r="1183">
          <cell r="H1183">
            <v>14000</v>
          </cell>
        </row>
        <row r="1184">
          <cell r="H1184">
            <v>5923</v>
          </cell>
        </row>
        <row r="1185">
          <cell r="H1185">
            <v>4280</v>
          </cell>
        </row>
        <row r="1186">
          <cell r="H1186">
            <v>11931</v>
          </cell>
        </row>
        <row r="1187">
          <cell r="H1187">
            <v>17994</v>
          </cell>
        </row>
        <row r="1188">
          <cell r="H1188">
            <v>17078</v>
          </cell>
        </row>
        <row r="1189">
          <cell r="H1189">
            <v>3937</v>
          </cell>
        </row>
        <row r="1190">
          <cell r="H1190">
            <v>13186</v>
          </cell>
        </row>
        <row r="1191">
          <cell r="H1191">
            <v>10204</v>
          </cell>
        </row>
        <row r="1192">
          <cell r="H1192">
            <v>50000</v>
          </cell>
        </row>
        <row r="1193">
          <cell r="H1193">
            <v>80000</v>
          </cell>
        </row>
        <row r="1194">
          <cell r="H1194">
            <v>32083</v>
          </cell>
        </row>
        <row r="1195">
          <cell r="H1195">
            <v>5992</v>
          </cell>
        </row>
        <row r="1196">
          <cell r="H1196">
            <v>27344</v>
          </cell>
        </row>
        <row r="1197">
          <cell r="H1197">
            <v>43408</v>
          </cell>
        </row>
        <row r="1198">
          <cell r="H1198">
            <v>969</v>
          </cell>
        </row>
        <row r="1199">
          <cell r="H1199">
            <v>21460</v>
          </cell>
        </row>
        <row r="1200">
          <cell r="H1200">
            <v>3714</v>
          </cell>
        </row>
        <row r="1201">
          <cell r="H1201">
            <v>51356</v>
          </cell>
        </row>
        <row r="1202">
          <cell r="H1202">
            <v>32383</v>
          </cell>
        </row>
        <row r="1203">
          <cell r="H1203">
            <v>15361</v>
          </cell>
        </row>
        <row r="1204">
          <cell r="H1204">
            <v>53811</v>
          </cell>
        </row>
        <row r="1205">
          <cell r="H1205">
            <v>11983</v>
          </cell>
        </row>
        <row r="1206">
          <cell r="H1206">
            <v>47002</v>
          </cell>
        </row>
        <row r="1207">
          <cell r="H1207">
            <v>73414</v>
          </cell>
        </row>
        <row r="1208">
          <cell r="H1208">
            <v>82179</v>
          </cell>
        </row>
        <row r="1209">
          <cell r="H1209">
            <v>71285</v>
          </cell>
        </row>
        <row r="1210">
          <cell r="H1210">
            <v>6650</v>
          </cell>
        </row>
        <row r="1211">
          <cell r="H1211">
            <v>30311</v>
          </cell>
        </row>
        <row r="1212">
          <cell r="H1212">
            <v>75080</v>
          </cell>
        </row>
        <row r="1213">
          <cell r="H1213">
            <v>128876</v>
          </cell>
        </row>
        <row r="1214">
          <cell r="H1214">
            <v>74024</v>
          </cell>
        </row>
        <row r="1215">
          <cell r="H1215">
            <v>69402</v>
          </cell>
        </row>
        <row r="1216">
          <cell r="H1216">
            <v>57429</v>
          </cell>
        </row>
        <row r="1217">
          <cell r="H1217">
            <v>15601</v>
          </cell>
        </row>
        <row r="1218">
          <cell r="H1218">
            <v>64138</v>
          </cell>
        </row>
        <row r="1219">
          <cell r="H1219">
            <v>356197</v>
          </cell>
        </row>
        <row r="1220">
          <cell r="H1220">
            <v>32402</v>
          </cell>
        </row>
        <row r="1221">
          <cell r="H1221">
            <v>23498</v>
          </cell>
        </row>
        <row r="1222">
          <cell r="H1222">
            <v>516</v>
          </cell>
        </row>
        <row r="1223">
          <cell r="H1223">
            <v>100200</v>
          </cell>
        </row>
        <row r="1224">
          <cell r="H1224">
            <v>100283</v>
          </cell>
        </row>
        <row r="1225">
          <cell r="H1225">
            <v>68386</v>
          </cell>
        </row>
        <row r="1226">
          <cell r="H1226">
            <v>48652</v>
          </cell>
        </row>
        <row r="1227">
          <cell r="H1227">
            <v>850</v>
          </cell>
        </row>
        <row r="1228">
          <cell r="H1228">
            <v>56149</v>
          </cell>
        </row>
        <row r="1229">
          <cell r="H1229">
            <v>91683</v>
          </cell>
        </row>
        <row r="1230">
          <cell r="H1230">
            <v>33053</v>
          </cell>
        </row>
        <row r="1231">
          <cell r="H1231">
            <v>17760</v>
          </cell>
        </row>
        <row r="1232">
          <cell r="H1232">
            <v>72227</v>
          </cell>
        </row>
        <row r="1233">
          <cell r="H1233">
            <v>19443</v>
          </cell>
        </row>
        <row r="1234">
          <cell r="H1234">
            <v>43694</v>
          </cell>
        </row>
        <row r="1235">
          <cell r="H1235">
            <v>5558</v>
          </cell>
        </row>
        <row r="1236">
          <cell r="H1236">
            <v>43373</v>
          </cell>
        </row>
        <row r="1237">
          <cell r="H1237">
            <v>81425</v>
          </cell>
        </row>
        <row r="1238">
          <cell r="H1238">
            <v>8000</v>
          </cell>
        </row>
        <row r="1239">
          <cell r="H1239">
            <v>12255</v>
          </cell>
        </row>
        <row r="1240">
          <cell r="H1240">
            <v>10000</v>
          </cell>
        </row>
        <row r="1241">
          <cell r="H1241">
            <v>10000</v>
          </cell>
        </row>
        <row r="1242">
          <cell r="H1242">
            <v>16000</v>
          </cell>
        </row>
        <row r="1243">
          <cell r="H1243">
            <v>4646</v>
          </cell>
        </row>
        <row r="1244">
          <cell r="H1244">
            <v>6000</v>
          </cell>
        </row>
        <row r="1245">
          <cell r="H1245">
            <v>4000</v>
          </cell>
        </row>
        <row r="1246">
          <cell r="H1246">
            <v>10000</v>
          </cell>
        </row>
        <row r="1247">
          <cell r="H1247">
            <v>20000</v>
          </cell>
        </row>
        <row r="1248">
          <cell r="H1248">
            <v>2299</v>
          </cell>
        </row>
        <row r="1249">
          <cell r="H1249">
            <v>2788</v>
          </cell>
        </row>
        <row r="1250">
          <cell r="H1250">
            <v>10000</v>
          </cell>
        </row>
        <row r="1251">
          <cell r="H1251">
            <v>46316</v>
          </cell>
        </row>
        <row r="1252">
          <cell r="H1252">
            <v>26000</v>
          </cell>
        </row>
        <row r="1253">
          <cell r="H1253">
            <v>28000</v>
          </cell>
        </row>
        <row r="1254">
          <cell r="H1254">
            <v>80000</v>
          </cell>
        </row>
        <row r="1255">
          <cell r="H1255">
            <v>40000</v>
          </cell>
        </row>
        <row r="1256">
          <cell r="H1256">
            <v>10000</v>
          </cell>
        </row>
        <row r="1257">
          <cell r="H1257">
            <v>20000</v>
          </cell>
        </row>
        <row r="1258">
          <cell r="H1258">
            <v>3820</v>
          </cell>
        </row>
        <row r="1259">
          <cell r="H1259">
            <v>6312</v>
          </cell>
        </row>
        <row r="1260">
          <cell r="H1260">
            <v>7270</v>
          </cell>
        </row>
        <row r="1261">
          <cell r="H1261">
            <v>66360</v>
          </cell>
        </row>
        <row r="1262">
          <cell r="H1262">
            <v>66405</v>
          </cell>
        </row>
        <row r="1263">
          <cell r="H1263">
            <v>39827</v>
          </cell>
        </row>
        <row r="1264">
          <cell r="H1264">
            <v>56395</v>
          </cell>
        </row>
        <row r="1265">
          <cell r="H1265">
            <v>88411</v>
          </cell>
        </row>
        <row r="1266">
          <cell r="H1266">
            <v>4520</v>
          </cell>
        </row>
        <row r="1267">
          <cell r="H1267">
            <v>18523</v>
          </cell>
        </row>
        <row r="1268">
          <cell r="H1268">
            <v>15733</v>
          </cell>
        </row>
        <row r="1269">
          <cell r="H1269">
            <v>76342</v>
          </cell>
        </row>
        <row r="1270">
          <cell r="H1270">
            <v>105133</v>
          </cell>
        </row>
        <row r="1271">
          <cell r="H1271">
            <v>63983</v>
          </cell>
        </row>
        <row r="1272">
          <cell r="H1272">
            <v>111592</v>
          </cell>
        </row>
        <row r="1273">
          <cell r="H1273">
            <v>7468</v>
          </cell>
        </row>
        <row r="1274">
          <cell r="H1274">
            <v>10589</v>
          </cell>
        </row>
        <row r="1275">
          <cell r="H1275">
            <v>18619</v>
          </cell>
        </row>
        <row r="1276">
          <cell r="H1276">
            <v>63367</v>
          </cell>
        </row>
        <row r="1277">
          <cell r="H1277">
            <v>30000</v>
          </cell>
        </row>
        <row r="1278">
          <cell r="H1278">
            <v>3425</v>
          </cell>
        </row>
        <row r="1279">
          <cell r="H1279">
            <v>60000</v>
          </cell>
        </row>
        <row r="1280">
          <cell r="H1280">
            <v>29153</v>
          </cell>
        </row>
        <row r="1281">
          <cell r="H1281">
            <v>550641</v>
          </cell>
        </row>
        <row r="1282">
          <cell r="H1282">
            <v>425518</v>
          </cell>
        </row>
        <row r="1283">
          <cell r="H1283">
            <v>427800</v>
          </cell>
        </row>
        <row r="1284">
          <cell r="H1284">
            <v>251277</v>
          </cell>
        </row>
        <row r="1285">
          <cell r="H1285">
            <v>170007</v>
          </cell>
        </row>
        <row r="1286">
          <cell r="H1286">
            <v>107565</v>
          </cell>
        </row>
        <row r="1287">
          <cell r="H1287">
            <v>244747</v>
          </cell>
        </row>
        <row r="1288">
          <cell r="H1288">
            <v>386100</v>
          </cell>
        </row>
        <row r="1289">
          <cell r="H1289">
            <v>89046</v>
          </cell>
        </row>
        <row r="1290">
          <cell r="H1290">
            <v>363956</v>
          </cell>
        </row>
        <row r="1291">
          <cell r="H1291">
            <v>401716</v>
          </cell>
        </row>
        <row r="1292">
          <cell r="H1292">
            <v>67742</v>
          </cell>
        </row>
        <row r="1293">
          <cell r="H1293">
            <v>80000</v>
          </cell>
        </row>
        <row r="1294">
          <cell r="H1294">
            <v>5515</v>
          </cell>
        </row>
        <row r="1295">
          <cell r="H1295">
            <v>64000</v>
          </cell>
        </row>
        <row r="1296">
          <cell r="H1296">
            <v>97098</v>
          </cell>
        </row>
        <row r="1297">
          <cell r="H1297">
            <v>123196</v>
          </cell>
        </row>
        <row r="1298">
          <cell r="H1298">
            <v>69824</v>
          </cell>
        </row>
        <row r="1299">
          <cell r="H1299">
            <v>110325</v>
          </cell>
        </row>
        <row r="1300">
          <cell r="H1300">
            <v>192018</v>
          </cell>
        </row>
        <row r="1301">
          <cell r="H1301">
            <v>22352</v>
          </cell>
        </row>
        <row r="1302">
          <cell r="H1302">
            <v>49464</v>
          </cell>
        </row>
        <row r="1303">
          <cell r="H1303">
            <v>42745</v>
          </cell>
        </row>
        <row r="1304">
          <cell r="H1304">
            <v>55714</v>
          </cell>
        </row>
        <row r="1305">
          <cell r="H1305">
            <v>68846</v>
          </cell>
        </row>
        <row r="1306">
          <cell r="H1306">
            <v>19137</v>
          </cell>
        </row>
        <row r="1307">
          <cell r="H1307">
            <v>8297</v>
          </cell>
        </row>
        <row r="1308">
          <cell r="H1308">
            <v>6370</v>
          </cell>
        </row>
        <row r="1309">
          <cell r="H1309">
            <v>48444</v>
          </cell>
        </row>
        <row r="1310">
          <cell r="H1310">
            <v>14180</v>
          </cell>
        </row>
        <row r="1311">
          <cell r="H1311">
            <v>47224</v>
          </cell>
        </row>
        <row r="1312">
          <cell r="H1312">
            <v>41653</v>
          </cell>
        </row>
        <row r="1313">
          <cell r="H1313">
            <v>38197</v>
          </cell>
        </row>
        <row r="1314">
          <cell r="H1314">
            <v>46571</v>
          </cell>
        </row>
        <row r="1315">
          <cell r="H1315">
            <v>49315</v>
          </cell>
        </row>
        <row r="1316">
          <cell r="H1316">
            <v>39850</v>
          </cell>
        </row>
        <row r="1317">
          <cell r="H1317">
            <v>44196</v>
          </cell>
        </row>
        <row r="1318">
          <cell r="H1318">
            <v>61784</v>
          </cell>
        </row>
        <row r="1319">
          <cell r="H1319">
            <v>26248</v>
          </cell>
        </row>
        <row r="1320">
          <cell r="H1320">
            <v>36836</v>
          </cell>
        </row>
        <row r="1321">
          <cell r="H1321">
            <v>35233</v>
          </cell>
        </row>
        <row r="1322">
          <cell r="H1322">
            <v>22716</v>
          </cell>
        </row>
        <row r="1323">
          <cell r="H1323">
            <v>15680</v>
          </cell>
        </row>
        <row r="1324">
          <cell r="H1324">
            <v>18074</v>
          </cell>
        </row>
        <row r="1325">
          <cell r="H1325">
            <v>49025</v>
          </cell>
        </row>
        <row r="1326">
          <cell r="H1326">
            <v>31488</v>
          </cell>
        </row>
        <row r="1327">
          <cell r="H1327">
            <v>45182</v>
          </cell>
        </row>
        <row r="1328">
          <cell r="H1328">
            <v>41391</v>
          </cell>
        </row>
        <row r="1329">
          <cell r="H1329">
            <v>13748</v>
          </cell>
        </row>
        <row r="1330">
          <cell r="H1330">
            <v>67205</v>
          </cell>
        </row>
        <row r="1331">
          <cell r="H1331">
            <v>467</v>
          </cell>
        </row>
        <row r="1332">
          <cell r="H1332">
            <v>22014</v>
          </cell>
        </row>
        <row r="1333">
          <cell r="H1333">
            <v>16802</v>
          </cell>
        </row>
        <row r="1334">
          <cell r="H1334">
            <v>5174</v>
          </cell>
        </row>
        <row r="1335">
          <cell r="H1335">
            <v>9100</v>
          </cell>
        </row>
        <row r="1336">
          <cell r="H1336">
            <v>1791</v>
          </cell>
        </row>
        <row r="1337">
          <cell r="H1337">
            <v>19848</v>
          </cell>
        </row>
        <row r="1338">
          <cell r="H1338">
            <v>74586</v>
          </cell>
        </row>
        <row r="1339">
          <cell r="H1339">
            <v>18625</v>
          </cell>
        </row>
        <row r="1340">
          <cell r="H1340">
            <v>42195</v>
          </cell>
        </row>
        <row r="1341">
          <cell r="H1341">
            <v>21251</v>
          </cell>
        </row>
        <row r="1342">
          <cell r="H1342">
            <v>64470</v>
          </cell>
        </row>
        <row r="1343">
          <cell r="H1343">
            <v>6013</v>
          </cell>
        </row>
        <row r="1344">
          <cell r="H1344">
            <v>57447</v>
          </cell>
        </row>
        <row r="1345">
          <cell r="H1345">
            <v>57255</v>
          </cell>
        </row>
        <row r="1346">
          <cell r="H1346">
            <v>26044</v>
          </cell>
        </row>
        <row r="1347">
          <cell r="H1347">
            <v>42547</v>
          </cell>
        </row>
        <row r="1348">
          <cell r="H1348">
            <v>76684</v>
          </cell>
        </row>
        <row r="1349">
          <cell r="H1349">
            <v>106711</v>
          </cell>
        </row>
        <row r="1350">
          <cell r="H1350">
            <v>10043</v>
          </cell>
        </row>
        <row r="1351">
          <cell r="H1351">
            <v>40983</v>
          </cell>
        </row>
        <row r="1352">
          <cell r="H1352">
            <v>94760</v>
          </cell>
        </row>
        <row r="1353">
          <cell r="H1353">
            <v>32969</v>
          </cell>
        </row>
        <row r="1354">
          <cell r="H1354">
            <v>54349</v>
          </cell>
        </row>
        <row r="1355">
          <cell r="H1355">
            <v>16505</v>
          </cell>
        </row>
        <row r="1356">
          <cell r="H1356">
            <v>27958</v>
          </cell>
        </row>
        <row r="1357">
          <cell r="H1357">
            <v>37867</v>
          </cell>
        </row>
        <row r="1358">
          <cell r="H1358">
            <v>19303</v>
          </cell>
        </row>
        <row r="1359">
          <cell r="H1359">
            <v>14060</v>
          </cell>
        </row>
        <row r="1360">
          <cell r="H1360">
            <v>41651</v>
          </cell>
        </row>
        <row r="1361">
          <cell r="H1361">
            <v>68078</v>
          </cell>
        </row>
        <row r="1362">
          <cell r="H1362">
            <v>29584</v>
          </cell>
        </row>
        <row r="1363">
          <cell r="H1363">
            <v>33914</v>
          </cell>
        </row>
        <row r="1364">
          <cell r="H1364">
            <v>25617</v>
          </cell>
        </row>
        <row r="1365">
          <cell r="H1365">
            <v>8597</v>
          </cell>
        </row>
        <row r="1366">
          <cell r="H1366">
            <v>44105</v>
          </cell>
        </row>
        <row r="1367">
          <cell r="H1367">
            <v>7076</v>
          </cell>
        </row>
        <row r="1368">
          <cell r="H1368">
            <v>49763</v>
          </cell>
        </row>
        <row r="1369">
          <cell r="H1369">
            <v>29079</v>
          </cell>
        </row>
        <row r="1370">
          <cell r="H1370">
            <v>11960</v>
          </cell>
        </row>
        <row r="1371">
          <cell r="H1371">
            <v>25410</v>
          </cell>
        </row>
        <row r="1372">
          <cell r="H1372">
            <v>43693</v>
          </cell>
        </row>
        <row r="1373">
          <cell r="H1373">
            <v>43858</v>
          </cell>
        </row>
        <row r="1374">
          <cell r="H1374">
            <v>24441</v>
          </cell>
        </row>
        <row r="1375">
          <cell r="H1375">
            <v>10836</v>
          </cell>
        </row>
        <row r="1376">
          <cell r="H1376">
            <v>51168</v>
          </cell>
        </row>
        <row r="1377">
          <cell r="H1377">
            <v>7748</v>
          </cell>
        </row>
        <row r="1378">
          <cell r="H1378">
            <v>42373</v>
          </cell>
        </row>
        <row r="1379">
          <cell r="H1379">
            <v>31647</v>
          </cell>
        </row>
        <row r="1380">
          <cell r="H1380">
            <v>49788</v>
          </cell>
        </row>
        <row r="1381">
          <cell r="H1381">
            <v>19466</v>
          </cell>
        </row>
        <row r="1382">
          <cell r="H1382">
            <v>49550</v>
          </cell>
        </row>
        <row r="1383">
          <cell r="H1383">
            <v>35103</v>
          </cell>
        </row>
        <row r="1384">
          <cell r="H1384">
            <v>7420</v>
          </cell>
        </row>
        <row r="1385">
          <cell r="H1385">
            <v>53044</v>
          </cell>
        </row>
        <row r="1386">
          <cell r="H1386">
            <v>21199</v>
          </cell>
        </row>
        <row r="1387">
          <cell r="H1387">
            <v>131472</v>
          </cell>
        </row>
        <row r="1388">
          <cell r="H1388">
            <v>32473</v>
          </cell>
        </row>
        <row r="1389">
          <cell r="H1389">
            <v>58107</v>
          </cell>
        </row>
        <row r="1390">
          <cell r="H1390">
            <v>194215</v>
          </cell>
        </row>
        <row r="1391">
          <cell r="H1391">
            <v>79272</v>
          </cell>
        </row>
        <row r="1392">
          <cell r="H1392">
            <v>52589</v>
          </cell>
        </row>
        <row r="1393">
          <cell r="H1393">
            <v>10916</v>
          </cell>
        </row>
        <row r="1394">
          <cell r="H1394">
            <v>58389</v>
          </cell>
        </row>
        <row r="1395">
          <cell r="H1395">
            <v>2819</v>
          </cell>
        </row>
        <row r="1396">
          <cell r="H1396">
            <v>10646</v>
          </cell>
        </row>
        <row r="1397">
          <cell r="H1397">
            <v>39885</v>
          </cell>
        </row>
        <row r="1398">
          <cell r="H1398">
            <v>52132</v>
          </cell>
        </row>
        <row r="1399">
          <cell r="H1399">
            <v>41235</v>
          </cell>
        </row>
        <row r="1400">
          <cell r="H1400">
            <v>19002</v>
          </cell>
        </row>
        <row r="1401">
          <cell r="H1401">
            <v>45323</v>
          </cell>
        </row>
        <row r="1402">
          <cell r="H1402">
            <v>29725</v>
          </cell>
        </row>
        <row r="1403">
          <cell r="H1403">
            <v>10164</v>
          </cell>
        </row>
        <row r="1404">
          <cell r="H1404">
            <v>79827</v>
          </cell>
        </row>
        <row r="1405">
          <cell r="H1405">
            <v>23030</v>
          </cell>
        </row>
        <row r="1406">
          <cell r="H1406">
            <v>1582</v>
          </cell>
        </row>
        <row r="1407">
          <cell r="H1407">
            <v>8113</v>
          </cell>
        </row>
        <row r="1408">
          <cell r="H1408">
            <v>43505</v>
          </cell>
        </row>
        <row r="1409">
          <cell r="H1409">
            <v>1366</v>
          </cell>
        </row>
        <row r="1410">
          <cell r="H1410">
            <v>23839</v>
          </cell>
        </row>
        <row r="1411">
          <cell r="H1411">
            <v>27089</v>
          </cell>
        </row>
        <row r="1412">
          <cell r="H1412">
            <v>1406</v>
          </cell>
        </row>
        <row r="1413">
          <cell r="H1413">
            <v>31947</v>
          </cell>
        </row>
        <row r="1414">
          <cell r="H1414">
            <v>30000</v>
          </cell>
        </row>
        <row r="1415">
          <cell r="H1415">
            <v>37578</v>
          </cell>
        </row>
        <row r="1416">
          <cell r="H1416">
            <v>27547</v>
          </cell>
        </row>
        <row r="1417">
          <cell r="H1417">
            <v>57000</v>
          </cell>
        </row>
        <row r="1418">
          <cell r="H1418">
            <v>36000</v>
          </cell>
        </row>
        <row r="1419">
          <cell r="H1419">
            <v>7200</v>
          </cell>
        </row>
        <row r="1420">
          <cell r="H1420">
            <v>5400</v>
          </cell>
        </row>
        <row r="1421">
          <cell r="H1421">
            <v>65131</v>
          </cell>
        </row>
        <row r="1422">
          <cell r="H1422">
            <v>10</v>
          </cell>
        </row>
        <row r="1423">
          <cell r="H1423">
            <v>42681</v>
          </cell>
        </row>
        <row r="1424">
          <cell r="H1424">
            <v>70479</v>
          </cell>
        </row>
        <row r="1425">
          <cell r="H1425">
            <v>82646</v>
          </cell>
        </row>
        <row r="1426">
          <cell r="H1426">
            <v>2500</v>
          </cell>
        </row>
        <row r="1427">
          <cell r="H1427">
            <v>64542</v>
          </cell>
        </row>
        <row r="1428">
          <cell r="H1428">
            <v>21991</v>
          </cell>
        </row>
        <row r="1429">
          <cell r="H1429">
            <v>13369</v>
          </cell>
        </row>
        <row r="1430">
          <cell r="H1430">
            <v>16509</v>
          </cell>
        </row>
        <row r="1431">
          <cell r="H1431">
            <v>2040</v>
          </cell>
        </row>
        <row r="1432">
          <cell r="H1432">
            <v>20000</v>
          </cell>
        </row>
        <row r="1433">
          <cell r="H1433">
            <v>50000</v>
          </cell>
        </row>
        <row r="1434">
          <cell r="H1434">
            <v>50000</v>
          </cell>
        </row>
        <row r="1435">
          <cell r="H1435">
            <v>40000</v>
          </cell>
        </row>
        <row r="1436">
          <cell r="H1436">
            <v>20000</v>
          </cell>
        </row>
        <row r="1437">
          <cell r="H1437">
            <v>31784</v>
          </cell>
        </row>
        <row r="1438">
          <cell r="H1438">
            <v>34000</v>
          </cell>
        </row>
        <row r="1439">
          <cell r="H1439">
            <v>2758</v>
          </cell>
        </row>
        <row r="1440">
          <cell r="H1440">
            <v>25197</v>
          </cell>
        </row>
        <row r="1441">
          <cell r="H1441">
            <v>39469</v>
          </cell>
        </row>
        <row r="1442">
          <cell r="H1442">
            <v>54004</v>
          </cell>
        </row>
        <row r="1443">
          <cell r="H1443">
            <v>40620</v>
          </cell>
        </row>
        <row r="1444">
          <cell r="H1444">
            <v>77725</v>
          </cell>
        </row>
        <row r="1445">
          <cell r="H1445">
            <v>4204</v>
          </cell>
        </row>
        <row r="1446">
          <cell r="H1446">
            <v>5374</v>
          </cell>
        </row>
        <row r="1447">
          <cell r="H1447">
            <v>7151</v>
          </cell>
        </row>
        <row r="1448">
          <cell r="H1448">
            <v>10577</v>
          </cell>
        </row>
        <row r="1449">
          <cell r="H1449">
            <v>19084</v>
          </cell>
        </row>
        <row r="1450">
          <cell r="H1450">
            <v>44433</v>
          </cell>
        </row>
        <row r="1451">
          <cell r="H1451">
            <v>26637</v>
          </cell>
        </row>
        <row r="1452">
          <cell r="H1452">
            <v>10941</v>
          </cell>
        </row>
        <row r="1453">
          <cell r="H1453">
            <v>25563</v>
          </cell>
        </row>
        <row r="1454">
          <cell r="H1454">
            <v>10280</v>
          </cell>
        </row>
        <row r="1455">
          <cell r="H1455">
            <v>30967</v>
          </cell>
        </row>
        <row r="1456">
          <cell r="H1456">
            <v>29743</v>
          </cell>
        </row>
        <row r="1457">
          <cell r="H1457">
            <v>3277</v>
          </cell>
        </row>
        <row r="1458">
          <cell r="H1458">
            <v>41000</v>
          </cell>
        </row>
        <row r="1459">
          <cell r="H1459">
            <v>9295</v>
          </cell>
        </row>
        <row r="1460">
          <cell r="H1460">
            <v>22486</v>
          </cell>
        </row>
        <row r="1461">
          <cell r="H1461">
            <v>13435</v>
          </cell>
        </row>
        <row r="1462">
          <cell r="H1462">
            <v>1601</v>
          </cell>
        </row>
        <row r="1463">
          <cell r="H1463">
            <v>26965</v>
          </cell>
        </row>
        <row r="1464">
          <cell r="H1464">
            <v>30684</v>
          </cell>
        </row>
        <row r="1465">
          <cell r="H1465">
            <v>16043</v>
          </cell>
        </row>
        <row r="1466">
          <cell r="H1466">
            <v>140415</v>
          </cell>
        </row>
        <row r="1467">
          <cell r="H1467">
            <v>88339</v>
          </cell>
        </row>
        <row r="1468">
          <cell r="H1468">
            <v>144850</v>
          </cell>
        </row>
        <row r="1469">
          <cell r="H1469">
            <v>64428</v>
          </cell>
        </row>
        <row r="1470">
          <cell r="H1470">
            <v>12000</v>
          </cell>
        </row>
        <row r="1471">
          <cell r="H1471">
            <v>53433</v>
          </cell>
        </row>
        <row r="1472">
          <cell r="H1472">
            <v>60872</v>
          </cell>
        </row>
        <row r="1473">
          <cell r="H1473">
            <v>6764</v>
          </cell>
        </row>
        <row r="1474">
          <cell r="H1474">
            <v>6412</v>
          </cell>
        </row>
        <row r="1475">
          <cell r="H1475">
            <v>14004</v>
          </cell>
        </row>
        <row r="1476">
          <cell r="H1476">
            <v>1175</v>
          </cell>
        </row>
        <row r="1477">
          <cell r="H1477">
            <v>3303</v>
          </cell>
        </row>
        <row r="1478">
          <cell r="H1478">
            <v>62979</v>
          </cell>
        </row>
        <row r="1479">
          <cell r="H1479">
            <v>136371</v>
          </cell>
        </row>
        <row r="1480">
          <cell r="H1480">
            <v>48840</v>
          </cell>
        </row>
        <row r="1481">
          <cell r="H1481">
            <v>8575</v>
          </cell>
        </row>
        <row r="1482">
          <cell r="H1482">
            <v>36236</v>
          </cell>
        </row>
        <row r="1483">
          <cell r="H1483">
            <v>63241</v>
          </cell>
        </row>
        <row r="1484">
          <cell r="H1484">
            <v>89737</v>
          </cell>
        </row>
        <row r="1485">
          <cell r="H1485">
            <v>25151</v>
          </cell>
        </row>
        <row r="1486">
          <cell r="H1486">
            <v>310095</v>
          </cell>
        </row>
        <row r="1487">
          <cell r="H1487">
            <v>600000</v>
          </cell>
        </row>
        <row r="1488">
          <cell r="H1488">
            <v>291965</v>
          </cell>
        </row>
        <row r="1489">
          <cell r="H1489">
            <v>676440</v>
          </cell>
        </row>
        <row r="1490">
          <cell r="H1490">
            <v>109333</v>
          </cell>
        </row>
        <row r="1491">
          <cell r="H1491">
            <v>366940</v>
          </cell>
        </row>
        <row r="1492">
          <cell r="H1492">
            <v>500026</v>
          </cell>
        </row>
        <row r="1493">
          <cell r="H1493">
            <v>128630</v>
          </cell>
        </row>
        <row r="1494">
          <cell r="H1494">
            <v>434208</v>
          </cell>
        </row>
        <row r="1495">
          <cell r="H1495">
            <v>264031</v>
          </cell>
        </row>
        <row r="1496">
          <cell r="H1496">
            <v>23899</v>
          </cell>
        </row>
        <row r="1497">
          <cell r="H1497">
            <v>118000</v>
          </cell>
        </row>
        <row r="1498">
          <cell r="H1498">
            <v>58597</v>
          </cell>
        </row>
        <row r="1499">
          <cell r="H1499">
            <v>296750</v>
          </cell>
        </row>
        <row r="1500">
          <cell r="H1500">
            <v>13252</v>
          </cell>
        </row>
        <row r="1501">
          <cell r="H1501">
            <v>9918</v>
          </cell>
        </row>
        <row r="1502">
          <cell r="H1502">
            <v>192000</v>
          </cell>
        </row>
        <row r="1503">
          <cell r="H1503">
            <v>99276</v>
          </cell>
        </row>
        <row r="1504">
          <cell r="H1504">
            <v>2160</v>
          </cell>
        </row>
        <row r="1505">
          <cell r="H1505">
            <v>178000</v>
          </cell>
        </row>
        <row r="1506">
          <cell r="H1506">
            <v>87933</v>
          </cell>
        </row>
        <row r="1507">
          <cell r="H1507">
            <v>30536</v>
          </cell>
        </row>
        <row r="1508">
          <cell r="H1508">
            <v>1721</v>
          </cell>
        </row>
        <row r="1509">
          <cell r="H1509">
            <v>190124</v>
          </cell>
        </row>
        <row r="1510">
          <cell r="H1510">
            <v>6108</v>
          </cell>
        </row>
        <row r="1511">
          <cell r="H1511">
            <v>52000</v>
          </cell>
        </row>
        <row r="1512">
          <cell r="H1512">
            <v>27981</v>
          </cell>
        </row>
        <row r="1513">
          <cell r="H1513">
            <v>296750</v>
          </cell>
        </row>
        <row r="1514">
          <cell r="H1514">
            <v>48739</v>
          </cell>
        </row>
        <row r="1515">
          <cell r="H1515">
            <v>33174</v>
          </cell>
        </row>
        <row r="1516">
          <cell r="H1516">
            <v>32592</v>
          </cell>
        </row>
        <row r="1517">
          <cell r="H1517">
            <v>35210</v>
          </cell>
        </row>
        <row r="1518">
          <cell r="H1518">
            <v>4688</v>
          </cell>
        </row>
        <row r="1519">
          <cell r="H1519">
            <v>4688</v>
          </cell>
        </row>
        <row r="1520">
          <cell r="H1520">
            <v>4688</v>
          </cell>
        </row>
        <row r="1521">
          <cell r="H1521">
            <v>4688</v>
          </cell>
        </row>
        <row r="1522">
          <cell r="H1522">
            <v>4688</v>
          </cell>
        </row>
        <row r="1523">
          <cell r="H1523">
            <v>4688</v>
          </cell>
        </row>
        <row r="1524">
          <cell r="H1524">
            <v>4688</v>
          </cell>
        </row>
        <row r="1525">
          <cell r="H1525">
            <v>4688</v>
          </cell>
        </row>
        <row r="1526">
          <cell r="H1526">
            <v>4688</v>
          </cell>
        </row>
        <row r="1527">
          <cell r="H1527">
            <v>4688</v>
          </cell>
        </row>
        <row r="1528">
          <cell r="H1528">
            <v>4688</v>
          </cell>
        </row>
        <row r="1529">
          <cell r="H1529">
            <v>4688</v>
          </cell>
        </row>
      </sheetData>
      <sheetData sheetId="31"/>
      <sheetData sheetId="32"/>
      <sheetData sheetId="33">
        <row r="1">
          <cell r="P1">
            <v>285227458</v>
          </cell>
        </row>
        <row r="2">
          <cell r="P2">
            <v>0</v>
          </cell>
        </row>
        <row r="3">
          <cell r="M3">
            <v>284964958</v>
          </cell>
          <cell r="N3">
            <v>284964958</v>
          </cell>
          <cell r="O3">
            <v>262500</v>
          </cell>
          <cell r="P3">
            <v>285227458</v>
          </cell>
          <cell r="Q3">
            <v>284964958</v>
          </cell>
          <cell r="R3">
            <v>0</v>
          </cell>
        </row>
        <row r="4">
          <cell r="M4">
            <v>0</v>
          </cell>
          <cell r="N4">
            <v>0</v>
          </cell>
          <cell r="P4">
            <v>0</v>
          </cell>
          <cell r="Q4">
            <v>0</v>
          </cell>
          <cell r="R4">
            <v>0.3</v>
          </cell>
        </row>
        <row r="5">
          <cell r="M5">
            <v>284964958</v>
          </cell>
          <cell r="P5">
            <v>0</v>
          </cell>
          <cell r="Q5">
            <v>0</v>
          </cell>
          <cell r="R5">
            <v>0</v>
          </cell>
        </row>
        <row r="6">
          <cell r="Q6">
            <v>0</v>
          </cell>
          <cell r="R6">
            <v>0</v>
          </cell>
        </row>
        <row r="7">
          <cell r="Q7">
            <v>0</v>
          </cell>
        </row>
        <row r="8">
          <cell r="Q8">
            <v>0</v>
          </cell>
        </row>
        <row r="9">
          <cell r="O9">
            <v>0</v>
          </cell>
          <cell r="Q9">
            <v>0</v>
          </cell>
          <cell r="R9">
            <v>0</v>
          </cell>
        </row>
        <row r="10">
          <cell r="O10">
            <v>0</v>
          </cell>
          <cell r="Q10">
            <v>0</v>
          </cell>
          <cell r="R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row>
        <row r="11">
          <cell r="Q11">
            <v>0</v>
          </cell>
          <cell r="R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row>
        <row r="12">
          <cell r="Q12">
            <v>0</v>
          </cell>
          <cell r="R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row>
        <row r="13">
          <cell r="Q13">
            <v>0</v>
          </cell>
          <cell r="R13">
            <v>0</v>
          </cell>
          <cell r="V13">
            <v>0</v>
          </cell>
          <cell r="W13">
            <v>0</v>
          </cell>
          <cell r="X13">
            <v>0</v>
          </cell>
          <cell r="Y13">
            <v>0</v>
          </cell>
          <cell r="Z13">
            <v>0</v>
          </cell>
          <cell r="AA13">
            <v>0</v>
          </cell>
          <cell r="AB13">
            <v>0</v>
          </cell>
          <cell r="AC13">
            <v>0</v>
          </cell>
          <cell r="AD13">
            <v>0</v>
          </cell>
          <cell r="AE13">
            <v>0</v>
          </cell>
          <cell r="AF13">
            <v>0</v>
          </cell>
          <cell r="AG13">
            <v>0</v>
          </cell>
          <cell r="AH13">
            <v>0</v>
          </cell>
          <cell r="AJ13">
            <v>0</v>
          </cell>
          <cell r="AK13">
            <v>0</v>
          </cell>
          <cell r="AL13">
            <v>0</v>
          </cell>
          <cell r="AM13">
            <v>0</v>
          </cell>
          <cell r="AN13">
            <v>0</v>
          </cell>
        </row>
        <row r="14">
          <cell r="Q14">
            <v>0</v>
          </cell>
          <cell r="V14">
            <v>0</v>
          </cell>
          <cell r="W14">
            <v>0</v>
          </cell>
          <cell r="X14">
            <v>0</v>
          </cell>
          <cell r="Y14">
            <v>0</v>
          </cell>
          <cell r="AD14">
            <v>0</v>
          </cell>
        </row>
        <row r="15">
          <cell r="Q15">
            <v>0</v>
          </cell>
          <cell r="R15">
            <v>0</v>
          </cell>
          <cell r="V15">
            <v>0</v>
          </cell>
          <cell r="W15">
            <v>0</v>
          </cell>
        </row>
        <row r="16">
          <cell r="Q16">
            <v>0</v>
          </cell>
          <cell r="R16">
            <v>0</v>
          </cell>
        </row>
        <row r="17">
          <cell r="D17">
            <v>85489487</v>
          </cell>
          <cell r="Q17">
            <v>0</v>
          </cell>
          <cell r="R17">
            <v>0</v>
          </cell>
        </row>
        <row r="18">
          <cell r="D18">
            <v>0</v>
          </cell>
          <cell r="Q18">
            <v>0</v>
          </cell>
          <cell r="R18">
            <v>0</v>
          </cell>
        </row>
        <row r="19">
          <cell r="Q19">
            <v>0</v>
          </cell>
          <cell r="R19">
            <v>0</v>
          </cell>
        </row>
        <row r="20">
          <cell r="D20">
            <v>0</v>
          </cell>
        </row>
        <row r="22">
          <cell r="D22">
            <v>4274474</v>
          </cell>
        </row>
        <row r="23">
          <cell r="D23">
            <v>0</v>
          </cell>
        </row>
        <row r="24">
          <cell r="D24">
            <v>4274474</v>
          </cell>
        </row>
        <row r="25">
          <cell r="D25">
            <v>2692919</v>
          </cell>
        </row>
        <row r="26">
          <cell r="D26">
            <v>92456880</v>
          </cell>
        </row>
        <row r="30">
          <cell r="Q30">
            <v>10000000</v>
          </cell>
          <cell r="R30">
            <v>0.1</v>
          </cell>
        </row>
        <row r="47">
          <cell r="M47">
            <v>113985983.2</v>
          </cell>
          <cell r="AJ47">
            <v>0</v>
          </cell>
        </row>
        <row r="48">
          <cell r="M48">
            <v>85489487.399999991</v>
          </cell>
          <cell r="AJ48">
            <v>0</v>
          </cell>
          <cell r="AK48">
            <v>85489487.399999991</v>
          </cell>
        </row>
        <row r="49">
          <cell r="AJ49">
            <v>0</v>
          </cell>
        </row>
        <row r="50">
          <cell r="AJ50">
            <v>0</v>
          </cell>
          <cell r="AK50">
            <v>85489487.399999991</v>
          </cell>
        </row>
        <row r="51">
          <cell r="AJ51">
            <v>0</v>
          </cell>
          <cell r="AK51">
            <v>85489487.399999991</v>
          </cell>
        </row>
        <row r="52">
          <cell r="AK52">
            <v>85489487.399999991</v>
          </cell>
        </row>
      </sheetData>
      <sheetData sheetId="34"/>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A 3.7"/>
      <sheetName val="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S-AY05-06"/>
      <sheetName val="Oth income (2)"/>
      <sheetName val="Computation as per AO (2)"/>
      <sheetName val="Computation as per AO (3)"/>
      <sheetName val="Tax Liability"/>
      <sheetName val="Computation as per AO"/>
      <sheetName val="MAT (AO)"/>
      <sheetName val="Computation AY05-06 (Revised)"/>
      <sheetName val="MAT (Revised)"/>
      <sheetName val="AdjAs per return-80IA (Revised)"/>
      <sheetName val="Oth income"/>
      <sheetName val="Computation AY05-06"/>
      <sheetName val="MAT"/>
      <sheetName val="Adj As per return-80IA"/>
      <sheetName val="units generated and sold"/>
      <sheetName val="Book Profit"/>
      <sheetName val="Support working"/>
      <sheetName val="FA Addidions Summery"/>
      <sheetName val="IT Depn-Supply-GEN"/>
      <sheetName val="IT Other Div"/>
      <sheetName val=" Dep Samalkot"/>
      <sheetName val="Depn Rspl"/>
      <sheetName val="Exchange Fluctuation"/>
      <sheetName val="tax-free-2004-2005"/>
      <sheetName val="Clause 21(i) Corporate"/>
      <sheetName val="Clause21(i) Supply"/>
      <sheetName val="21(i)-Contract"/>
      <sheetName val="Clause 21(i) DTPS"/>
      <sheetName val="21 (i)RSPL"/>
      <sheetName val="Donation"/>
      <sheetName val="BSPL"/>
      <sheetName val="RRT"/>
      <sheetName val="TDS "/>
      <sheetName val="Indian_client"/>
      <sheetName val="Bhutan_Client"/>
      <sheetName val="working other income"/>
      <sheetName val="Revised Tax Free income"/>
      <sheetName val="LOT 1"/>
      <sheetName val="80IA working &amp; Computation TOR-"/>
      <sheetName val="AssetsDataBase"/>
      <sheetName val="Computation AY04-05"/>
      <sheetName val="Computation AY04-05 (Revise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row r="2">
          <cell r="A2" t="str">
            <v>RELIANCE ENERGY LIMITED</v>
          </cell>
        </row>
        <row r="113">
          <cell r="A113" t="str">
            <v>RELIANCE ENERGY LIMITED</v>
          </cell>
        </row>
        <row r="114">
          <cell r="A114" t="str">
            <v xml:space="preserve">SCHEDULES ANNEXED TO AND FORMING PART OF THE ACCOUNTS                            </v>
          </cell>
        </row>
        <row r="117">
          <cell r="A117" t="str">
            <v>SCHEDULE 1 - SHARE CAPITAL</v>
          </cell>
        </row>
        <row r="118">
          <cell r="A118" t="str">
            <v xml:space="preserve"> (a) Authorised -</v>
          </cell>
        </row>
        <row r="119">
          <cell r="A119" t="str">
            <v>25,00,00,000  Equity Shares of Rs.10 each</v>
          </cell>
          <cell r="D119">
            <v>2500000000</v>
          </cell>
        </row>
        <row r="120">
          <cell r="A120" t="str">
            <v xml:space="preserve">       80,00,000 Equity Shares of Rs.10 each with differential rights</v>
          </cell>
          <cell r="D120">
            <v>80000000</v>
          </cell>
        </row>
        <row r="121">
          <cell r="A121" t="str">
            <v xml:space="preserve"> 155,00,00,000 (5,00,00,000)  Cumulative Redeemable </v>
          </cell>
        </row>
        <row r="122">
          <cell r="A122" t="str">
            <v xml:space="preserve">                     Preference Shares of Rs 10 each</v>
          </cell>
          <cell r="D122">
            <v>15500000000</v>
          </cell>
        </row>
        <row r="123">
          <cell r="A123" t="str">
            <v xml:space="preserve"> 4,20,00,000  Unclassified Shares of Rs.10  each</v>
          </cell>
          <cell r="D123">
            <v>420000000</v>
          </cell>
        </row>
        <row r="124">
          <cell r="D124">
            <v>18500000000</v>
          </cell>
        </row>
        <row r="125">
          <cell r="A125" t="str">
            <v xml:space="preserve"> (b) Issued -</v>
          </cell>
        </row>
        <row r="126">
          <cell r="A126" t="str">
            <v xml:space="preserve">       (i ) 15,08,87,630   Equity Shares of Rs.10 each</v>
          </cell>
          <cell r="D126">
            <v>1508876300</v>
          </cell>
        </row>
        <row r="127">
          <cell r="A127" t="str">
            <v xml:space="preserve">       (ii)   4,72,39,706 (4,62,40,697)  Equity Shares of Rs.10 each</v>
          </cell>
        </row>
        <row r="128">
          <cell r="A128" t="str">
            <v xml:space="preserve">                               by way of Global Depository Receipts</v>
          </cell>
          <cell r="D128">
            <v>472397060</v>
          </cell>
        </row>
        <row r="129">
          <cell r="D129">
            <v>1981273360</v>
          </cell>
        </row>
        <row r="130">
          <cell r="A130" t="str">
            <v xml:space="preserve"> (c) Subscribed  -</v>
          </cell>
        </row>
        <row r="131">
          <cell r="A131" t="str">
            <v xml:space="preserve">            18,55,72,799 (17,51,54,713) Equity Shares of Rs.10 each </v>
          </cell>
        </row>
        <row r="132">
          <cell r="A132" t="str">
            <v xml:space="preserve">                                                      fully paid up</v>
          </cell>
          <cell r="D132">
            <v>1855727990</v>
          </cell>
        </row>
        <row r="133">
          <cell r="A133" t="str">
            <v xml:space="preserve">   Add: Forfeited Shares- Amounts Originally paid up</v>
          </cell>
          <cell r="D133">
            <v>354479.25</v>
          </cell>
        </row>
        <row r="136">
          <cell r="D136">
            <v>1856082469.25</v>
          </cell>
        </row>
        <row r="137">
          <cell r="A137" t="str">
            <v xml:space="preserve">    Of the above Equity Shares -</v>
          </cell>
        </row>
        <row r="138">
          <cell r="A138" t="str">
            <v>(i) 1,38,400  Shares were allotted as fully paid up pursuant to a contract</v>
          </cell>
        </row>
        <row r="139">
          <cell r="A139" t="str">
            <v xml:space="preserve">  without payment being received in cash</v>
          </cell>
        </row>
        <row r="141">
          <cell r="A141" t="str">
            <v xml:space="preserve">(ii) 80,96,070  Shares were allotted as fully paid up Bonus Shares by </v>
          </cell>
        </row>
        <row r="142">
          <cell r="A142" t="str">
            <v>capitalisation of Rs.1,70,020 from Share Premium</v>
          </cell>
        </row>
        <row r="143">
          <cell r="A143" t="str">
            <v>Account and Rs.8,07,90,680 from General Reserve</v>
          </cell>
        </row>
        <row r="145">
          <cell r="A145" t="str">
            <v xml:space="preserve">(iii) 8,36,790  Shares were allotted on conversion of 7% </v>
          </cell>
        </row>
        <row r="146">
          <cell r="A146" t="str">
            <v>`B'Class Convertible Debentures</v>
          </cell>
        </row>
        <row r="148">
          <cell r="A148" t="str">
            <v xml:space="preserve">(iv)      56,100 Shares were allotted on conversion of 8.5% </v>
          </cell>
        </row>
        <row r="149">
          <cell r="A149" t="str">
            <v>`F'Class Convertible Debentures</v>
          </cell>
        </row>
        <row r="151">
          <cell r="A151" t="str">
            <v xml:space="preserve">(v)  4,59,92,760  Shares were allotted on conversion of 12.5% </v>
          </cell>
        </row>
        <row r="152">
          <cell r="A152" t="str">
            <v>Fully Convertible Debentures</v>
          </cell>
        </row>
        <row r="154">
          <cell r="A154" t="str">
            <v xml:space="preserve">(vi)  5,39,87,736  Shares were allotted on conversion of 15% </v>
          </cell>
        </row>
        <row r="155">
          <cell r="A155" t="str">
            <v xml:space="preserve"> Fully Convertible Debentures</v>
          </cell>
        </row>
        <row r="157">
          <cell r="A157" t="str">
            <v>(vii)  2,60,41,650  Shares were issued by way of Global Depository</v>
          </cell>
        </row>
        <row r="158">
          <cell r="A158" t="str">
            <v xml:space="preserve"> Receipts (GDR) through an international offering in  U.S.Dollars.</v>
          </cell>
        </row>
        <row r="159">
          <cell r="A159" t="str">
            <v xml:space="preserve"> [Out of which outstanding GDRs as at 31st March,2005 - 8,28,952 (8,28,952)]</v>
          </cell>
        </row>
        <row r="655">
          <cell r="A655" t="str">
            <v>RELIANCE ENERGY LIMITED</v>
          </cell>
        </row>
        <row r="656">
          <cell r="A656" t="str">
            <v xml:space="preserve">SCHEDULES ANNEXED TO AND FORMING PART OF THE ACCOUNTS                            </v>
          </cell>
        </row>
        <row r="659">
          <cell r="A659" t="str">
            <v>SCHEDULE 13 - EXPENDITURE OF EPC, CONTRACTS AND ELASTIMOLD DIVISIONS</v>
          </cell>
        </row>
        <row r="660">
          <cell r="A660" t="str">
            <v>(Other than Common Expenditure)</v>
          </cell>
        </row>
        <row r="661">
          <cell r="A661" t="str">
            <v>Cost of Materials and Sub-contract Charges</v>
          </cell>
          <cell r="D661">
            <v>10862739190.07</v>
          </cell>
        </row>
        <row r="663">
          <cell r="A663" t="str">
            <v>Cost of Elastimold</v>
          </cell>
          <cell r="D663">
            <v>12957933</v>
          </cell>
        </row>
        <row r="665">
          <cell r="A665" t="str">
            <v>Rent</v>
          </cell>
          <cell r="D665">
            <v>15926267.24</v>
          </cell>
        </row>
        <row r="666">
          <cell r="A666" t="str">
            <v>Repairs and Maintenance:</v>
          </cell>
        </row>
        <row r="667">
          <cell r="A667" t="str">
            <v>- Buildings</v>
          </cell>
          <cell r="D667">
            <v>5363222.6399999997</v>
          </cell>
        </row>
        <row r="668">
          <cell r="A668" t="str">
            <v xml:space="preserve">- Plant and Machinery </v>
          </cell>
          <cell r="D668">
            <v>11711088.52</v>
          </cell>
        </row>
        <row r="669">
          <cell r="A669" t="str">
            <v>-Other Assets</v>
          </cell>
          <cell r="D669">
            <v>3963988.48</v>
          </cell>
        </row>
        <row r="671">
          <cell r="A671" t="str">
            <v>Salaries, Wages and Bonus</v>
          </cell>
          <cell r="D671">
            <v>124049735.94</v>
          </cell>
        </row>
        <row r="673">
          <cell r="A673" t="str">
            <v>Contribution to Provident Fund and Other Funds</v>
          </cell>
          <cell r="D673">
            <v>14265147.9</v>
          </cell>
        </row>
        <row r="675">
          <cell r="A675" t="str">
            <v>Contribution To Gratuity Fund</v>
          </cell>
          <cell r="D675">
            <v>14076535.84</v>
          </cell>
        </row>
        <row r="677">
          <cell r="A677" t="str">
            <v>Workmen and Staff Welfare Expenses</v>
          </cell>
          <cell r="D677">
            <v>28789179.879999999</v>
          </cell>
        </row>
        <row r="679">
          <cell r="A679" t="str">
            <v>Insurance</v>
          </cell>
          <cell r="D679">
            <v>40813955.270000003</v>
          </cell>
        </row>
        <row r="681">
          <cell r="A681" t="str">
            <v>Rates and Taxes</v>
          </cell>
          <cell r="D681">
            <v>56160235.869999997</v>
          </cell>
        </row>
        <row r="683">
          <cell r="A683" t="str">
            <v xml:space="preserve">Miscellaneous Expenses </v>
          </cell>
          <cell r="D683">
            <v>329244578.82999998</v>
          </cell>
        </row>
        <row r="684">
          <cell r="A684" t="str">
            <v>[Includes Exchange Fluctuation Profit/(Loss) Rs.0.22 lacs (Rs.1.05 crore)]</v>
          </cell>
        </row>
        <row r="685">
          <cell r="A685" t="str">
            <v>Legal and Professional Charges</v>
          </cell>
          <cell r="D685">
            <v>554105</v>
          </cell>
        </row>
        <row r="687">
          <cell r="A687" t="str">
            <v>Loss on sale of assets</v>
          </cell>
          <cell r="D687">
            <v>681995.51</v>
          </cell>
        </row>
        <row r="689">
          <cell r="A689" t="str">
            <v>Bad Debts</v>
          </cell>
          <cell r="D689">
            <v>860216.46</v>
          </cell>
        </row>
        <row r="691">
          <cell r="A691" t="str">
            <v>Provision for Doubtful Debts</v>
          </cell>
          <cell r="D691">
            <v>123311620.01000001</v>
          </cell>
        </row>
        <row r="692">
          <cell r="D692">
            <v>11645468996.459999</v>
          </cell>
        </row>
      </sheetData>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 &amp; L"/>
      <sheetName val="BS SCH"/>
      <sheetName val="PL SCH"/>
      <sheetName val="F Asset"/>
      <sheetName val="TB"/>
      <sheetName val="abstract"/>
      <sheetName val="Points"/>
    </sheetNames>
    <sheetDataSet>
      <sheetData sheetId="0"/>
      <sheetData sheetId="1"/>
      <sheetData sheetId="2"/>
      <sheetData sheetId="3" refreshError="1"/>
      <sheetData sheetId="4" refreshError="1"/>
      <sheetData sheetId="5"/>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F Area"/>
      <sheetName val="Transfer_Valuation (2)"/>
      <sheetName val="DOT_Summary"/>
      <sheetName val="Assumptions"/>
      <sheetName val="Workings Case (A)"/>
      <sheetName val="Working case (B)"/>
      <sheetName val="__FDSCACHE__"/>
      <sheetName val="Debt Sch"/>
      <sheetName val="Q_BS"/>
      <sheetName val="M_BS"/>
      <sheetName val="Q_PL"/>
      <sheetName val="M_PL"/>
      <sheetName val="Q_CF"/>
      <sheetName val="M_CF"/>
      <sheetName val="Land Lease Payments"/>
      <sheetName val="Deferred Tax "/>
      <sheetName val="Depreciation"/>
      <sheetName val="Tenant Data"/>
      <sheetName val="W Block"/>
      <sheetName val="Hyderabad"/>
      <sheetName val="Silokhera"/>
      <sheetName val="Chennai"/>
      <sheetName val="Rental Guarantee and Transf Chg"/>
      <sheetName val="Asset_Assump"/>
      <sheetName val="Asset_ Prj Data"/>
      <sheetName val="Asset Buildout"/>
      <sheetName val="Transfer_Project"/>
      <sheetName val="Transfer_Valuation"/>
      <sheetName val="SIEL-Delhi "/>
      <sheetName val="Infocity Chennai"/>
      <sheetName val="DAL Company DCF"/>
      <sheetName val="BS Adjustments"/>
      <sheetName val="CC Memo Output Page"/>
      <sheetName val="Cheat Sheet for Cornerstone"/>
      <sheetName val="Implied Yield"/>
      <sheetName val="S&amp;U CPres"/>
      <sheetName val="BS CPres"/>
      <sheetName val="NPI CPres"/>
      <sheetName val="P&amp;L CPres"/>
      <sheetName val="Sheet1"/>
      <sheetName val="Transfer_Project (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2000-2001"/>
    </sheetNames>
    <sheetDataSet>
      <sheetData sheetId="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P99"/>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U3 - 1"/>
      <sheetName val="U3 - 2"/>
      <sheetName val="U3 -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trial (2)"/>
      <sheetName val="Bechem return FY99-2000"/>
    </sheetNames>
    <sheetDataSet>
      <sheetData sheetId="0">
        <row r="10">
          <cell r="A10" t="str">
            <v>STATEMENT OF COMPUTATION OF TOTAL INCOME AND TAX LIABILITY FOR THE PREVIOUS YEAR ENDED MARCH 31, 2000</v>
          </cell>
        </row>
        <row r="12">
          <cell r="A12" t="str">
            <v>PARTICULARS</v>
          </cell>
        </row>
        <row r="14">
          <cell r="A14" t="str">
            <v>TAXABLE INCOME AS PER THE INCOME-TAX ACT, 1961 ("ACT")  ("A")</v>
          </cell>
          <cell r="B14" t="str">
            <v>(ANNEXURE 1)</v>
          </cell>
        </row>
        <row r="16">
          <cell r="A16" t="str">
            <v>30% OF THE BOOK PROFITS AS PER SECTION 115JA  OF THE ACT ("B")</v>
          </cell>
          <cell r="B16" t="str">
            <v>(ANNEXURE 2)</v>
          </cell>
        </row>
        <row r="18">
          <cell r="A18" t="str">
            <v>TAXABLE INCOME</v>
          </cell>
          <cell r="B18" t="str">
            <v>(HIGHER OF (A) AND (B))</v>
          </cell>
        </row>
        <row r="20">
          <cell r="A20" t="str">
            <v>TAXABLE INCOME (ROUNDED OFF)</v>
          </cell>
        </row>
        <row r="22">
          <cell r="A22" t="str">
            <v>TOTAL TAX PAYABLE</v>
          </cell>
        </row>
        <row r="24">
          <cell r="A24" t="str">
            <v>LESS:  ADVANCE TAX PAID</v>
          </cell>
        </row>
        <row r="26">
          <cell r="A26" t="str">
            <v xml:space="preserve">LESS:   SELF ASSESSMENT TAX PAID </v>
          </cell>
        </row>
        <row r="28">
          <cell r="A28" t="str">
            <v>BALANCE TAX PAYABLE/(REFUND DUE)</v>
          </cell>
        </row>
        <row r="32">
          <cell r="I32" t="str">
            <v>Date</v>
          </cell>
          <cell r="J32" t="str">
            <v>Instalment</v>
          </cell>
          <cell r="K32" t="str">
            <v>Cumulative tax payable</v>
          </cell>
          <cell r="L32" t="str">
            <v>Cumulative tax paid</v>
          </cell>
          <cell r="M32" t="str">
            <v>Shortfall</v>
          </cell>
          <cell r="N32" t="str">
            <v>Interest</v>
          </cell>
        </row>
        <row r="34">
          <cell r="I34">
            <v>36326</v>
          </cell>
          <cell r="J34">
            <v>0.15</v>
          </cell>
          <cell r="K34">
            <v>35833</v>
          </cell>
          <cell r="L34">
            <v>0</v>
          </cell>
          <cell r="M34">
            <v>35800</v>
          </cell>
          <cell r="N34">
            <v>1611</v>
          </cell>
        </row>
        <row r="36">
          <cell r="I36">
            <v>36418</v>
          </cell>
          <cell r="J36">
            <v>0.45</v>
          </cell>
          <cell r="K36">
            <v>107500</v>
          </cell>
          <cell r="L36">
            <v>105000</v>
          </cell>
          <cell r="M36">
            <v>2500</v>
          </cell>
          <cell r="N36">
            <v>113</v>
          </cell>
        </row>
        <row r="38">
          <cell r="I38">
            <v>36509</v>
          </cell>
          <cell r="J38">
            <v>0.75</v>
          </cell>
          <cell r="K38">
            <v>179167</v>
          </cell>
          <cell r="L38">
            <v>805000</v>
          </cell>
          <cell r="M38">
            <v>0</v>
          </cell>
          <cell r="N38">
            <v>0</v>
          </cell>
        </row>
        <row r="40">
          <cell r="I40">
            <v>36600</v>
          </cell>
          <cell r="J40">
            <v>1</v>
          </cell>
          <cell r="K40">
            <v>238889</v>
          </cell>
          <cell r="L40">
            <v>1165000</v>
          </cell>
          <cell r="M40">
            <v>0</v>
          </cell>
          <cell r="N40">
            <v>0</v>
          </cell>
        </row>
        <row r="42">
          <cell r="I42" t="str">
            <v>Total</v>
          </cell>
          <cell r="J42">
            <v>1</v>
          </cell>
          <cell r="K42">
            <v>561389</v>
          </cell>
          <cell r="L42">
            <v>1165000</v>
          </cell>
          <cell r="N42">
            <v>1724</v>
          </cell>
        </row>
        <row r="45">
          <cell r="I45" t="str">
            <v>TOTAL INTEREST PAYABLE UNDER SECTION 234C OF THE ACT</v>
          </cell>
          <cell r="N45">
            <v>1724</v>
          </cell>
        </row>
      </sheetData>
      <sheetData sheetId="1" refreshError="1"/>
      <sheetData sheetId="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03-06"/>
      <sheetName val="Sheet1"/>
      <sheetName val="TB-12-06"/>
      <sheetName val="Sheet2"/>
      <sheetName val="Sheet3"/>
      <sheetName val="TB_03_06"/>
    </sheetNames>
    <sheetDataSet>
      <sheetData sheetId="0" refreshError="1">
        <row r="7">
          <cell r="A7">
            <v>2100</v>
          </cell>
          <cell r="B7" t="str">
            <v>Goodwill</v>
          </cell>
          <cell r="C7">
            <v>692040.34</v>
          </cell>
          <cell r="D7">
            <v>0</v>
          </cell>
          <cell r="E7">
            <v>0</v>
          </cell>
          <cell r="F7">
            <v>692040.34</v>
          </cell>
        </row>
        <row r="8">
          <cell r="A8">
            <v>2101</v>
          </cell>
          <cell r="B8" t="str">
            <v>Amortization of Goodwill</v>
          </cell>
          <cell r="C8">
            <v>-692040.34</v>
          </cell>
          <cell r="D8">
            <v>0</v>
          </cell>
          <cell r="E8">
            <v>0</v>
          </cell>
          <cell r="G8">
            <v>692040.34</v>
          </cell>
        </row>
        <row r="9">
          <cell r="A9">
            <v>10120</v>
          </cell>
          <cell r="B9" t="str">
            <v>Leashold Land-Bhandup</v>
          </cell>
          <cell r="C9">
            <v>15454815.09</v>
          </cell>
          <cell r="D9">
            <v>0</v>
          </cell>
          <cell r="E9">
            <v>0</v>
          </cell>
          <cell r="F9">
            <v>15454815.09</v>
          </cell>
        </row>
        <row r="10">
          <cell r="A10">
            <v>10310</v>
          </cell>
          <cell r="B10" t="str">
            <v>Land with Factory Buildings-Bhandup</v>
          </cell>
          <cell r="C10">
            <v>26886840.52</v>
          </cell>
          <cell r="D10">
            <v>0</v>
          </cell>
          <cell r="E10">
            <v>0</v>
          </cell>
          <cell r="F10">
            <v>26886840.52</v>
          </cell>
        </row>
        <row r="11">
          <cell r="A11">
            <v>10311</v>
          </cell>
          <cell r="B11" t="str">
            <v>Accum.Depreciation - Bldgs- Factory,Office-BHP</v>
          </cell>
          <cell r="C11">
            <v>-8024095.8700000001</v>
          </cell>
          <cell r="D11">
            <v>0</v>
          </cell>
          <cell r="E11">
            <v>0</v>
          </cell>
          <cell r="G11">
            <v>8024095.8700000001</v>
          </cell>
        </row>
        <row r="12">
          <cell r="A12">
            <v>20210</v>
          </cell>
          <cell r="B12" t="str">
            <v>Apparatus &amp; Machines-Bhandup</v>
          </cell>
          <cell r="C12">
            <v>46220036.289999999</v>
          </cell>
          <cell r="D12">
            <v>0</v>
          </cell>
          <cell r="E12">
            <v>0</v>
          </cell>
          <cell r="F12">
            <v>46220036.289999999</v>
          </cell>
        </row>
        <row r="13">
          <cell r="A13">
            <v>20211</v>
          </cell>
          <cell r="B13" t="str">
            <v>Accum Deprn Machinery &amp; Technical Equipmt-Bhandup</v>
          </cell>
          <cell r="C13">
            <v>-21565188.550000001</v>
          </cell>
          <cell r="D13">
            <v>0</v>
          </cell>
          <cell r="E13">
            <v>0</v>
          </cell>
          <cell r="G13">
            <v>21565188.550000001</v>
          </cell>
        </row>
        <row r="14">
          <cell r="A14">
            <v>30100</v>
          </cell>
          <cell r="B14" t="str">
            <v>Furniture &amp; Fixtures</v>
          </cell>
          <cell r="C14">
            <v>3050</v>
          </cell>
          <cell r="D14">
            <v>9300</v>
          </cell>
          <cell r="E14">
            <v>0</v>
          </cell>
          <cell r="F14">
            <v>12350</v>
          </cell>
        </row>
        <row r="15">
          <cell r="A15">
            <v>30110</v>
          </cell>
          <cell r="B15" t="str">
            <v>Furniture &amp; Fixtures-Bhandup</v>
          </cell>
          <cell r="C15">
            <v>651249.38</v>
          </cell>
          <cell r="D15">
            <v>0</v>
          </cell>
          <cell r="E15">
            <v>0</v>
          </cell>
          <cell r="F15">
            <v>651249.38</v>
          </cell>
        </row>
        <row r="16">
          <cell r="A16">
            <v>30111</v>
          </cell>
          <cell r="B16" t="str">
            <v>Accum Depn-Office Furniture &amp; Fixtures-Bhandup</v>
          </cell>
          <cell r="C16">
            <v>-611208.82999999996</v>
          </cell>
          <cell r="D16">
            <v>0</v>
          </cell>
          <cell r="E16">
            <v>0</v>
          </cell>
          <cell r="G16">
            <v>611208.82999999996</v>
          </cell>
        </row>
        <row r="17">
          <cell r="A17">
            <v>30310</v>
          </cell>
          <cell r="B17" t="str">
            <v>Office , Machines and Equipment-Bhandup</v>
          </cell>
          <cell r="C17">
            <v>172027.09</v>
          </cell>
          <cell r="D17">
            <v>0</v>
          </cell>
          <cell r="E17">
            <v>0</v>
          </cell>
          <cell r="F17">
            <v>172027.09</v>
          </cell>
        </row>
        <row r="18">
          <cell r="A18">
            <v>30311</v>
          </cell>
          <cell r="B18" t="str">
            <v>Accum Deprecn - Office Equipment-Bhandup</v>
          </cell>
          <cell r="C18">
            <v>-120131.1</v>
          </cell>
          <cell r="D18">
            <v>0</v>
          </cell>
          <cell r="E18">
            <v>0</v>
          </cell>
          <cell r="G18">
            <v>120131.1</v>
          </cell>
        </row>
        <row r="19">
          <cell r="A19">
            <v>30510</v>
          </cell>
          <cell r="B19" t="str">
            <v>Vehicles-Bhandup</v>
          </cell>
          <cell r="C19">
            <v>621133</v>
          </cell>
          <cell r="D19">
            <v>0</v>
          </cell>
          <cell r="E19">
            <v>0</v>
          </cell>
          <cell r="F19">
            <v>621133</v>
          </cell>
        </row>
        <row r="20">
          <cell r="A20">
            <v>30511</v>
          </cell>
          <cell r="B20" t="str">
            <v>Accum Depreciation - Motor Vehicles-Bhandup</v>
          </cell>
          <cell r="C20">
            <v>-621133</v>
          </cell>
          <cell r="D20">
            <v>0</v>
          </cell>
          <cell r="E20">
            <v>0</v>
          </cell>
          <cell r="G20">
            <v>621133</v>
          </cell>
        </row>
        <row r="21">
          <cell r="A21">
            <v>40010</v>
          </cell>
          <cell r="B21" t="str">
            <v>Provn for Depreciation - Temporary a/c-Bhandup</v>
          </cell>
          <cell r="C21">
            <v>-3555000</v>
          </cell>
          <cell r="D21">
            <v>0</v>
          </cell>
          <cell r="E21">
            <v>790000</v>
          </cell>
          <cell r="G21">
            <v>4345000</v>
          </cell>
        </row>
        <row r="22">
          <cell r="A22">
            <v>75520</v>
          </cell>
          <cell r="B22" t="str">
            <v>Valuation reserve on bad debts - customers-Bhandup</v>
          </cell>
          <cell r="C22">
            <v>-26350880.079999998</v>
          </cell>
          <cell r="D22">
            <v>0</v>
          </cell>
          <cell r="E22">
            <v>0</v>
          </cell>
          <cell r="G22">
            <v>26350880.079999998</v>
          </cell>
        </row>
        <row r="23">
          <cell r="A23">
            <v>80000</v>
          </cell>
          <cell r="B23" t="str">
            <v>Equity Share Capital</v>
          </cell>
          <cell r="C23">
            <v>-94000000</v>
          </cell>
          <cell r="D23">
            <v>0</v>
          </cell>
          <cell r="E23">
            <v>0</v>
          </cell>
          <cell r="G23">
            <v>94000000</v>
          </cell>
        </row>
        <row r="24">
          <cell r="A24">
            <v>84000</v>
          </cell>
          <cell r="B24" t="str">
            <v>Profit and Loss Account</v>
          </cell>
          <cell r="C24">
            <v>71788763.900000006</v>
          </cell>
          <cell r="D24">
            <v>0</v>
          </cell>
          <cell r="E24">
            <v>0</v>
          </cell>
          <cell r="F24">
            <v>71788763.900000006</v>
          </cell>
        </row>
        <row r="25">
          <cell r="A25">
            <v>92000</v>
          </cell>
          <cell r="B25" t="str">
            <v>Provisions for taxes</v>
          </cell>
          <cell r="C25">
            <v>-1930000</v>
          </cell>
          <cell r="D25">
            <v>0</v>
          </cell>
          <cell r="E25">
            <v>0</v>
          </cell>
          <cell r="G25">
            <v>1930000</v>
          </cell>
        </row>
        <row r="26">
          <cell r="A26">
            <v>94511</v>
          </cell>
          <cell r="B26" t="str">
            <v>Provision for Bonus-Bhandup</v>
          </cell>
          <cell r="C26">
            <v>0</v>
          </cell>
          <cell r="D26">
            <v>190000</v>
          </cell>
          <cell r="E26">
            <v>190000</v>
          </cell>
          <cell r="F26">
            <v>0</v>
          </cell>
        </row>
        <row r="27">
          <cell r="A27">
            <v>94611</v>
          </cell>
          <cell r="B27" t="str">
            <v>Accrual a/c-Bonus Calculated Current Year-Bhandup</v>
          </cell>
          <cell r="C27">
            <v>-404000</v>
          </cell>
          <cell r="D27">
            <v>442000</v>
          </cell>
          <cell r="E27">
            <v>38000</v>
          </cell>
          <cell r="F27">
            <v>0</v>
          </cell>
        </row>
        <row r="28">
          <cell r="A28">
            <v>94621</v>
          </cell>
          <cell r="B28" t="str">
            <v>Accrual Account - LTA - Current Year-Bhandup</v>
          </cell>
          <cell r="C28">
            <v>-431294</v>
          </cell>
          <cell r="D28">
            <v>527094</v>
          </cell>
          <cell r="E28">
            <v>146300</v>
          </cell>
          <cell r="G28">
            <v>50500</v>
          </cell>
        </row>
        <row r="29">
          <cell r="A29">
            <v>94631</v>
          </cell>
          <cell r="B29" t="str">
            <v>Accrual A/C-Superannuation - Current Year-Bhandup</v>
          </cell>
          <cell r="C29">
            <v>0</v>
          </cell>
          <cell r="D29">
            <v>146341</v>
          </cell>
          <cell r="E29">
            <v>146341</v>
          </cell>
          <cell r="F29">
            <v>0</v>
          </cell>
        </row>
        <row r="30">
          <cell r="A30">
            <v>94651</v>
          </cell>
          <cell r="B30" t="str">
            <v>Accrual Account - LTA - Prior Year-Bhandup</v>
          </cell>
          <cell r="C30">
            <v>84223.2</v>
          </cell>
          <cell r="D30">
            <v>392591.79</v>
          </cell>
          <cell r="E30">
            <v>678814.99</v>
          </cell>
          <cell r="G30">
            <v>202000</v>
          </cell>
        </row>
        <row r="31">
          <cell r="A31">
            <v>94671</v>
          </cell>
          <cell r="B31" t="str">
            <v>Clearing A/C- Salaries &amp; Wages - Unpaid-Bhandup</v>
          </cell>
          <cell r="C31">
            <v>0</v>
          </cell>
          <cell r="D31">
            <v>0</v>
          </cell>
          <cell r="E31">
            <v>207861</v>
          </cell>
          <cell r="G31">
            <v>207861</v>
          </cell>
        </row>
        <row r="32">
          <cell r="A32">
            <v>94690</v>
          </cell>
          <cell r="B32" t="str">
            <v>Accrual Account - Others - MOG</v>
          </cell>
          <cell r="C32">
            <v>-3538189</v>
          </cell>
          <cell r="D32">
            <v>3841475.86</v>
          </cell>
          <cell r="E32">
            <v>2150371.86</v>
          </cell>
          <cell r="G32">
            <v>1847085</v>
          </cell>
        </row>
        <row r="33">
          <cell r="A33">
            <v>94741</v>
          </cell>
          <cell r="B33" t="str">
            <v>Accrual Account - Medical- Current Year-Bhandup</v>
          </cell>
          <cell r="C33">
            <v>-23733.86</v>
          </cell>
          <cell r="D33">
            <v>108124.13</v>
          </cell>
          <cell r="E33">
            <v>116640.27</v>
          </cell>
          <cell r="G33">
            <v>32250</v>
          </cell>
        </row>
        <row r="34">
          <cell r="A34">
            <v>94801</v>
          </cell>
          <cell r="B34" t="str">
            <v>Accrual Account - Services</v>
          </cell>
          <cell r="C34">
            <v>-992527.91</v>
          </cell>
          <cell r="D34">
            <v>0</v>
          </cell>
          <cell r="E34">
            <v>0</v>
          </cell>
          <cell r="G34">
            <v>992527.91</v>
          </cell>
        </row>
        <row r="35">
          <cell r="A35">
            <v>94814</v>
          </cell>
          <cell r="B35" t="str">
            <v>Accrual Account -  Sundry Material</v>
          </cell>
          <cell r="C35">
            <v>-1485182</v>
          </cell>
          <cell r="D35">
            <v>0</v>
          </cell>
          <cell r="E35">
            <v>0</v>
          </cell>
          <cell r="G35">
            <v>1485182</v>
          </cell>
        </row>
        <row r="36">
          <cell r="A36">
            <v>94861</v>
          </cell>
          <cell r="B36" t="str">
            <v>Accrual Account - Services-Bhandup</v>
          </cell>
          <cell r="C36">
            <v>-3060538.18</v>
          </cell>
          <cell r="D36">
            <v>2202750</v>
          </cell>
          <cell r="E36">
            <v>2743566.82</v>
          </cell>
          <cell r="G36">
            <v>3601355</v>
          </cell>
        </row>
        <row r="37">
          <cell r="A37">
            <v>94870</v>
          </cell>
          <cell r="B37" t="str">
            <v>Accrual A/c - Sourcing</v>
          </cell>
          <cell r="C37">
            <v>-2719714.78</v>
          </cell>
          <cell r="D37">
            <v>0</v>
          </cell>
          <cell r="E37">
            <v>600000</v>
          </cell>
          <cell r="G37">
            <v>3319714.78</v>
          </cell>
        </row>
        <row r="38">
          <cell r="A38">
            <v>98100</v>
          </cell>
          <cell r="B38" t="str">
            <v>Prepaid expenses - Not chargeable to C.Y.-Bhandup</v>
          </cell>
          <cell r="C38">
            <v>51037</v>
          </cell>
          <cell r="D38">
            <v>0</v>
          </cell>
          <cell r="E38">
            <v>0</v>
          </cell>
          <cell r="F38">
            <v>51037</v>
          </cell>
        </row>
        <row r="39">
          <cell r="A39">
            <v>98130</v>
          </cell>
          <cell r="B39" t="str">
            <v>Prepaid expenses - Other Insurance Exps-Bhandup</v>
          </cell>
          <cell r="C39">
            <v>31721</v>
          </cell>
          <cell r="D39">
            <v>0</v>
          </cell>
          <cell r="E39">
            <v>31721</v>
          </cell>
          <cell r="F39">
            <v>0</v>
          </cell>
        </row>
        <row r="40">
          <cell r="A40">
            <v>98140</v>
          </cell>
          <cell r="B40" t="str">
            <v>Prepaid expenses- Others chargeable to C.Y-Bhandup</v>
          </cell>
          <cell r="C40">
            <v>39914.5</v>
          </cell>
          <cell r="D40">
            <v>23167</v>
          </cell>
          <cell r="E40">
            <v>63081.5</v>
          </cell>
          <cell r="F40">
            <v>0</v>
          </cell>
        </row>
        <row r="41">
          <cell r="A41">
            <v>101000</v>
          </cell>
          <cell r="B41" t="str">
            <v>Petty Cash Imprest - Bhandup Factory</v>
          </cell>
          <cell r="C41">
            <v>12042.2</v>
          </cell>
          <cell r="D41">
            <v>1046096</v>
          </cell>
          <cell r="E41">
            <v>983426.2</v>
          </cell>
          <cell r="F41">
            <v>74712</v>
          </cell>
        </row>
        <row r="42">
          <cell r="A42">
            <v>101400</v>
          </cell>
          <cell r="B42" t="str">
            <v>Petty Cash Imprest - Bhandup Branches</v>
          </cell>
          <cell r="C42">
            <v>46500</v>
          </cell>
          <cell r="D42">
            <v>0</v>
          </cell>
          <cell r="E42">
            <v>4000</v>
          </cell>
          <cell r="F42">
            <v>42500</v>
          </cell>
        </row>
        <row r="43">
          <cell r="A43">
            <v>110701</v>
          </cell>
          <cell r="B43" t="str">
            <v>DB - STDeposit Account</v>
          </cell>
          <cell r="C43">
            <v>12582068</v>
          </cell>
          <cell r="D43">
            <v>9000000</v>
          </cell>
          <cell r="E43">
            <v>17582068</v>
          </cell>
          <cell r="F43">
            <v>4000000</v>
          </cell>
        </row>
        <row r="44">
          <cell r="A44">
            <v>112530</v>
          </cell>
          <cell r="B44" t="str">
            <v>HSBC - MUMBAI INR</v>
          </cell>
          <cell r="C44">
            <v>1225173.6499999999</v>
          </cell>
          <cell r="D44">
            <v>0</v>
          </cell>
          <cell r="E44">
            <v>0</v>
          </cell>
          <cell r="F44">
            <v>1225173.6499999999</v>
          </cell>
        </row>
        <row r="45">
          <cell r="A45">
            <v>112540</v>
          </cell>
          <cell r="B45" t="str">
            <v>CITI Bank INR Mumbai</v>
          </cell>
          <cell r="C45">
            <v>71494.36</v>
          </cell>
          <cell r="D45">
            <v>0</v>
          </cell>
          <cell r="E45">
            <v>0</v>
          </cell>
          <cell r="F45">
            <v>71494.36</v>
          </cell>
        </row>
        <row r="46">
          <cell r="A46">
            <v>112600</v>
          </cell>
          <cell r="B46" t="str">
            <v>BANK OF MAHARASHTRA - BHANDUP INR CENTRAL EXCISE</v>
          </cell>
          <cell r="C46">
            <v>8491.64</v>
          </cell>
          <cell r="D46">
            <v>0</v>
          </cell>
          <cell r="E46">
            <v>0</v>
          </cell>
          <cell r="F46">
            <v>8491.64</v>
          </cell>
        </row>
        <row r="47">
          <cell r="A47">
            <v>112610</v>
          </cell>
          <cell r="B47" t="str">
            <v>Deutsche Bank</v>
          </cell>
          <cell r="C47">
            <v>8579912.6600000001</v>
          </cell>
          <cell r="D47">
            <v>35867170.009999998</v>
          </cell>
          <cell r="E47">
            <v>40816716.009999998</v>
          </cell>
          <cell r="F47">
            <v>3630366.66</v>
          </cell>
        </row>
        <row r="48">
          <cell r="A48">
            <v>112620</v>
          </cell>
          <cell r="B48" t="str">
            <v>UBI - INR BHANDUP</v>
          </cell>
          <cell r="C48">
            <v>233206.72</v>
          </cell>
          <cell r="D48">
            <v>1300000</v>
          </cell>
          <cell r="E48">
            <v>1040670</v>
          </cell>
          <cell r="F48">
            <v>492536.72</v>
          </cell>
        </row>
        <row r="49">
          <cell r="A49">
            <v>112700</v>
          </cell>
          <cell r="B49" t="str">
            <v>UBI - Prabhadevi - Salaries A/c</v>
          </cell>
          <cell r="C49">
            <v>7816.51</v>
          </cell>
          <cell r="D49">
            <v>0</v>
          </cell>
          <cell r="E49">
            <v>0</v>
          </cell>
          <cell r="F49">
            <v>7816.51</v>
          </cell>
        </row>
        <row r="50">
          <cell r="A50">
            <v>112710</v>
          </cell>
          <cell r="B50" t="str">
            <v>BOI - DUTY DEBIT</v>
          </cell>
          <cell r="C50">
            <v>11721</v>
          </cell>
          <cell r="D50">
            <v>0</v>
          </cell>
          <cell r="E50">
            <v>110</v>
          </cell>
          <cell r="F50">
            <v>11611</v>
          </cell>
        </row>
        <row r="51">
          <cell r="A51">
            <v>112720</v>
          </cell>
          <cell r="B51" t="str">
            <v>BOI - Mulund Branch</v>
          </cell>
          <cell r="C51">
            <v>8925</v>
          </cell>
          <cell r="D51">
            <v>0</v>
          </cell>
          <cell r="E51">
            <v>390</v>
          </cell>
          <cell r="F51">
            <v>8535</v>
          </cell>
        </row>
        <row r="52">
          <cell r="A52">
            <v>140000</v>
          </cell>
          <cell r="B52" t="str">
            <v>Acc. receivable/domestic/Non Group</v>
          </cell>
          <cell r="C52">
            <v>38558188.880000003</v>
          </cell>
          <cell r="D52">
            <v>7274051.0300000003</v>
          </cell>
          <cell r="E52">
            <v>13522399.939999999</v>
          </cell>
          <cell r="F52">
            <v>32309839.969999999</v>
          </cell>
        </row>
        <row r="53">
          <cell r="A53">
            <v>140200</v>
          </cell>
          <cell r="B53" t="str">
            <v>Acc. receivable/domestic/BASF Group</v>
          </cell>
          <cell r="C53">
            <v>640623.49</v>
          </cell>
          <cell r="D53">
            <v>1121208</v>
          </cell>
          <cell r="E53">
            <v>1465597</v>
          </cell>
          <cell r="F53">
            <v>296234.49</v>
          </cell>
        </row>
        <row r="54">
          <cell r="A54">
            <v>142000</v>
          </cell>
          <cell r="B54" t="str">
            <v>Acc. receivable/foreign/Non Group</v>
          </cell>
          <cell r="C54">
            <v>8131972.2199999997</v>
          </cell>
          <cell r="D54">
            <v>484905.12</v>
          </cell>
          <cell r="E54">
            <v>5383721.1799999997</v>
          </cell>
          <cell r="F54">
            <v>3233156.16</v>
          </cell>
        </row>
        <row r="55">
          <cell r="A55">
            <v>142200</v>
          </cell>
          <cell r="B55" t="str">
            <v>Acc. receivable/foreign/BASF Group</v>
          </cell>
          <cell r="C55">
            <v>1413422.51</v>
          </cell>
          <cell r="D55">
            <v>317453.28999999998</v>
          </cell>
          <cell r="E55">
            <v>318232.86</v>
          </cell>
          <cell r="F55">
            <v>1412642.94</v>
          </cell>
        </row>
        <row r="56">
          <cell r="A56">
            <v>144000</v>
          </cell>
          <cell r="B56" t="str">
            <v>Down Payment to Suppliers</v>
          </cell>
          <cell r="C56">
            <v>21318.03</v>
          </cell>
          <cell r="D56">
            <v>97092</v>
          </cell>
          <cell r="E56">
            <v>84948</v>
          </cell>
          <cell r="F56">
            <v>33462.03</v>
          </cell>
        </row>
        <row r="57">
          <cell r="A57">
            <v>160000</v>
          </cell>
          <cell r="B57" t="str">
            <v>Accounts payable/domestic/Non Group</v>
          </cell>
          <cell r="C57">
            <v>-6126217.7199999997</v>
          </cell>
          <cell r="D57">
            <v>4810746.2699999996</v>
          </cell>
          <cell r="E57">
            <v>3877113.22</v>
          </cell>
          <cell r="G57">
            <v>5192584.67</v>
          </cell>
        </row>
        <row r="58">
          <cell r="A58">
            <v>160200</v>
          </cell>
          <cell r="B58" t="str">
            <v>Accounts payable/domestic/BASF Group</v>
          </cell>
          <cell r="C58">
            <v>-1217316.32</v>
          </cell>
          <cell r="D58">
            <v>123937.51</v>
          </cell>
          <cell r="E58">
            <v>10056</v>
          </cell>
          <cell r="G58">
            <v>1103434.81</v>
          </cell>
        </row>
        <row r="59">
          <cell r="A59">
            <v>162000</v>
          </cell>
          <cell r="B59" t="str">
            <v>Accounts payable/foreign/Non Group</v>
          </cell>
          <cell r="C59">
            <v>-21552.400000000001</v>
          </cell>
          <cell r="D59">
            <v>909951.81</v>
          </cell>
          <cell r="E59">
            <v>1576194.91</v>
          </cell>
          <cell r="G59">
            <v>687795.5</v>
          </cell>
        </row>
        <row r="60">
          <cell r="A60">
            <v>162200</v>
          </cell>
          <cell r="B60" t="str">
            <v>Accounts payable/foreign/BASF Group</v>
          </cell>
          <cell r="C60">
            <v>-278575.61</v>
          </cell>
          <cell r="D60">
            <v>0</v>
          </cell>
          <cell r="E60">
            <v>0</v>
          </cell>
          <cell r="G60">
            <v>278575.61</v>
          </cell>
        </row>
        <row r="61">
          <cell r="A61">
            <v>171571</v>
          </cell>
          <cell r="B61" t="str">
            <v>ED On closing A/L</v>
          </cell>
          <cell r="C61">
            <v>326443.86</v>
          </cell>
          <cell r="D61">
            <v>0</v>
          </cell>
          <cell r="E61">
            <v>0</v>
          </cell>
          <cell r="F61">
            <v>326443.86</v>
          </cell>
        </row>
        <row r="62">
          <cell r="A62">
            <v>171771</v>
          </cell>
          <cell r="B62" t="str">
            <v>Education Cess on A/L stock</v>
          </cell>
          <cell r="C62">
            <v>-6801.48</v>
          </cell>
          <cell r="D62">
            <v>0</v>
          </cell>
          <cell r="E62">
            <v>0</v>
          </cell>
          <cell r="G62">
            <v>6801.48</v>
          </cell>
        </row>
        <row r="63">
          <cell r="A63">
            <v>180000</v>
          </cell>
          <cell r="B63" t="str">
            <v>Other Receivables</v>
          </cell>
          <cell r="C63">
            <v>1762778.79</v>
          </cell>
          <cell r="D63">
            <v>32775</v>
          </cell>
          <cell r="E63">
            <v>32775</v>
          </cell>
          <cell r="F63">
            <v>1762778.79</v>
          </cell>
        </row>
        <row r="64">
          <cell r="A64">
            <v>180010</v>
          </cell>
          <cell r="B64" t="str">
            <v>Other Receivables-Bhandup</v>
          </cell>
          <cell r="C64">
            <v>128410</v>
          </cell>
          <cell r="D64">
            <v>9375</v>
          </cell>
          <cell r="E64">
            <v>9375</v>
          </cell>
          <cell r="F64">
            <v>128410</v>
          </cell>
        </row>
        <row r="65">
          <cell r="A65">
            <v>180088</v>
          </cell>
          <cell r="B65" t="str">
            <v>Other Receivables</v>
          </cell>
          <cell r="C65">
            <v>2343376.2400000002</v>
          </cell>
          <cell r="D65">
            <v>35479.4</v>
          </cell>
          <cell r="E65">
            <v>154582.75</v>
          </cell>
          <cell r="F65">
            <v>2224272.89</v>
          </cell>
        </row>
        <row r="66">
          <cell r="A66">
            <v>180100</v>
          </cell>
          <cell r="B66" t="str">
            <v>Exc Dep-PLA A/c-Bhandup</v>
          </cell>
          <cell r="C66">
            <v>17670.73</v>
          </cell>
          <cell r="D66">
            <v>195000</v>
          </cell>
          <cell r="E66">
            <v>208201.1</v>
          </cell>
          <cell r="F66">
            <v>4469.63</v>
          </cell>
        </row>
        <row r="67">
          <cell r="A67">
            <v>180101</v>
          </cell>
          <cell r="B67" t="str">
            <v>Exc Modvat RG23A-Bhandup</v>
          </cell>
          <cell r="C67">
            <v>243379.04</v>
          </cell>
          <cell r="D67">
            <v>136714.68</v>
          </cell>
          <cell r="E67">
            <v>373054.62</v>
          </cell>
          <cell r="F67">
            <v>7039.1</v>
          </cell>
        </row>
        <row r="68">
          <cell r="A68">
            <v>180102</v>
          </cell>
          <cell r="B68" t="str">
            <v>Excise Modvat RG23C-Bhandup</v>
          </cell>
          <cell r="C68">
            <v>5190.8999999999996</v>
          </cell>
          <cell r="D68">
            <v>0</v>
          </cell>
          <cell r="E68">
            <v>0</v>
          </cell>
          <cell r="F68">
            <v>5190.8999999999996</v>
          </cell>
        </row>
        <row r="69">
          <cell r="A69">
            <v>180104</v>
          </cell>
          <cell r="B69" t="str">
            <v>Excise  RG 23D - Taloja</v>
          </cell>
          <cell r="C69">
            <v>3760.13</v>
          </cell>
          <cell r="D69">
            <v>0</v>
          </cell>
          <cell r="E69">
            <v>0</v>
          </cell>
          <cell r="F69">
            <v>3760.13</v>
          </cell>
        </row>
        <row r="70">
          <cell r="A70">
            <v>180105</v>
          </cell>
          <cell r="B70" t="str">
            <v>Excise  RG 23D - Hindson</v>
          </cell>
          <cell r="C70">
            <v>-2950420.68</v>
          </cell>
          <cell r="D70">
            <v>0</v>
          </cell>
          <cell r="E70">
            <v>80323.69</v>
          </cell>
          <cell r="G70">
            <v>3030744.37</v>
          </cell>
        </row>
        <row r="71">
          <cell r="A71">
            <v>180106</v>
          </cell>
          <cell r="B71" t="str">
            <v>Edu.Cess RG23A-Bhandup</v>
          </cell>
          <cell r="C71">
            <v>8856.31</v>
          </cell>
          <cell r="D71">
            <v>2733.38</v>
          </cell>
          <cell r="E71">
            <v>6470.29</v>
          </cell>
          <cell r="F71">
            <v>5119.3999999999996</v>
          </cell>
        </row>
        <row r="72">
          <cell r="A72">
            <v>180151</v>
          </cell>
          <cell r="B72" t="str">
            <v>Exc Mod RG23A Clg - Bhandup</v>
          </cell>
          <cell r="C72">
            <v>621828.43999999994</v>
          </cell>
          <cell r="D72">
            <v>67411.61</v>
          </cell>
          <cell r="E72">
            <v>83130.009999999995</v>
          </cell>
          <cell r="F72">
            <v>606110.04</v>
          </cell>
        </row>
        <row r="73">
          <cell r="A73">
            <v>180153</v>
          </cell>
          <cell r="B73" t="str">
            <v>CVD Clearing-Bhandup</v>
          </cell>
          <cell r="C73">
            <v>0</v>
          </cell>
          <cell r="D73">
            <v>300924</v>
          </cell>
          <cell r="E73">
            <v>0</v>
          </cell>
          <cell r="F73">
            <v>300924</v>
          </cell>
        </row>
        <row r="74">
          <cell r="A74">
            <v>180154</v>
          </cell>
          <cell r="B74" t="str">
            <v>Excise Duty Payable - Bhandup</v>
          </cell>
          <cell r="C74">
            <v>-304712.78000000003</v>
          </cell>
          <cell r="D74">
            <v>554435.49</v>
          </cell>
          <cell r="E74">
            <v>250126.77</v>
          </cell>
          <cell r="G74">
            <v>404.06</v>
          </cell>
        </row>
        <row r="75">
          <cell r="A75">
            <v>180155</v>
          </cell>
          <cell r="B75" t="str">
            <v>CVD Clg -E.Cess Bhandup</v>
          </cell>
          <cell r="C75">
            <v>16763</v>
          </cell>
          <cell r="D75">
            <v>6018</v>
          </cell>
          <cell r="E75">
            <v>0</v>
          </cell>
          <cell r="F75">
            <v>22781</v>
          </cell>
        </row>
        <row r="76">
          <cell r="A76">
            <v>180604</v>
          </cell>
          <cell r="B76" t="str">
            <v>Excise  RG 23D -Clearing- Taloja</v>
          </cell>
          <cell r="C76">
            <v>-7520.26</v>
          </cell>
          <cell r="D76">
            <v>0</v>
          </cell>
          <cell r="E76">
            <v>0</v>
          </cell>
          <cell r="G76">
            <v>7520.26</v>
          </cell>
        </row>
        <row r="77">
          <cell r="A77">
            <v>180605</v>
          </cell>
          <cell r="B77" t="str">
            <v>Excise  RG 23D -Clearing- HIndson</v>
          </cell>
          <cell r="C77">
            <v>1912046.4</v>
          </cell>
          <cell r="D77">
            <v>19143.36</v>
          </cell>
          <cell r="E77">
            <v>0</v>
          </cell>
          <cell r="F77">
            <v>1931189.76</v>
          </cell>
        </row>
        <row r="78">
          <cell r="A78">
            <v>180606</v>
          </cell>
          <cell r="B78" t="str">
            <v>Edu.Cess Clg. RG23A Clg - Bhandup</v>
          </cell>
          <cell r="C78">
            <v>667.4</v>
          </cell>
          <cell r="D78">
            <v>1348.95</v>
          </cell>
          <cell r="E78">
            <v>1663.32</v>
          </cell>
          <cell r="F78">
            <v>353.03</v>
          </cell>
        </row>
        <row r="79">
          <cell r="A79">
            <v>180754</v>
          </cell>
          <cell r="B79" t="str">
            <v>Excise Duty Payable - Bhandup</v>
          </cell>
          <cell r="C79">
            <v>-6094.29</v>
          </cell>
          <cell r="D79">
            <v>10501.17</v>
          </cell>
          <cell r="E79">
            <v>5002.53</v>
          </cell>
          <cell r="G79">
            <v>595.65</v>
          </cell>
        </row>
        <row r="80">
          <cell r="A80">
            <v>180881</v>
          </cell>
          <cell r="B80" t="str">
            <v>Service Tax - Clg -Bhandup</v>
          </cell>
          <cell r="C80">
            <v>6786.86</v>
          </cell>
          <cell r="D80">
            <v>7685.2</v>
          </cell>
          <cell r="E80">
            <v>12746.86</v>
          </cell>
          <cell r="F80">
            <v>1725.2</v>
          </cell>
        </row>
        <row r="81">
          <cell r="A81">
            <v>180882</v>
          </cell>
          <cell r="B81" t="str">
            <v>Edu. Cess  on Ser Tax - Clg -Bhandup</v>
          </cell>
          <cell r="C81">
            <v>135.5</v>
          </cell>
          <cell r="D81">
            <v>154.24</v>
          </cell>
          <cell r="E81">
            <v>254.5</v>
          </cell>
          <cell r="F81">
            <v>35.24</v>
          </cell>
        </row>
        <row r="82">
          <cell r="A82">
            <v>180891</v>
          </cell>
          <cell r="B82" t="str">
            <v>Service Tax  -Bhandup</v>
          </cell>
          <cell r="C82">
            <v>35140.730000000003</v>
          </cell>
          <cell r="D82">
            <v>30136.080000000002</v>
          </cell>
          <cell r="E82">
            <v>53584.67</v>
          </cell>
          <cell r="F82">
            <v>11692.14</v>
          </cell>
        </row>
        <row r="83">
          <cell r="A83">
            <v>180892</v>
          </cell>
          <cell r="B83" t="str">
            <v>Edu. Cess  on Ser Tax -Bhandup</v>
          </cell>
          <cell r="C83">
            <v>700.4</v>
          </cell>
          <cell r="D83">
            <v>601.39</v>
          </cell>
          <cell r="E83">
            <v>1070.06</v>
          </cell>
          <cell r="F83">
            <v>231.73</v>
          </cell>
        </row>
        <row r="84">
          <cell r="A84">
            <v>180957</v>
          </cell>
          <cell r="B84" t="str">
            <v>Service Tax - Freight Setoff Bhandup</v>
          </cell>
          <cell r="C84">
            <v>1447.03</v>
          </cell>
          <cell r="D84">
            <v>349.59</v>
          </cell>
          <cell r="E84">
            <v>0</v>
          </cell>
          <cell r="F84">
            <v>1796.62</v>
          </cell>
        </row>
        <row r="85">
          <cell r="A85">
            <v>180967</v>
          </cell>
          <cell r="B85" t="str">
            <v>ECess on Service Tax - Freight Bhandup</v>
          </cell>
          <cell r="C85">
            <v>28.88</v>
          </cell>
          <cell r="D85">
            <v>6.97</v>
          </cell>
          <cell r="E85">
            <v>0</v>
          </cell>
          <cell r="F85">
            <v>35.85</v>
          </cell>
        </row>
        <row r="86">
          <cell r="A86">
            <v>180977</v>
          </cell>
          <cell r="B86" t="str">
            <v>Service Tax Payable - Freight Bhandup</v>
          </cell>
          <cell r="C86">
            <v>-127.5</v>
          </cell>
          <cell r="D86">
            <v>3438.96</v>
          </cell>
          <cell r="E86">
            <v>3419.21</v>
          </cell>
          <cell r="G86">
            <v>107.75</v>
          </cell>
        </row>
        <row r="87">
          <cell r="A87">
            <v>180987</v>
          </cell>
          <cell r="B87" t="str">
            <v>E Cess on Service Tax Payable - Freight Bhandup</v>
          </cell>
          <cell r="C87">
            <v>-2.5</v>
          </cell>
          <cell r="D87">
            <v>68.510000000000005</v>
          </cell>
          <cell r="E87">
            <v>68.17</v>
          </cell>
          <cell r="G87">
            <v>2.16</v>
          </cell>
        </row>
        <row r="88">
          <cell r="A88">
            <v>181000</v>
          </cell>
          <cell r="B88" t="str">
            <v>Income Tax</v>
          </cell>
          <cell r="C88">
            <v>2200925.42</v>
          </cell>
          <cell r="D88">
            <v>75509</v>
          </cell>
          <cell r="F88">
            <v>2276434.42</v>
          </cell>
        </row>
        <row r="89">
          <cell r="A89">
            <v>181010</v>
          </cell>
          <cell r="B89" t="str">
            <v>Wealth Tax</v>
          </cell>
          <cell r="C89">
            <v>16950</v>
          </cell>
          <cell r="D89">
            <v>0</v>
          </cell>
          <cell r="E89">
            <v>0</v>
          </cell>
          <cell r="F89">
            <v>16950</v>
          </cell>
        </row>
        <row r="90">
          <cell r="A90">
            <v>181025</v>
          </cell>
          <cell r="B90" t="str">
            <v>MAH./TAMIL NADU LABOUR WELFARE BOARD-BHANDUP</v>
          </cell>
          <cell r="C90">
            <v>0</v>
          </cell>
          <cell r="D90">
            <v>1824</v>
          </cell>
          <cell r="E90">
            <v>1824</v>
          </cell>
          <cell r="F90">
            <v>0</v>
          </cell>
        </row>
        <row r="91">
          <cell r="A91">
            <v>181093</v>
          </cell>
          <cell r="B91" t="str">
            <v>ICICI Lombard Gen Insurance Co Ltd</v>
          </cell>
          <cell r="C91">
            <v>-561</v>
          </cell>
          <cell r="D91">
            <v>0</v>
          </cell>
          <cell r="E91">
            <v>0</v>
          </cell>
          <cell r="G91">
            <v>561</v>
          </cell>
        </row>
        <row r="92">
          <cell r="A92">
            <v>181200</v>
          </cell>
          <cell r="B92" t="str">
            <v>Sales Tax Payable</v>
          </cell>
          <cell r="C92">
            <v>0</v>
          </cell>
          <cell r="D92">
            <v>183829.94</v>
          </cell>
          <cell r="E92">
            <v>183829.94</v>
          </cell>
        </row>
        <row r="93">
          <cell r="A93">
            <v>181268</v>
          </cell>
          <cell r="B93" t="str">
            <v>Reimb -Sales Tax M/S Hindson Warehousing-Delhi</v>
          </cell>
          <cell r="C93">
            <v>-127376.19</v>
          </cell>
          <cell r="D93">
            <v>0</v>
          </cell>
          <cell r="E93">
            <v>27149.5</v>
          </cell>
          <cell r="G93">
            <v>154525.69</v>
          </cell>
        </row>
        <row r="94">
          <cell r="A94">
            <v>181289</v>
          </cell>
          <cell r="B94" t="str">
            <v>UNADJUSTABLE SET OFF BRANCH TRANSFERS</v>
          </cell>
          <cell r="C94">
            <v>-75000</v>
          </cell>
          <cell r="D94">
            <v>0</v>
          </cell>
          <cell r="E94">
            <v>0</v>
          </cell>
          <cell r="G94">
            <v>75000</v>
          </cell>
        </row>
        <row r="95">
          <cell r="A95">
            <v>181301</v>
          </cell>
          <cell r="B95" t="str">
            <v>Mah. Sales Tax - Bhandup</v>
          </cell>
          <cell r="C95">
            <v>-506898.14</v>
          </cell>
          <cell r="D95">
            <v>622899</v>
          </cell>
          <cell r="E95">
            <v>105344.72</v>
          </cell>
          <cell r="G95">
            <v>34343.86</v>
          </cell>
        </row>
        <row r="96">
          <cell r="A96">
            <v>181302</v>
          </cell>
          <cell r="B96" t="str">
            <v>Surcharge on LST - Bhandup</v>
          </cell>
          <cell r="C96">
            <v>3624.55</v>
          </cell>
          <cell r="D96">
            <v>0</v>
          </cell>
          <cell r="E96">
            <v>0</v>
          </cell>
          <cell r="F96">
            <v>3624.55</v>
          </cell>
        </row>
        <row r="97">
          <cell r="A97">
            <v>181303</v>
          </cell>
          <cell r="B97" t="str">
            <v>Turnover Tax -Sales Bhandup</v>
          </cell>
          <cell r="C97">
            <v>-137498.37</v>
          </cell>
          <cell r="D97">
            <v>0</v>
          </cell>
          <cell r="E97">
            <v>0</v>
          </cell>
          <cell r="G97">
            <v>137498.37</v>
          </cell>
        </row>
        <row r="98">
          <cell r="A98">
            <v>181304</v>
          </cell>
          <cell r="B98" t="str">
            <v>Resale Tax - Bhandup</v>
          </cell>
          <cell r="C98">
            <v>-1292</v>
          </cell>
          <cell r="D98">
            <v>0</v>
          </cell>
          <cell r="E98">
            <v>0</v>
          </cell>
          <cell r="G98">
            <v>1292</v>
          </cell>
        </row>
        <row r="99">
          <cell r="A99">
            <v>181310</v>
          </cell>
          <cell r="B99" t="str">
            <v>TDS - Contractors</v>
          </cell>
          <cell r="C99">
            <v>-38170</v>
          </cell>
          <cell r="D99">
            <v>72920</v>
          </cell>
          <cell r="E99">
            <v>83375</v>
          </cell>
          <cell r="G99">
            <v>48625</v>
          </cell>
        </row>
        <row r="100">
          <cell r="A100">
            <v>181375</v>
          </cell>
          <cell r="B100" t="str">
            <v>SaleTax-TDS- Works contract-Bhandup</v>
          </cell>
          <cell r="C100">
            <v>-7387</v>
          </cell>
          <cell r="D100">
            <v>0</v>
          </cell>
          <cell r="E100">
            <v>0</v>
          </cell>
          <cell r="G100">
            <v>7387</v>
          </cell>
        </row>
        <row r="101">
          <cell r="A101">
            <v>183295</v>
          </cell>
          <cell r="B101" t="str">
            <v>LIC Group Insurance Scheme</v>
          </cell>
          <cell r="C101">
            <v>8436</v>
          </cell>
          <cell r="D101">
            <v>0</v>
          </cell>
          <cell r="E101">
            <v>4446</v>
          </cell>
          <cell r="F101">
            <v>3990</v>
          </cell>
        </row>
        <row r="102">
          <cell r="A102">
            <v>183310</v>
          </cell>
          <cell r="B102" t="str">
            <v>Rounding off Adjustment-Bhandup</v>
          </cell>
          <cell r="C102">
            <v>-1.62</v>
          </cell>
          <cell r="D102">
            <v>110.13</v>
          </cell>
          <cell r="E102">
            <v>108.51</v>
          </cell>
          <cell r="F102">
            <v>0</v>
          </cell>
        </row>
        <row r="103">
          <cell r="A103">
            <v>183320</v>
          </cell>
          <cell r="B103" t="str">
            <v>PF Loan Recovery-Bhandup</v>
          </cell>
          <cell r="C103">
            <v>-3561.76</v>
          </cell>
          <cell r="D103">
            <v>5186.74</v>
          </cell>
          <cell r="E103">
            <v>1624.98</v>
          </cell>
          <cell r="F103">
            <v>0</v>
          </cell>
        </row>
        <row r="104">
          <cell r="A104">
            <v>183330</v>
          </cell>
          <cell r="B104" t="str">
            <v>Other Recoveries - Employees-Bhandup</v>
          </cell>
          <cell r="C104">
            <v>-12795</v>
          </cell>
          <cell r="D104">
            <v>1509741</v>
          </cell>
          <cell r="E104">
            <v>1496946</v>
          </cell>
          <cell r="F104">
            <v>0</v>
          </cell>
        </row>
        <row r="105">
          <cell r="A105">
            <v>183350</v>
          </cell>
          <cell r="B105" t="str">
            <v>Trustees - Provident Fund-Bhandup</v>
          </cell>
          <cell r="C105">
            <v>21961</v>
          </cell>
          <cell r="D105">
            <v>671624</v>
          </cell>
          <cell r="E105">
            <v>752802</v>
          </cell>
          <cell r="G105">
            <v>59217</v>
          </cell>
        </row>
        <row r="106">
          <cell r="A106">
            <v>183360</v>
          </cell>
          <cell r="B106" t="str">
            <v>Income Tax - Salary Recovery-Bhandup</v>
          </cell>
          <cell r="C106">
            <v>-311</v>
          </cell>
          <cell r="D106">
            <v>387306</v>
          </cell>
          <cell r="E106">
            <v>517777</v>
          </cell>
          <cell r="G106">
            <v>130782</v>
          </cell>
        </row>
        <row r="107">
          <cell r="A107">
            <v>183370</v>
          </cell>
          <cell r="B107" t="str">
            <v>Recovery - Credit Society-Bhandup</v>
          </cell>
          <cell r="C107">
            <v>-4857</v>
          </cell>
          <cell r="D107">
            <v>1650152.1</v>
          </cell>
          <cell r="E107">
            <v>1645295.1</v>
          </cell>
          <cell r="F107">
            <v>0</v>
          </cell>
        </row>
        <row r="108">
          <cell r="A108">
            <v>183380</v>
          </cell>
          <cell r="B108" t="str">
            <v>LIC SSS Recovery-Bhandup</v>
          </cell>
          <cell r="C108">
            <v>-2728.1</v>
          </cell>
          <cell r="D108">
            <v>54297.9</v>
          </cell>
          <cell r="E108">
            <v>51569.8</v>
          </cell>
          <cell r="F108">
            <v>0</v>
          </cell>
        </row>
        <row r="109">
          <cell r="A109">
            <v>183381</v>
          </cell>
          <cell r="B109" t="str">
            <v>ESI - Contractors-Bhandup</v>
          </cell>
          <cell r="C109">
            <v>-30</v>
          </cell>
          <cell r="D109">
            <v>479</v>
          </cell>
          <cell r="E109">
            <v>449</v>
          </cell>
          <cell r="F109">
            <v>0</v>
          </cell>
        </row>
        <row r="110">
          <cell r="A110">
            <v>183388</v>
          </cell>
          <cell r="B110" t="str">
            <v>Employees Pension Scheme 1995-Bhandup</v>
          </cell>
          <cell r="C110">
            <v>-145060</v>
          </cell>
          <cell r="D110">
            <v>235112</v>
          </cell>
          <cell r="E110">
            <v>100954</v>
          </cell>
          <cell r="G110">
            <v>10902</v>
          </cell>
        </row>
        <row r="111">
          <cell r="A111">
            <v>183392</v>
          </cell>
          <cell r="B111" t="str">
            <v>Professional Tax-Bhandup</v>
          </cell>
          <cell r="C111">
            <v>245</v>
          </cell>
          <cell r="D111">
            <v>38985</v>
          </cell>
          <cell r="E111">
            <v>43060</v>
          </cell>
          <cell r="G111">
            <v>3830</v>
          </cell>
        </row>
        <row r="112">
          <cell r="A112">
            <v>183393</v>
          </cell>
          <cell r="B112" t="str">
            <v>Contribution to EGF-Bhandup</v>
          </cell>
          <cell r="C112">
            <v>-875700</v>
          </cell>
          <cell r="D112">
            <v>1263566</v>
          </cell>
          <cell r="E112">
            <v>387866</v>
          </cell>
          <cell r="F112">
            <v>0</v>
          </cell>
        </row>
        <row r="113">
          <cell r="A113">
            <v>183396</v>
          </cell>
          <cell r="B113" t="str">
            <v>PF Administration Charges-Bhandup</v>
          </cell>
          <cell r="C113">
            <v>-5650</v>
          </cell>
          <cell r="D113">
            <v>11848</v>
          </cell>
          <cell r="E113">
            <v>8168</v>
          </cell>
          <cell r="G113">
            <v>1970</v>
          </cell>
        </row>
        <row r="114">
          <cell r="A114">
            <v>184100</v>
          </cell>
          <cell r="B114" t="str">
            <v>Deposits received-Bhandup</v>
          </cell>
          <cell r="C114">
            <v>-760000</v>
          </cell>
          <cell r="D114">
            <v>0</v>
          </cell>
          <cell r="E114">
            <v>0</v>
          </cell>
          <cell r="G114">
            <v>760000</v>
          </cell>
        </row>
        <row r="115">
          <cell r="A115">
            <v>184210</v>
          </cell>
          <cell r="B115" t="str">
            <v>Deutsche Bank - FCNR(B)</v>
          </cell>
          <cell r="C115">
            <v>-70000000</v>
          </cell>
          <cell r="D115">
            <v>0</v>
          </cell>
          <cell r="E115">
            <v>0</v>
          </cell>
          <cell r="G115">
            <v>70000000</v>
          </cell>
        </row>
        <row r="116">
          <cell r="A116">
            <v>185010</v>
          </cell>
          <cell r="B116" t="str">
            <v>Deposits paid-Bhandup</v>
          </cell>
          <cell r="C116">
            <v>798770</v>
          </cell>
          <cell r="D116">
            <v>89001</v>
          </cell>
          <cell r="E116">
            <v>92840</v>
          </cell>
          <cell r="F116">
            <v>794931</v>
          </cell>
        </row>
        <row r="117">
          <cell r="A117">
            <v>186100</v>
          </cell>
          <cell r="B117" t="str">
            <v>Loans to Employees-Bhandup</v>
          </cell>
          <cell r="C117">
            <v>48750</v>
          </cell>
          <cell r="D117">
            <v>1250</v>
          </cell>
          <cell r="E117">
            <v>5000</v>
          </cell>
          <cell r="F117">
            <v>45000</v>
          </cell>
        </row>
        <row r="118">
          <cell r="A118">
            <v>187100</v>
          </cell>
          <cell r="B118" t="str">
            <v>Salary Advance</v>
          </cell>
          <cell r="C118">
            <v>0</v>
          </cell>
          <cell r="D118">
            <v>228577</v>
          </cell>
          <cell r="E118">
            <v>228577</v>
          </cell>
          <cell r="F118">
            <v>0</v>
          </cell>
        </row>
        <row r="119">
          <cell r="A119">
            <v>187110</v>
          </cell>
          <cell r="B119" t="str">
            <v>Salary Advance-Bhandup</v>
          </cell>
          <cell r="C119">
            <v>36995</v>
          </cell>
          <cell r="D119">
            <v>13826015</v>
          </cell>
          <cell r="E119">
            <v>13863010</v>
          </cell>
          <cell r="F119">
            <v>0</v>
          </cell>
        </row>
        <row r="120">
          <cell r="A120">
            <v>187300</v>
          </cell>
          <cell r="B120" t="str">
            <v>Travel Advance - Employees-Bhandup</v>
          </cell>
          <cell r="C120">
            <v>-45253.26</v>
          </cell>
          <cell r="D120">
            <v>109028.59</v>
          </cell>
          <cell r="E120">
            <v>85866.59</v>
          </cell>
          <cell r="G120">
            <v>22091.26</v>
          </cell>
        </row>
        <row r="121">
          <cell r="A121">
            <v>188100</v>
          </cell>
          <cell r="B121" t="str">
            <v>Employees Bank Loan-Bhandup</v>
          </cell>
          <cell r="C121">
            <v>0</v>
          </cell>
          <cell r="D121">
            <v>729004</v>
          </cell>
          <cell r="E121">
            <v>729004</v>
          </cell>
          <cell r="F121">
            <v>0</v>
          </cell>
        </row>
        <row r="122">
          <cell r="A122">
            <v>188110</v>
          </cell>
          <cell r="B122" t="str">
            <v>Employees - HDFC Bhandup</v>
          </cell>
          <cell r="C122">
            <v>3325</v>
          </cell>
          <cell r="D122">
            <v>6650</v>
          </cell>
          <cell r="E122">
            <v>9975</v>
          </cell>
          <cell r="F122">
            <v>0</v>
          </cell>
        </row>
        <row r="123">
          <cell r="A123">
            <v>190000</v>
          </cell>
          <cell r="B123" t="str">
            <v>Goods received/Invoices received</v>
          </cell>
          <cell r="C123">
            <v>-238952.74</v>
          </cell>
          <cell r="D123">
            <v>2526383.0299999998</v>
          </cell>
          <cell r="E123">
            <v>2379528.0299999998</v>
          </cell>
          <cell r="G123">
            <v>92097.74</v>
          </cell>
        </row>
        <row r="124">
          <cell r="A124">
            <v>191300</v>
          </cell>
          <cell r="B124" t="str">
            <v>Sales Tax Setoff Maharashtra State</v>
          </cell>
          <cell r="C124">
            <v>25450.41</v>
          </cell>
          <cell r="D124">
            <v>33.270000000000003</v>
          </cell>
          <cell r="E124">
            <v>699.49</v>
          </cell>
          <cell r="F124">
            <v>24784.19</v>
          </cell>
        </row>
        <row r="125">
          <cell r="A125">
            <v>191301</v>
          </cell>
          <cell r="B125" t="str">
            <v>VAT Setoff Maharashtra State</v>
          </cell>
          <cell r="C125">
            <v>554505.5</v>
          </cell>
          <cell r="D125">
            <v>42827.12</v>
          </cell>
          <cell r="E125">
            <v>604613.44999999995</v>
          </cell>
          <cell r="G125">
            <v>7280.83</v>
          </cell>
        </row>
        <row r="126">
          <cell r="A126">
            <v>191400</v>
          </cell>
          <cell r="B126" t="str">
            <v>Excise Duty - clearing a/c</v>
          </cell>
          <cell r="C126">
            <v>-207068.62</v>
          </cell>
          <cell r="D126">
            <v>656539.84</v>
          </cell>
          <cell r="E126">
            <v>649736.5</v>
          </cell>
          <cell r="G126">
            <v>200265.28</v>
          </cell>
        </row>
        <row r="127">
          <cell r="A127">
            <v>191440</v>
          </cell>
          <cell r="B127" t="str">
            <v>ED Cess on Exc  clg account</v>
          </cell>
          <cell r="C127">
            <v>-16306.01</v>
          </cell>
          <cell r="D127">
            <v>29018.52</v>
          </cell>
          <cell r="E127">
            <v>12683.3</v>
          </cell>
          <cell r="F127">
            <v>29.21</v>
          </cell>
        </row>
        <row r="128">
          <cell r="A128">
            <v>191800</v>
          </cell>
          <cell r="B128" t="str">
            <v>FI-ED Clg -Bhandup Factory</v>
          </cell>
          <cell r="C128">
            <v>-7807.92</v>
          </cell>
          <cell r="D128">
            <v>1390329.24</v>
          </cell>
          <cell r="E128">
            <v>1390964.18</v>
          </cell>
          <cell r="G128">
            <v>8442.86</v>
          </cell>
        </row>
        <row r="129">
          <cell r="A129">
            <v>192100</v>
          </cell>
          <cell r="B129" t="str">
            <v>Payroll (Wages and Salaries) Clearing-Bhandup</v>
          </cell>
          <cell r="C129">
            <v>21882</v>
          </cell>
          <cell r="D129">
            <v>6947458</v>
          </cell>
          <cell r="E129">
            <v>6969340</v>
          </cell>
          <cell r="F129">
            <v>0</v>
          </cell>
        </row>
        <row r="130">
          <cell r="A130">
            <v>192503</v>
          </cell>
          <cell r="B130" t="str">
            <v>Excise Duty on F.G.</v>
          </cell>
          <cell r="C130">
            <v>1178443.54</v>
          </cell>
          <cell r="D130">
            <v>0</v>
          </cell>
          <cell r="E130">
            <v>0</v>
          </cell>
          <cell r="F130">
            <v>1178443.54</v>
          </cell>
        </row>
        <row r="131">
          <cell r="A131">
            <v>192550</v>
          </cell>
          <cell r="B131" t="str">
            <v>Other Clearing Account-Bhandup</v>
          </cell>
          <cell r="C131">
            <v>-7900</v>
          </cell>
          <cell r="D131">
            <v>4480</v>
          </cell>
          <cell r="E131">
            <v>4480</v>
          </cell>
          <cell r="G131">
            <v>7900</v>
          </cell>
        </row>
        <row r="132">
          <cell r="A132">
            <v>192600</v>
          </cell>
          <cell r="B132" t="str">
            <v>Cess/Octroi Payable</v>
          </cell>
          <cell r="C132">
            <v>-526717.16</v>
          </cell>
          <cell r="D132">
            <v>81198.33</v>
          </cell>
          <cell r="E132">
            <v>43274.21</v>
          </cell>
          <cell r="G132">
            <v>488793.04</v>
          </cell>
        </row>
        <row r="133">
          <cell r="A133">
            <v>193000</v>
          </cell>
          <cell r="B133" t="str">
            <v>Freight/Customs/Clearing Charges</v>
          </cell>
          <cell r="C133">
            <v>62705.73</v>
          </cell>
          <cell r="D133">
            <v>131170.35</v>
          </cell>
          <cell r="E133">
            <v>137276.35</v>
          </cell>
          <cell r="F133">
            <v>56599.73</v>
          </cell>
        </row>
        <row r="134">
          <cell r="A134">
            <v>193300</v>
          </cell>
          <cell r="B134" t="str">
            <v>Freight/Customs/Clearing Charges</v>
          </cell>
          <cell r="C134">
            <v>318.60000000000002</v>
          </cell>
          <cell r="D134">
            <v>260419.86</v>
          </cell>
          <cell r="E134">
            <v>260738.46</v>
          </cell>
          <cell r="F134">
            <v>0</v>
          </cell>
        </row>
        <row r="135">
          <cell r="A135">
            <v>195000</v>
          </cell>
          <cell r="B135" t="str">
            <v>Interim Posting - Inventory Price Difference &amp; Rev</v>
          </cell>
          <cell r="C135">
            <v>565235</v>
          </cell>
          <cell r="D135">
            <v>0</v>
          </cell>
          <cell r="E135">
            <v>0</v>
          </cell>
          <cell r="F135">
            <v>565235</v>
          </cell>
        </row>
        <row r="136">
          <cell r="A136">
            <v>195300</v>
          </cell>
          <cell r="B136" t="str">
            <v>Interim Posting - Price diff. Invoice Verification</v>
          </cell>
          <cell r="C136">
            <v>-7020.14</v>
          </cell>
          <cell r="D136">
            <v>0</v>
          </cell>
          <cell r="E136">
            <v>0</v>
          </cell>
          <cell r="G136">
            <v>7020.14</v>
          </cell>
        </row>
        <row r="137">
          <cell r="A137">
            <v>195400</v>
          </cell>
          <cell r="B137" t="str">
            <v>Interim Posting - Samples</v>
          </cell>
          <cell r="C137">
            <v>4295.07</v>
          </cell>
          <cell r="D137">
            <v>12452.14</v>
          </cell>
          <cell r="E137">
            <v>0</v>
          </cell>
          <cell r="F137">
            <v>16747.21</v>
          </cell>
        </row>
        <row r="138">
          <cell r="A138">
            <v>195892</v>
          </cell>
          <cell r="B138" t="str">
            <v>Interim Posting - D3 Operations - Bhandup</v>
          </cell>
          <cell r="C138">
            <v>140601.51999999999</v>
          </cell>
          <cell r="D138">
            <v>0</v>
          </cell>
          <cell r="E138">
            <v>0</v>
          </cell>
          <cell r="F138">
            <v>140601.51999999999</v>
          </cell>
        </row>
        <row r="139">
          <cell r="A139">
            <v>195894</v>
          </cell>
          <cell r="B139" t="str">
            <v>Interim Posting - B1 Operations - Bhandup</v>
          </cell>
          <cell r="C139">
            <v>-1174375.3899999999</v>
          </cell>
          <cell r="D139">
            <v>0</v>
          </cell>
          <cell r="E139">
            <v>0</v>
          </cell>
          <cell r="G139">
            <v>1174375.3899999999</v>
          </cell>
        </row>
        <row r="140">
          <cell r="A140">
            <v>195992</v>
          </cell>
          <cell r="B140" t="str">
            <v>Interim Offset - D3 Operations - Bhandup</v>
          </cell>
          <cell r="C140">
            <v>-140601.51999999999</v>
          </cell>
          <cell r="D140">
            <v>0</v>
          </cell>
          <cell r="E140">
            <v>0</v>
          </cell>
          <cell r="G140">
            <v>140601.51999999999</v>
          </cell>
        </row>
        <row r="141">
          <cell r="A141">
            <v>195994</v>
          </cell>
          <cell r="B141" t="str">
            <v>Interim Offset - B1 Operations - Bhandup</v>
          </cell>
          <cell r="C141">
            <v>1174375.3899999999</v>
          </cell>
          <cell r="D141">
            <v>0</v>
          </cell>
          <cell r="E141">
            <v>0</v>
          </cell>
          <cell r="F141">
            <v>1174375.3899999999</v>
          </cell>
        </row>
        <row r="142">
          <cell r="A142">
            <v>202030</v>
          </cell>
          <cell r="B142" t="str">
            <v>REALISED Exchange Loss on sales activities</v>
          </cell>
          <cell r="C142">
            <v>0</v>
          </cell>
          <cell r="D142">
            <v>166737.89000000001</v>
          </cell>
          <cell r="E142">
            <v>0</v>
          </cell>
          <cell r="F142">
            <v>166737.89000000001</v>
          </cell>
        </row>
        <row r="143">
          <cell r="A143">
            <v>208050</v>
          </cell>
          <cell r="B143" t="str">
            <v>Non-periodical expenditure</v>
          </cell>
          <cell r="C143">
            <v>0</v>
          </cell>
          <cell r="D143">
            <v>365614</v>
          </cell>
          <cell r="E143">
            <v>0</v>
          </cell>
          <cell r="F143">
            <v>365614</v>
          </cell>
        </row>
        <row r="144">
          <cell r="A144">
            <v>209800</v>
          </cell>
          <cell r="B144" t="str">
            <v>Small Payment Differences - Losses</v>
          </cell>
          <cell r="C144">
            <v>0</v>
          </cell>
          <cell r="D144">
            <v>244.06</v>
          </cell>
          <cell r="E144">
            <v>8.3699999999999992</v>
          </cell>
          <cell r="F144">
            <v>235.69</v>
          </cell>
        </row>
        <row r="145">
          <cell r="A145">
            <v>212010</v>
          </cell>
          <cell r="B145" t="str">
            <v>Exchange gain - Other than sales</v>
          </cell>
          <cell r="C145">
            <v>0</v>
          </cell>
          <cell r="D145">
            <v>0</v>
          </cell>
          <cell r="E145">
            <v>704.6</v>
          </cell>
          <cell r="G145">
            <v>704.6</v>
          </cell>
        </row>
        <row r="146">
          <cell r="A146">
            <v>215050</v>
          </cell>
          <cell r="B146" t="str">
            <v>Duty Drawback</v>
          </cell>
          <cell r="C146">
            <v>0</v>
          </cell>
          <cell r="D146">
            <v>0</v>
          </cell>
          <cell r="E146">
            <v>25000</v>
          </cell>
          <cell r="G146">
            <v>25000</v>
          </cell>
        </row>
        <row r="147">
          <cell r="A147">
            <v>215060</v>
          </cell>
          <cell r="B147" t="str">
            <v>Recovery - Canteen</v>
          </cell>
          <cell r="C147">
            <v>0</v>
          </cell>
          <cell r="D147">
            <v>2720</v>
          </cell>
          <cell r="E147">
            <v>2720</v>
          </cell>
          <cell r="F147">
            <v>0</v>
          </cell>
        </row>
        <row r="148">
          <cell r="A148">
            <v>218050</v>
          </cell>
          <cell r="B148" t="str">
            <v>Non-periodical income</v>
          </cell>
          <cell r="C148">
            <v>0</v>
          </cell>
          <cell r="D148">
            <v>0</v>
          </cell>
          <cell r="E148">
            <v>103030</v>
          </cell>
          <cell r="G148">
            <v>103030</v>
          </cell>
        </row>
        <row r="149">
          <cell r="A149">
            <v>219700</v>
          </cell>
          <cell r="B149" t="str">
            <v>Non - operating Sales</v>
          </cell>
          <cell r="C149">
            <v>0</v>
          </cell>
          <cell r="D149">
            <v>0</v>
          </cell>
          <cell r="E149">
            <v>402041.04</v>
          </cell>
          <cell r="G149">
            <v>402041.04</v>
          </cell>
        </row>
        <row r="150">
          <cell r="A150">
            <v>219800</v>
          </cell>
          <cell r="B150" t="str">
            <v>Small Payment Differences / Gains</v>
          </cell>
          <cell r="C150">
            <v>0</v>
          </cell>
          <cell r="D150">
            <v>0.34</v>
          </cell>
          <cell r="E150">
            <v>100.11</v>
          </cell>
          <cell r="G150">
            <v>99.77</v>
          </cell>
        </row>
        <row r="151">
          <cell r="A151">
            <v>219830</v>
          </cell>
          <cell r="B151" t="str">
            <v>Suppliers Discount</v>
          </cell>
          <cell r="C151">
            <v>0</v>
          </cell>
          <cell r="D151">
            <v>0</v>
          </cell>
          <cell r="E151">
            <v>37334.1</v>
          </cell>
          <cell r="G151">
            <v>37334.1</v>
          </cell>
        </row>
        <row r="152">
          <cell r="A152">
            <v>220080</v>
          </cell>
          <cell r="B152" t="str">
            <v>INTEREST - OTHERS</v>
          </cell>
          <cell r="C152">
            <v>0</v>
          </cell>
          <cell r="D152">
            <v>1655547.95</v>
          </cell>
          <cell r="E152">
            <v>0</v>
          </cell>
          <cell r="F152">
            <v>1655547.95</v>
          </cell>
        </row>
        <row r="153">
          <cell r="A153">
            <v>220160</v>
          </cell>
          <cell r="B153" t="str">
            <v>INTEREST - CUSTOMERS- SECURITY DEPOSIT/ADVANCES</v>
          </cell>
          <cell r="C153">
            <v>0</v>
          </cell>
          <cell r="D153">
            <v>38500</v>
          </cell>
          <cell r="E153">
            <v>0</v>
          </cell>
          <cell r="F153">
            <v>38500</v>
          </cell>
        </row>
        <row r="154">
          <cell r="A154">
            <v>223010</v>
          </cell>
          <cell r="B154" t="str">
            <v>DISCOUNT PAID TO CUSTOMERS</v>
          </cell>
          <cell r="C154">
            <v>0</v>
          </cell>
          <cell r="D154">
            <v>33463.360000000001</v>
          </cell>
          <cell r="E154">
            <v>0</v>
          </cell>
          <cell r="F154">
            <v>33463.360000000001</v>
          </cell>
        </row>
        <row r="155">
          <cell r="A155">
            <v>223030</v>
          </cell>
          <cell r="B155" t="str">
            <v>BANK CHARGES</v>
          </cell>
          <cell r="C155">
            <v>0</v>
          </cell>
          <cell r="D155">
            <v>109068.33</v>
          </cell>
          <cell r="E155">
            <v>90</v>
          </cell>
          <cell r="F155">
            <v>108978.33</v>
          </cell>
        </row>
        <row r="156">
          <cell r="A156">
            <v>230000</v>
          </cell>
          <cell r="B156" t="str">
            <v>Interest Income / Bank Account</v>
          </cell>
          <cell r="C156">
            <v>0</v>
          </cell>
          <cell r="D156">
            <v>26836</v>
          </cell>
          <cell r="E156">
            <v>281282</v>
          </cell>
          <cell r="G156">
            <v>254446</v>
          </cell>
        </row>
        <row r="157">
          <cell r="A157">
            <v>230200</v>
          </cell>
          <cell r="B157" t="str">
            <v>Other Interest Income</v>
          </cell>
          <cell r="C157">
            <v>0</v>
          </cell>
          <cell r="D157">
            <v>237.5</v>
          </cell>
          <cell r="E157">
            <v>950.02</v>
          </cell>
          <cell r="G157">
            <v>712.52</v>
          </cell>
        </row>
        <row r="158">
          <cell r="A158">
            <v>250000</v>
          </cell>
          <cell r="B158" t="str">
            <v>Financial Depreciation - Tang. Asset</v>
          </cell>
          <cell r="C158">
            <v>0</v>
          </cell>
          <cell r="D158">
            <v>790000</v>
          </cell>
          <cell r="E158">
            <v>790000</v>
          </cell>
          <cell r="F158">
            <v>0</v>
          </cell>
        </row>
        <row r="159">
          <cell r="A159">
            <v>250090</v>
          </cell>
          <cell r="B159" t="str">
            <v>Costed Depreciation (Off set account )-Tang. Asset</v>
          </cell>
          <cell r="C159">
            <v>0</v>
          </cell>
          <cell r="D159">
            <v>790000</v>
          </cell>
          <cell r="E159">
            <v>790000</v>
          </cell>
          <cell r="F159">
            <v>0</v>
          </cell>
        </row>
        <row r="160">
          <cell r="A160">
            <v>256000</v>
          </cell>
          <cell r="B160" t="str">
            <v>Stock valuation allo./raw mat,pack and supplies</v>
          </cell>
          <cell r="C160">
            <v>0</v>
          </cell>
          <cell r="D160">
            <v>417532</v>
          </cell>
          <cell r="E160">
            <v>650621.71</v>
          </cell>
          <cell r="G160">
            <v>233089.71</v>
          </cell>
        </row>
        <row r="161">
          <cell r="A161">
            <v>300000</v>
          </cell>
          <cell r="B161" t="str">
            <v>Raw materials</v>
          </cell>
          <cell r="C161">
            <v>3951895.51</v>
          </cell>
          <cell r="D161">
            <v>500138.31</v>
          </cell>
          <cell r="E161">
            <v>1282878.27</v>
          </cell>
          <cell r="F161">
            <v>3169155.55</v>
          </cell>
        </row>
        <row r="162">
          <cell r="A162">
            <v>301000</v>
          </cell>
          <cell r="B162" t="str">
            <v>Raw Materials</v>
          </cell>
          <cell r="C162">
            <v>-2167691.54</v>
          </cell>
          <cell r="D162">
            <v>0</v>
          </cell>
          <cell r="E162">
            <v>0</v>
          </cell>
          <cell r="G162">
            <v>2167691.54</v>
          </cell>
        </row>
        <row r="163">
          <cell r="A163">
            <v>321000</v>
          </cell>
          <cell r="B163" t="str">
            <v>Packaging materials</v>
          </cell>
          <cell r="C163">
            <v>1234740.6000000001</v>
          </cell>
          <cell r="D163">
            <v>30159.26</v>
          </cell>
          <cell r="E163">
            <v>329839.01</v>
          </cell>
          <cell r="F163">
            <v>935060.85</v>
          </cell>
        </row>
        <row r="164">
          <cell r="A164">
            <v>340000</v>
          </cell>
          <cell r="B164" t="str">
            <v>Products</v>
          </cell>
          <cell r="C164">
            <v>5737519.5199999996</v>
          </cell>
          <cell r="D164">
            <v>1678325.25</v>
          </cell>
          <cell r="E164">
            <v>2168338.8199999998</v>
          </cell>
          <cell r="F164">
            <v>5247505.95</v>
          </cell>
        </row>
        <row r="165">
          <cell r="A165">
            <v>341000</v>
          </cell>
          <cell r="B165" t="str">
            <v>Intermediate Products</v>
          </cell>
          <cell r="C165">
            <v>-4091250.2</v>
          </cell>
          <cell r="D165">
            <v>650621.71</v>
          </cell>
          <cell r="E165">
            <v>417532</v>
          </cell>
          <cell r="G165">
            <v>3858160.49</v>
          </cell>
        </row>
        <row r="166">
          <cell r="A166">
            <v>350000</v>
          </cell>
          <cell r="B166" t="str">
            <v>Merchandise</v>
          </cell>
          <cell r="C166">
            <v>4057197.39</v>
          </cell>
          <cell r="D166">
            <v>2033986.27</v>
          </cell>
          <cell r="E166">
            <v>1700230.74</v>
          </cell>
          <cell r="F166">
            <v>4390952.92</v>
          </cell>
        </row>
        <row r="167">
          <cell r="A167">
            <v>351000</v>
          </cell>
          <cell r="B167" t="str">
            <v>Mer Products</v>
          </cell>
          <cell r="C167">
            <v>-1154265.8500000001</v>
          </cell>
          <cell r="D167">
            <v>0</v>
          </cell>
          <cell r="E167">
            <v>0</v>
          </cell>
          <cell r="G167">
            <v>1154265.8500000001</v>
          </cell>
        </row>
        <row r="168">
          <cell r="A168">
            <v>400000</v>
          </cell>
          <cell r="B168" t="str">
            <v>Raw Materials consumed in production</v>
          </cell>
          <cell r="C168">
            <v>0</v>
          </cell>
          <cell r="D168">
            <v>1119179.95</v>
          </cell>
          <cell r="E168">
            <v>496.39</v>
          </cell>
          <cell r="F168">
            <v>1118683.56</v>
          </cell>
        </row>
        <row r="169">
          <cell r="A169">
            <v>400500</v>
          </cell>
          <cell r="B169" t="str">
            <v>Packaging Materials consumed</v>
          </cell>
          <cell r="C169">
            <v>0</v>
          </cell>
          <cell r="D169">
            <v>102124.2</v>
          </cell>
          <cell r="E169">
            <v>0</v>
          </cell>
          <cell r="F169">
            <v>102124.2</v>
          </cell>
        </row>
        <row r="170">
          <cell r="A170">
            <v>401401</v>
          </cell>
          <cell r="B170" t="str">
            <v>Excise Duty on Sales</v>
          </cell>
          <cell r="C170">
            <v>0</v>
          </cell>
          <cell r="D170">
            <v>310151.44</v>
          </cell>
          <cell r="E170">
            <v>0</v>
          </cell>
          <cell r="F170">
            <v>310151.44</v>
          </cell>
        </row>
        <row r="171">
          <cell r="A171">
            <v>402000</v>
          </cell>
          <cell r="B171" t="str">
            <v>Veh.Own-Oil / Fuel</v>
          </cell>
          <cell r="C171">
            <v>0</v>
          </cell>
          <cell r="D171">
            <v>48456</v>
          </cell>
          <cell r="E171">
            <v>21000</v>
          </cell>
          <cell r="F171">
            <v>27456</v>
          </cell>
        </row>
        <row r="172">
          <cell r="A172">
            <v>402401</v>
          </cell>
          <cell r="B172" t="str">
            <v>Education Cess on Excise Duty on Sales</v>
          </cell>
          <cell r="C172">
            <v>0</v>
          </cell>
          <cell r="D172">
            <v>6158.19</v>
          </cell>
          <cell r="E172">
            <v>0</v>
          </cell>
          <cell r="F172">
            <v>6158.19</v>
          </cell>
        </row>
        <row r="173">
          <cell r="A173">
            <v>403000</v>
          </cell>
          <cell r="B173" t="str">
            <v>Sundry materials (lubricants, clean. mat.) cons</v>
          </cell>
          <cell r="C173">
            <v>0</v>
          </cell>
          <cell r="D173">
            <v>3152</v>
          </cell>
          <cell r="E173">
            <v>0</v>
          </cell>
          <cell r="F173">
            <v>3152</v>
          </cell>
        </row>
        <row r="174">
          <cell r="A174">
            <v>403100</v>
          </cell>
          <cell r="B174" t="str">
            <v>Indirect materials - Repairs and Maintenance</v>
          </cell>
          <cell r="C174">
            <v>0</v>
          </cell>
          <cell r="D174">
            <v>4500</v>
          </cell>
          <cell r="E174">
            <v>0</v>
          </cell>
          <cell r="F174">
            <v>4500</v>
          </cell>
        </row>
        <row r="175">
          <cell r="A175">
            <v>403810</v>
          </cell>
          <cell r="B175" t="str">
            <v>Office Stationery</v>
          </cell>
          <cell r="C175">
            <v>0</v>
          </cell>
          <cell r="D175">
            <v>2941</v>
          </cell>
          <cell r="E175">
            <v>0</v>
          </cell>
          <cell r="F175">
            <v>2941</v>
          </cell>
        </row>
        <row r="176">
          <cell r="A176">
            <v>403851</v>
          </cell>
          <cell r="B176" t="str">
            <v>Cost of Uniforms</v>
          </cell>
          <cell r="C176">
            <v>0</v>
          </cell>
          <cell r="D176">
            <v>13870</v>
          </cell>
          <cell r="E176">
            <v>0</v>
          </cell>
          <cell r="F176">
            <v>13870</v>
          </cell>
        </row>
        <row r="177">
          <cell r="A177">
            <v>403852</v>
          </cell>
          <cell r="B177" t="str">
            <v>Packing Materials - others</v>
          </cell>
          <cell r="C177">
            <v>0</v>
          </cell>
          <cell r="D177">
            <v>57183.25</v>
          </cell>
          <cell r="E177">
            <v>3000</v>
          </cell>
          <cell r="F177">
            <v>54183.25</v>
          </cell>
        </row>
        <row r="178">
          <cell r="A178">
            <v>403900</v>
          </cell>
          <cell r="B178" t="str">
            <v>Canteen Expenses</v>
          </cell>
          <cell r="C178">
            <v>0</v>
          </cell>
          <cell r="D178">
            <v>333481</v>
          </cell>
          <cell r="E178">
            <v>195114</v>
          </cell>
          <cell r="F178">
            <v>138367</v>
          </cell>
        </row>
        <row r="179">
          <cell r="A179">
            <v>409100</v>
          </cell>
          <cell r="B179" t="str">
            <v>INVENTORY PRICE &amp; REVALUATION DIFFERENCES</v>
          </cell>
          <cell r="C179">
            <v>0</v>
          </cell>
          <cell r="D179">
            <v>17150</v>
          </cell>
          <cell r="E179">
            <v>17150</v>
          </cell>
          <cell r="F179">
            <v>0</v>
          </cell>
        </row>
        <row r="180">
          <cell r="A180">
            <v>409400</v>
          </cell>
          <cell r="B180" t="str">
            <v>INVENTORY DUMPED</v>
          </cell>
          <cell r="C180">
            <v>0</v>
          </cell>
          <cell r="D180">
            <v>322113.83</v>
          </cell>
          <cell r="E180">
            <v>0</v>
          </cell>
          <cell r="F180">
            <v>322113.83</v>
          </cell>
        </row>
        <row r="181">
          <cell r="A181">
            <v>410010</v>
          </cell>
          <cell r="B181" t="str">
            <v>Basic - Unionised</v>
          </cell>
          <cell r="C181">
            <v>0</v>
          </cell>
          <cell r="D181">
            <v>410259</v>
          </cell>
          <cell r="E181">
            <v>0</v>
          </cell>
          <cell r="F181">
            <v>410259</v>
          </cell>
        </row>
        <row r="182">
          <cell r="A182">
            <v>410020</v>
          </cell>
          <cell r="B182" t="str">
            <v>Dearness Allowance - Unionised</v>
          </cell>
          <cell r="C182">
            <v>0</v>
          </cell>
          <cell r="D182">
            <v>545825.34</v>
          </cell>
          <cell r="E182">
            <v>0</v>
          </cell>
          <cell r="F182">
            <v>545825.34</v>
          </cell>
        </row>
        <row r="183">
          <cell r="A183">
            <v>410040</v>
          </cell>
          <cell r="B183" t="str">
            <v>Bonus - Unionised</v>
          </cell>
          <cell r="C183">
            <v>0</v>
          </cell>
          <cell r="D183">
            <v>38000</v>
          </cell>
          <cell r="E183">
            <v>0</v>
          </cell>
          <cell r="F183">
            <v>38000</v>
          </cell>
        </row>
        <row r="184">
          <cell r="A184">
            <v>410060</v>
          </cell>
          <cell r="B184" t="str">
            <v>Leave Travel Allowance - Unionised</v>
          </cell>
          <cell r="C184">
            <v>0</v>
          </cell>
          <cell r="D184">
            <v>19000</v>
          </cell>
          <cell r="E184">
            <v>0</v>
          </cell>
          <cell r="F184">
            <v>19000</v>
          </cell>
        </row>
        <row r="185">
          <cell r="A185">
            <v>410100</v>
          </cell>
          <cell r="B185" t="str">
            <v>All Other Earnings - Unionised</v>
          </cell>
          <cell r="C185">
            <v>0</v>
          </cell>
          <cell r="D185">
            <v>5363161.59</v>
          </cell>
          <cell r="E185">
            <v>687324</v>
          </cell>
          <cell r="F185">
            <v>4675837.59</v>
          </cell>
        </row>
        <row r="186">
          <cell r="A186">
            <v>410300</v>
          </cell>
          <cell r="B186" t="str">
            <v>Payment to Trainees/Apprentices</v>
          </cell>
          <cell r="C186">
            <v>0</v>
          </cell>
          <cell r="D186">
            <v>3114</v>
          </cell>
          <cell r="E186">
            <v>0</v>
          </cell>
          <cell r="F186">
            <v>3114</v>
          </cell>
        </row>
        <row r="187">
          <cell r="A187">
            <v>410510</v>
          </cell>
          <cell r="B187" t="str">
            <v>Basic Salary</v>
          </cell>
          <cell r="C187">
            <v>0</v>
          </cell>
          <cell r="D187">
            <v>808033.38</v>
          </cell>
          <cell r="E187">
            <v>201015.72</v>
          </cell>
          <cell r="F187">
            <v>607017.66</v>
          </cell>
        </row>
        <row r="188">
          <cell r="A188">
            <v>410560</v>
          </cell>
          <cell r="B188" t="str">
            <v>Leave Travel Allowance</v>
          </cell>
          <cell r="C188">
            <v>0</v>
          </cell>
          <cell r="D188">
            <v>76800</v>
          </cell>
          <cell r="E188">
            <v>0</v>
          </cell>
          <cell r="F188">
            <v>76800</v>
          </cell>
        </row>
        <row r="189">
          <cell r="A189">
            <v>410590</v>
          </cell>
          <cell r="B189" t="str">
            <v>Productivity Linked Incentive</v>
          </cell>
          <cell r="C189">
            <v>0</v>
          </cell>
          <cell r="D189">
            <v>91518</v>
          </cell>
          <cell r="E189">
            <v>0</v>
          </cell>
          <cell r="F189">
            <v>91518</v>
          </cell>
        </row>
        <row r="190">
          <cell r="A190">
            <v>410600</v>
          </cell>
          <cell r="B190" t="str">
            <v>All Other Earnings</v>
          </cell>
          <cell r="C190">
            <v>0</v>
          </cell>
          <cell r="D190">
            <v>1079878.44</v>
          </cell>
          <cell r="E190">
            <v>685112.93</v>
          </cell>
          <cell r="F190">
            <v>394765.51</v>
          </cell>
        </row>
        <row r="191">
          <cell r="A191">
            <v>415920</v>
          </cell>
          <cell r="B191" t="str">
            <v>Telephone Rent - Residences - Others</v>
          </cell>
          <cell r="C191">
            <v>0</v>
          </cell>
          <cell r="D191">
            <v>2500</v>
          </cell>
          <cell r="E191">
            <v>0</v>
          </cell>
          <cell r="F191">
            <v>2500</v>
          </cell>
        </row>
        <row r="192">
          <cell r="A192">
            <v>415940</v>
          </cell>
          <cell r="B192" t="str">
            <v>Rent - Residences - Others</v>
          </cell>
          <cell r="C192">
            <v>0</v>
          </cell>
          <cell r="D192">
            <v>79200</v>
          </cell>
          <cell r="E192">
            <v>19800</v>
          </cell>
          <cell r="F192">
            <v>59400</v>
          </cell>
        </row>
        <row r="193">
          <cell r="A193">
            <v>416010</v>
          </cell>
          <cell r="B193" t="str">
            <v>Provident Fund / Family Pension Fund - Unionised</v>
          </cell>
          <cell r="C193">
            <v>0</v>
          </cell>
          <cell r="D193">
            <v>188456</v>
          </cell>
          <cell r="E193">
            <v>0</v>
          </cell>
          <cell r="F193">
            <v>188456</v>
          </cell>
        </row>
        <row r="194">
          <cell r="A194">
            <v>416030</v>
          </cell>
          <cell r="B194" t="str">
            <v>Employees State Insurance Corporation - Unionised</v>
          </cell>
          <cell r="C194">
            <v>0</v>
          </cell>
          <cell r="D194">
            <v>1368</v>
          </cell>
          <cell r="E194">
            <v>0</v>
          </cell>
          <cell r="F194">
            <v>1368</v>
          </cell>
        </row>
        <row r="195">
          <cell r="A195">
            <v>416040</v>
          </cell>
          <cell r="B195" t="str">
            <v>Contribution to Gratuity Fund - Unionised</v>
          </cell>
          <cell r="C195">
            <v>0</v>
          </cell>
          <cell r="D195">
            <v>113800</v>
          </cell>
          <cell r="E195">
            <v>446526</v>
          </cell>
          <cell r="G195">
            <v>332726</v>
          </cell>
        </row>
        <row r="196">
          <cell r="A196">
            <v>417010</v>
          </cell>
          <cell r="B196" t="str">
            <v>Provident Fund / Family Pension Fund</v>
          </cell>
          <cell r="C196">
            <v>0</v>
          </cell>
          <cell r="D196">
            <v>118836</v>
          </cell>
          <cell r="E196">
            <v>24121</v>
          </cell>
          <cell r="F196">
            <v>94715</v>
          </cell>
        </row>
        <row r="197">
          <cell r="A197">
            <v>417025</v>
          </cell>
          <cell r="B197" t="str">
            <v>PF Admin Charges</v>
          </cell>
          <cell r="C197">
            <v>0</v>
          </cell>
          <cell r="D197">
            <v>6198</v>
          </cell>
          <cell r="E197">
            <v>1725.92</v>
          </cell>
          <cell r="F197">
            <v>4472.08</v>
          </cell>
        </row>
        <row r="198">
          <cell r="A198">
            <v>417040</v>
          </cell>
          <cell r="B198" t="str">
            <v>Contribution to Gratuity Fund</v>
          </cell>
          <cell r="C198">
            <v>0</v>
          </cell>
          <cell r="D198">
            <v>121200</v>
          </cell>
          <cell r="E198">
            <v>317042</v>
          </cell>
          <cell r="G198">
            <v>195842</v>
          </cell>
        </row>
        <row r="199">
          <cell r="A199">
            <v>417050</v>
          </cell>
          <cell r="B199" t="str">
            <v>Contribution to Superannuation Scheme</v>
          </cell>
          <cell r="C199">
            <v>0</v>
          </cell>
          <cell r="D199">
            <v>150584</v>
          </cell>
          <cell r="E199">
            <v>72514</v>
          </cell>
          <cell r="F199">
            <v>78070</v>
          </cell>
        </row>
        <row r="200">
          <cell r="A200">
            <v>417060</v>
          </cell>
          <cell r="B200" t="str">
            <v>Group Insurance Scheme</v>
          </cell>
          <cell r="C200">
            <v>0</v>
          </cell>
          <cell r="D200">
            <v>4446</v>
          </cell>
          <cell r="E200">
            <v>0</v>
          </cell>
          <cell r="F200">
            <v>4446</v>
          </cell>
        </row>
        <row r="201">
          <cell r="A201">
            <v>419100</v>
          </cell>
          <cell r="B201" t="str">
            <v>Refreshment Expenses to Staff</v>
          </cell>
          <cell r="C201">
            <v>0</v>
          </cell>
          <cell r="D201">
            <v>8513</v>
          </cell>
          <cell r="E201">
            <v>0</v>
          </cell>
          <cell r="F201">
            <v>8513</v>
          </cell>
        </row>
        <row r="202">
          <cell r="A202">
            <v>419110</v>
          </cell>
          <cell r="B202" t="str">
            <v>Lunch Expenses</v>
          </cell>
          <cell r="C202">
            <v>0</v>
          </cell>
          <cell r="D202">
            <v>8793</v>
          </cell>
          <cell r="E202">
            <v>0</v>
          </cell>
          <cell r="F202">
            <v>8793</v>
          </cell>
        </row>
        <row r="203">
          <cell r="A203">
            <v>419140</v>
          </cell>
          <cell r="B203" t="str">
            <v>Medical expenses - other employees</v>
          </cell>
          <cell r="C203">
            <v>0</v>
          </cell>
          <cell r="D203">
            <v>78930</v>
          </cell>
          <cell r="E203">
            <v>0</v>
          </cell>
          <cell r="F203">
            <v>78930</v>
          </cell>
        </row>
        <row r="204">
          <cell r="A204">
            <v>419200</v>
          </cell>
          <cell r="B204" t="str">
            <v>Picnic, Pooja Recreation</v>
          </cell>
          <cell r="C204">
            <v>0</v>
          </cell>
          <cell r="D204">
            <v>20000</v>
          </cell>
          <cell r="E204">
            <v>0</v>
          </cell>
          <cell r="F204">
            <v>20000</v>
          </cell>
        </row>
        <row r="205">
          <cell r="A205">
            <v>419500</v>
          </cell>
          <cell r="B205" t="str">
            <v>Co. Voluntary Charges - Others</v>
          </cell>
          <cell r="C205">
            <v>0</v>
          </cell>
          <cell r="D205">
            <v>28243.5</v>
          </cell>
          <cell r="E205">
            <v>0</v>
          </cell>
          <cell r="F205">
            <v>28243.5</v>
          </cell>
        </row>
        <row r="206">
          <cell r="A206">
            <v>419810</v>
          </cell>
          <cell r="B206" t="str">
            <v>Compensation</v>
          </cell>
          <cell r="C206">
            <v>0</v>
          </cell>
          <cell r="D206">
            <v>10907957</v>
          </cell>
          <cell r="E206">
            <v>0</v>
          </cell>
          <cell r="F206">
            <v>10907957</v>
          </cell>
        </row>
        <row r="207">
          <cell r="A207">
            <v>419900</v>
          </cell>
          <cell r="B207" t="str">
            <v>Charges for seminar / courses</v>
          </cell>
          <cell r="C207">
            <v>0</v>
          </cell>
          <cell r="D207">
            <v>4500</v>
          </cell>
          <cell r="E207">
            <v>0</v>
          </cell>
          <cell r="F207">
            <v>4500</v>
          </cell>
        </row>
        <row r="208">
          <cell r="A208">
            <v>420000</v>
          </cell>
          <cell r="B208" t="str">
            <v>Water</v>
          </cell>
          <cell r="C208">
            <v>0</v>
          </cell>
          <cell r="D208">
            <v>7920</v>
          </cell>
          <cell r="E208">
            <v>0</v>
          </cell>
          <cell r="F208">
            <v>7920</v>
          </cell>
        </row>
        <row r="209">
          <cell r="A209">
            <v>422000</v>
          </cell>
          <cell r="B209" t="str">
            <v>Electricity</v>
          </cell>
          <cell r="C209">
            <v>0</v>
          </cell>
          <cell r="D209">
            <v>626550</v>
          </cell>
          <cell r="E209">
            <v>390000</v>
          </cell>
          <cell r="F209">
            <v>236550</v>
          </cell>
        </row>
        <row r="210">
          <cell r="A210">
            <v>430000</v>
          </cell>
          <cell r="B210" t="str">
            <v>Costed Depreciation  - Buildings</v>
          </cell>
          <cell r="C210">
            <v>0</v>
          </cell>
          <cell r="D210">
            <v>254800</v>
          </cell>
          <cell r="E210">
            <v>0</v>
          </cell>
          <cell r="F210">
            <v>254800</v>
          </cell>
        </row>
        <row r="211">
          <cell r="A211">
            <v>430100</v>
          </cell>
          <cell r="B211" t="str">
            <v>Costed Depreciation on Machinery a.Techn.Equipmee</v>
          </cell>
          <cell r="C211">
            <v>0</v>
          </cell>
          <cell r="D211">
            <v>509672</v>
          </cell>
          <cell r="E211">
            <v>0</v>
          </cell>
          <cell r="F211">
            <v>509672</v>
          </cell>
        </row>
        <row r="212">
          <cell r="A212">
            <v>430110</v>
          </cell>
          <cell r="B212" t="str">
            <v>Costed Depreciation on Vehicles</v>
          </cell>
          <cell r="C212">
            <v>0</v>
          </cell>
          <cell r="D212">
            <v>25528</v>
          </cell>
          <cell r="E212">
            <v>0</v>
          </cell>
          <cell r="F212">
            <v>25528</v>
          </cell>
        </row>
        <row r="213">
          <cell r="A213">
            <v>435120</v>
          </cell>
          <cell r="B213" t="str">
            <v>Property Taxes and Rates</v>
          </cell>
          <cell r="C213">
            <v>0</v>
          </cell>
          <cell r="D213">
            <v>20242.5</v>
          </cell>
          <cell r="E213">
            <v>0</v>
          </cell>
          <cell r="F213">
            <v>20242.5</v>
          </cell>
        </row>
        <row r="214">
          <cell r="A214">
            <v>435300</v>
          </cell>
          <cell r="B214" t="str">
            <v>Fringe Benefits Tax</v>
          </cell>
          <cell r="C214">
            <v>0</v>
          </cell>
          <cell r="D214">
            <v>99392</v>
          </cell>
          <cell r="E214">
            <v>218</v>
          </cell>
          <cell r="F214">
            <v>99174</v>
          </cell>
        </row>
        <row r="215">
          <cell r="A215">
            <v>435500</v>
          </cell>
          <cell r="B215" t="str">
            <v>Purchase Tax</v>
          </cell>
          <cell r="C215">
            <v>0</v>
          </cell>
          <cell r="D215">
            <v>77580</v>
          </cell>
          <cell r="E215">
            <v>0</v>
          </cell>
          <cell r="F215">
            <v>77580</v>
          </cell>
        </row>
        <row r="216">
          <cell r="A216">
            <v>440200</v>
          </cell>
          <cell r="B216" t="str">
            <v>Toll Manufacturing charges</v>
          </cell>
          <cell r="C216">
            <v>0</v>
          </cell>
          <cell r="D216">
            <v>63489.66</v>
          </cell>
          <cell r="E216">
            <v>63489.66</v>
          </cell>
          <cell r="F216">
            <v>0</v>
          </cell>
        </row>
        <row r="217">
          <cell r="A217">
            <v>444100</v>
          </cell>
          <cell r="B217" t="str">
            <v>Rep.+Maintenance - Own non-residential buildings</v>
          </cell>
          <cell r="C217">
            <v>0</v>
          </cell>
          <cell r="D217">
            <v>309070</v>
          </cell>
          <cell r="E217">
            <v>75000</v>
          </cell>
          <cell r="F217">
            <v>234070</v>
          </cell>
        </row>
        <row r="218">
          <cell r="A218">
            <v>444200</v>
          </cell>
          <cell r="B218" t="str">
            <v>Rep.+Maintenance - Plant &amp; Machinery</v>
          </cell>
          <cell r="C218">
            <v>0</v>
          </cell>
          <cell r="D218">
            <v>12050</v>
          </cell>
          <cell r="E218">
            <v>0</v>
          </cell>
          <cell r="F218">
            <v>12050</v>
          </cell>
        </row>
        <row r="219">
          <cell r="A219">
            <v>444300</v>
          </cell>
          <cell r="B219" t="str">
            <v>Vehicles own - repairs &amp; maintenance</v>
          </cell>
          <cell r="C219">
            <v>0</v>
          </cell>
          <cell r="D219">
            <v>5285</v>
          </cell>
          <cell r="E219">
            <v>0</v>
          </cell>
          <cell r="F219">
            <v>5285</v>
          </cell>
        </row>
        <row r="220">
          <cell r="A220">
            <v>444360</v>
          </cell>
          <cell r="B220" t="str">
            <v>Rep.+Maintenance - Office Equipments</v>
          </cell>
          <cell r="C220">
            <v>0</v>
          </cell>
          <cell r="D220">
            <v>8957.82</v>
          </cell>
          <cell r="E220">
            <v>0</v>
          </cell>
          <cell r="F220">
            <v>8957.82</v>
          </cell>
        </row>
        <row r="221">
          <cell r="A221">
            <v>445140</v>
          </cell>
          <cell r="B221" t="str">
            <v>Laundry &amp; Dry Cleaning</v>
          </cell>
          <cell r="C221">
            <v>0</v>
          </cell>
          <cell r="D221">
            <v>2375</v>
          </cell>
          <cell r="E221">
            <v>0</v>
          </cell>
          <cell r="F221">
            <v>2375</v>
          </cell>
        </row>
        <row r="222">
          <cell r="A222">
            <v>445160</v>
          </cell>
          <cell r="B222" t="str">
            <v>Photocopying/duplicating charges</v>
          </cell>
          <cell r="C222">
            <v>0</v>
          </cell>
          <cell r="D222">
            <v>2601.5</v>
          </cell>
          <cell r="E222">
            <v>0</v>
          </cell>
          <cell r="F222">
            <v>2601.5</v>
          </cell>
        </row>
        <row r="223">
          <cell r="A223">
            <v>445300</v>
          </cell>
          <cell r="B223" t="str">
            <v>Security services</v>
          </cell>
          <cell r="C223">
            <v>0</v>
          </cell>
          <cell r="D223">
            <v>197258.78</v>
          </cell>
          <cell r="E223">
            <v>90000</v>
          </cell>
          <cell r="F223">
            <v>107258.78</v>
          </cell>
        </row>
        <row r="224">
          <cell r="A224">
            <v>450000</v>
          </cell>
          <cell r="B224" t="str">
            <v>Postage</v>
          </cell>
          <cell r="C224">
            <v>0</v>
          </cell>
          <cell r="D224">
            <v>20</v>
          </cell>
          <cell r="E224">
            <v>0</v>
          </cell>
          <cell r="F224">
            <v>20</v>
          </cell>
        </row>
        <row r="225">
          <cell r="A225">
            <v>450010</v>
          </cell>
          <cell r="B225" t="str">
            <v>Courier Services</v>
          </cell>
          <cell r="C225">
            <v>0</v>
          </cell>
          <cell r="D225">
            <v>40901</v>
          </cell>
          <cell r="E225">
            <v>24400</v>
          </cell>
          <cell r="F225">
            <v>16501</v>
          </cell>
        </row>
        <row r="226">
          <cell r="A226">
            <v>450100</v>
          </cell>
          <cell r="B226" t="str">
            <v>Telephone - General</v>
          </cell>
          <cell r="C226">
            <v>0</v>
          </cell>
          <cell r="D226">
            <v>137695.48000000001</v>
          </cell>
          <cell r="E226">
            <v>87600</v>
          </cell>
          <cell r="F226">
            <v>50095.48</v>
          </cell>
        </row>
        <row r="227">
          <cell r="A227">
            <v>450110</v>
          </cell>
          <cell r="B227" t="str">
            <v>Fax Expenses</v>
          </cell>
          <cell r="C227">
            <v>0</v>
          </cell>
          <cell r="D227">
            <v>4867.84</v>
          </cell>
          <cell r="E227">
            <v>3000</v>
          </cell>
          <cell r="F227">
            <v>1867.84</v>
          </cell>
        </row>
        <row r="228">
          <cell r="A228">
            <v>450600</v>
          </cell>
          <cell r="B228" t="str">
            <v>Telephone Charges - Mobile Phones</v>
          </cell>
          <cell r="C228">
            <v>0</v>
          </cell>
          <cell r="D228">
            <v>35160.75</v>
          </cell>
          <cell r="E228">
            <v>6000</v>
          </cell>
          <cell r="F228">
            <v>29160.75</v>
          </cell>
        </row>
        <row r="229">
          <cell r="A229">
            <v>451060</v>
          </cell>
          <cell r="B229" t="str">
            <v>Local Travel - Fare - others</v>
          </cell>
          <cell r="C229">
            <v>0</v>
          </cell>
          <cell r="D229">
            <v>9190</v>
          </cell>
          <cell r="E229">
            <v>16333</v>
          </cell>
          <cell r="G229">
            <v>7143</v>
          </cell>
        </row>
        <row r="230">
          <cell r="A230">
            <v>451070</v>
          </cell>
          <cell r="B230" t="str">
            <v>Local Travel - other than fare - others</v>
          </cell>
          <cell r="C230">
            <v>0</v>
          </cell>
          <cell r="D230">
            <v>5529</v>
          </cell>
          <cell r="E230">
            <v>0</v>
          </cell>
          <cell r="F230">
            <v>5529</v>
          </cell>
        </row>
        <row r="231">
          <cell r="A231">
            <v>452000</v>
          </cell>
          <cell r="B231" t="str">
            <v>Freight Out - Customers</v>
          </cell>
          <cell r="C231">
            <v>0</v>
          </cell>
          <cell r="D231">
            <v>292814.5</v>
          </cell>
          <cell r="E231">
            <v>193000</v>
          </cell>
          <cell r="F231">
            <v>99814.5</v>
          </cell>
        </row>
        <row r="232">
          <cell r="A232">
            <v>452001</v>
          </cell>
          <cell r="B232" t="str">
            <v>Freight on Stock Transfers</v>
          </cell>
          <cell r="C232">
            <v>0</v>
          </cell>
          <cell r="D232">
            <v>15550</v>
          </cell>
          <cell r="E232">
            <v>0</v>
          </cell>
          <cell r="F232">
            <v>15550</v>
          </cell>
        </row>
        <row r="233">
          <cell r="A233">
            <v>452003</v>
          </cell>
          <cell r="B233" t="str">
            <v>Freight In</v>
          </cell>
          <cell r="C233">
            <v>0</v>
          </cell>
          <cell r="D233">
            <v>17445</v>
          </cell>
          <cell r="E233">
            <v>0</v>
          </cell>
          <cell r="F233">
            <v>17445</v>
          </cell>
        </row>
        <row r="234">
          <cell r="A234">
            <v>452050</v>
          </cell>
          <cell r="B234" t="str">
            <v>Service Tax - Freight</v>
          </cell>
          <cell r="C234">
            <v>0</v>
          </cell>
          <cell r="D234">
            <v>3130.82</v>
          </cell>
          <cell r="E234">
            <v>0</v>
          </cell>
          <cell r="F234">
            <v>3130.82</v>
          </cell>
        </row>
        <row r="235">
          <cell r="A235">
            <v>452070</v>
          </cell>
          <cell r="B235" t="str">
            <v>Freight Out - Exports</v>
          </cell>
          <cell r="C235">
            <v>0</v>
          </cell>
          <cell r="D235">
            <v>95916.56</v>
          </cell>
          <cell r="E235">
            <v>66250</v>
          </cell>
          <cell r="F235">
            <v>29666.560000000001</v>
          </cell>
        </row>
        <row r="236">
          <cell r="A236">
            <v>452091</v>
          </cell>
          <cell r="B236" t="str">
            <v>Internal Shifting Charges</v>
          </cell>
          <cell r="C236">
            <v>0</v>
          </cell>
          <cell r="D236">
            <v>52600</v>
          </cell>
          <cell r="E236">
            <v>0</v>
          </cell>
          <cell r="F236">
            <v>52600</v>
          </cell>
        </row>
        <row r="237">
          <cell r="A237">
            <v>452100</v>
          </cell>
          <cell r="B237" t="str">
            <v>Freight out - Others</v>
          </cell>
          <cell r="C237">
            <v>0</v>
          </cell>
          <cell r="D237">
            <v>27249.4</v>
          </cell>
          <cell r="E237">
            <v>13274.7</v>
          </cell>
          <cell r="F237">
            <v>13974.7</v>
          </cell>
        </row>
        <row r="238">
          <cell r="A238">
            <v>453900</v>
          </cell>
          <cell r="B238" t="str">
            <v>Conveyance Expenses</v>
          </cell>
          <cell r="C238">
            <v>0</v>
          </cell>
          <cell r="D238">
            <v>132330</v>
          </cell>
          <cell r="E238">
            <v>75030</v>
          </cell>
          <cell r="F238">
            <v>57300</v>
          </cell>
        </row>
        <row r="239">
          <cell r="A239">
            <v>470000</v>
          </cell>
          <cell r="B239" t="str">
            <v>Insurance Premiums - Personal Accident</v>
          </cell>
          <cell r="C239">
            <v>0</v>
          </cell>
          <cell r="D239">
            <v>3363</v>
          </cell>
          <cell r="E239">
            <v>0</v>
          </cell>
          <cell r="F239">
            <v>3363</v>
          </cell>
        </row>
        <row r="240">
          <cell r="A240">
            <v>470800</v>
          </cell>
          <cell r="B240" t="str">
            <v>Insurance Premiums / Others</v>
          </cell>
          <cell r="C240">
            <v>0</v>
          </cell>
          <cell r="D240">
            <v>31721</v>
          </cell>
          <cell r="E240">
            <v>0</v>
          </cell>
          <cell r="F240">
            <v>31721</v>
          </cell>
        </row>
        <row r="241">
          <cell r="A241">
            <v>471030</v>
          </cell>
          <cell r="B241" t="str">
            <v>Stamps - other than postage</v>
          </cell>
          <cell r="C241">
            <v>0</v>
          </cell>
          <cell r="D241">
            <v>34</v>
          </cell>
          <cell r="E241">
            <v>0</v>
          </cell>
          <cell r="F241">
            <v>34</v>
          </cell>
        </row>
        <row r="242">
          <cell r="A242">
            <v>471070</v>
          </cell>
          <cell r="B242" t="str">
            <v>Octroi Duty</v>
          </cell>
          <cell r="C242">
            <v>0</v>
          </cell>
          <cell r="D242">
            <v>13785.99</v>
          </cell>
          <cell r="E242">
            <v>0</v>
          </cell>
          <cell r="F242">
            <v>13785.99</v>
          </cell>
        </row>
        <row r="243">
          <cell r="A243">
            <v>471090</v>
          </cell>
          <cell r="B243" t="str">
            <v>Filing, Tender,  Licence fees</v>
          </cell>
          <cell r="C243">
            <v>0</v>
          </cell>
          <cell r="D243">
            <v>23413</v>
          </cell>
          <cell r="E243">
            <v>0</v>
          </cell>
          <cell r="F243">
            <v>23413</v>
          </cell>
        </row>
        <row r="244">
          <cell r="A244">
            <v>472000</v>
          </cell>
          <cell r="B244" t="str">
            <v>Membership Fees (Association )</v>
          </cell>
          <cell r="C244">
            <v>0</v>
          </cell>
          <cell r="D244">
            <v>2503</v>
          </cell>
          <cell r="E244">
            <v>0</v>
          </cell>
          <cell r="F244">
            <v>2503</v>
          </cell>
        </row>
        <row r="245">
          <cell r="A245">
            <v>473100</v>
          </cell>
          <cell r="B245" t="str">
            <v>Donations - Public Relations</v>
          </cell>
          <cell r="C245">
            <v>0</v>
          </cell>
          <cell r="D245">
            <v>1500000</v>
          </cell>
          <cell r="E245">
            <v>0</v>
          </cell>
          <cell r="F245">
            <v>1500000</v>
          </cell>
        </row>
        <row r="246">
          <cell r="A246">
            <v>475100</v>
          </cell>
          <cell r="B246" t="str">
            <v>Books, Newspapers, Journal</v>
          </cell>
          <cell r="C246">
            <v>0</v>
          </cell>
          <cell r="D246">
            <v>539</v>
          </cell>
          <cell r="E246">
            <v>0</v>
          </cell>
          <cell r="F246">
            <v>539</v>
          </cell>
        </row>
        <row r="247">
          <cell r="A247">
            <v>475120</v>
          </cell>
          <cell r="B247" t="str">
            <v>Printing Costs</v>
          </cell>
          <cell r="C247">
            <v>0</v>
          </cell>
          <cell r="D247">
            <v>2330</v>
          </cell>
          <cell r="E247">
            <v>0</v>
          </cell>
          <cell r="F247">
            <v>2330</v>
          </cell>
        </row>
        <row r="248">
          <cell r="A248">
            <v>475350</v>
          </cell>
          <cell r="B248" t="str">
            <v>Business Development Expenses</v>
          </cell>
          <cell r="C248">
            <v>0</v>
          </cell>
          <cell r="D248">
            <v>2921</v>
          </cell>
          <cell r="E248">
            <v>0</v>
          </cell>
          <cell r="F248">
            <v>2921</v>
          </cell>
        </row>
        <row r="249">
          <cell r="A249">
            <v>476020</v>
          </cell>
          <cell r="B249" t="str">
            <v>Service Fees - Payable</v>
          </cell>
          <cell r="C249">
            <v>0</v>
          </cell>
          <cell r="D249">
            <v>48181</v>
          </cell>
          <cell r="E249">
            <v>13187</v>
          </cell>
          <cell r="F249">
            <v>34994</v>
          </cell>
        </row>
        <row r="250">
          <cell r="A250">
            <v>477100</v>
          </cell>
          <cell r="B250" t="str">
            <v>Rent and Leases -  Warehouses</v>
          </cell>
          <cell r="C250">
            <v>0</v>
          </cell>
          <cell r="D250">
            <v>335200</v>
          </cell>
          <cell r="E250">
            <v>287200</v>
          </cell>
          <cell r="F250">
            <v>48000</v>
          </cell>
        </row>
        <row r="251">
          <cell r="A251">
            <v>477500</v>
          </cell>
          <cell r="B251" t="str">
            <v>Vehicles - Toll / Parking charges</v>
          </cell>
          <cell r="C251">
            <v>0</v>
          </cell>
          <cell r="D251">
            <v>838</v>
          </cell>
          <cell r="E251">
            <v>0</v>
          </cell>
          <cell r="F251">
            <v>838</v>
          </cell>
        </row>
        <row r="252">
          <cell r="A252">
            <v>477700</v>
          </cell>
          <cell r="B252" t="str">
            <v>Aircondition Charges</v>
          </cell>
          <cell r="C252">
            <v>0</v>
          </cell>
          <cell r="D252">
            <v>1051</v>
          </cell>
          <cell r="E252">
            <v>0</v>
          </cell>
          <cell r="F252">
            <v>1051</v>
          </cell>
        </row>
        <row r="253">
          <cell r="A253">
            <v>478100</v>
          </cell>
          <cell r="B253" t="str">
            <v>Refreshment during business discussions</v>
          </cell>
          <cell r="C253">
            <v>0</v>
          </cell>
          <cell r="D253">
            <v>18117.25</v>
          </cell>
          <cell r="E253">
            <v>0</v>
          </cell>
          <cell r="F253">
            <v>18117.25</v>
          </cell>
        </row>
        <row r="254">
          <cell r="A254">
            <v>479400</v>
          </cell>
          <cell r="B254" t="str">
            <v>SAP Cost - Tr from Def Rev Expenditure</v>
          </cell>
          <cell r="C254">
            <v>0</v>
          </cell>
          <cell r="D254">
            <v>600000</v>
          </cell>
          <cell r="E254">
            <v>0</v>
          </cell>
          <cell r="F254">
            <v>600000</v>
          </cell>
        </row>
        <row r="255">
          <cell r="A255">
            <v>479415</v>
          </cell>
          <cell r="B255" t="str">
            <v>Income Tax Consultants</v>
          </cell>
          <cell r="C255">
            <v>0</v>
          </cell>
          <cell r="D255">
            <v>20000</v>
          </cell>
          <cell r="E255">
            <v>0</v>
          </cell>
          <cell r="F255">
            <v>20000</v>
          </cell>
        </row>
        <row r="256">
          <cell r="A256">
            <v>479490</v>
          </cell>
          <cell r="B256" t="str">
            <v>Other Consultants</v>
          </cell>
          <cell r="C256">
            <v>0</v>
          </cell>
          <cell r="D256">
            <v>133986</v>
          </cell>
          <cell r="E256">
            <v>61800</v>
          </cell>
          <cell r="F256">
            <v>72186</v>
          </cell>
        </row>
        <row r="257">
          <cell r="A257">
            <v>479510</v>
          </cell>
          <cell r="B257" t="str">
            <v>Professional Fees - Marketing</v>
          </cell>
          <cell r="C257">
            <v>0</v>
          </cell>
          <cell r="D257">
            <v>120200</v>
          </cell>
          <cell r="E257">
            <v>67500</v>
          </cell>
          <cell r="F257">
            <v>52700</v>
          </cell>
        </row>
        <row r="258">
          <cell r="A258">
            <v>479520</v>
          </cell>
          <cell r="B258" t="str">
            <v>Professional Fees - Industrial</v>
          </cell>
          <cell r="C258">
            <v>0</v>
          </cell>
          <cell r="D258">
            <v>1391500</v>
          </cell>
          <cell r="E258">
            <v>500000</v>
          </cell>
          <cell r="F258">
            <v>891500</v>
          </cell>
        </row>
        <row r="259">
          <cell r="A259">
            <v>479530</v>
          </cell>
          <cell r="B259" t="str">
            <v>Professional Fees - Management</v>
          </cell>
          <cell r="C259">
            <v>0</v>
          </cell>
          <cell r="D259">
            <v>506500</v>
          </cell>
          <cell r="E259">
            <v>0</v>
          </cell>
          <cell r="F259">
            <v>506500</v>
          </cell>
        </row>
        <row r="260">
          <cell r="A260">
            <v>479900</v>
          </cell>
          <cell r="B260" t="str">
            <v>MISCELLANEOUS EXPENSES</v>
          </cell>
          <cell r="C260">
            <v>0</v>
          </cell>
          <cell r="D260">
            <v>1148</v>
          </cell>
          <cell r="E260">
            <v>60000</v>
          </cell>
          <cell r="G260">
            <v>58852</v>
          </cell>
        </row>
        <row r="261">
          <cell r="A261">
            <v>700000</v>
          </cell>
          <cell r="B261" t="str">
            <v>OMP - Produced</v>
          </cell>
          <cell r="C261">
            <v>0</v>
          </cell>
          <cell r="D261">
            <v>85386.38</v>
          </cell>
          <cell r="E261">
            <v>1492625</v>
          </cell>
          <cell r="G261">
            <v>1407238.62</v>
          </cell>
        </row>
        <row r="262">
          <cell r="A262">
            <v>700300</v>
          </cell>
          <cell r="B262" t="str">
            <v>CONTRA - IDLE COST / COST DIFFERENCE</v>
          </cell>
          <cell r="C262">
            <v>0</v>
          </cell>
          <cell r="D262">
            <v>0</v>
          </cell>
          <cell r="E262">
            <v>19209763.940000001</v>
          </cell>
          <cell r="G262">
            <v>19209763.940000001</v>
          </cell>
        </row>
        <row r="263">
          <cell r="A263">
            <v>700400</v>
          </cell>
          <cell r="B263" t="str">
            <v>COST DIFFERENCE (ACTUAL AND PCC)</v>
          </cell>
          <cell r="C263">
            <v>0</v>
          </cell>
          <cell r="D263">
            <v>1734.77</v>
          </cell>
          <cell r="E263">
            <v>86141.53</v>
          </cell>
          <cell r="G263">
            <v>84406.76</v>
          </cell>
        </row>
        <row r="264">
          <cell r="A264">
            <v>700500</v>
          </cell>
          <cell r="B264" t="str">
            <v>IDLE COST (UNDER UTILIZED PRODUCTION CAPACITY)</v>
          </cell>
          <cell r="C264">
            <v>0</v>
          </cell>
          <cell r="D264">
            <v>19294170.699999999</v>
          </cell>
          <cell r="E264">
            <v>0</v>
          </cell>
          <cell r="F264">
            <v>19294170.699999999</v>
          </cell>
        </row>
        <row r="265">
          <cell r="A265">
            <v>800000</v>
          </cell>
          <cell r="B265" t="str">
            <v>Cost of Sales - Products(OMP)</v>
          </cell>
          <cell r="C265">
            <v>0</v>
          </cell>
          <cell r="D265">
            <v>1834599.15</v>
          </cell>
          <cell r="E265">
            <v>195643.26</v>
          </cell>
          <cell r="F265">
            <v>1638955.89</v>
          </cell>
        </row>
        <row r="266">
          <cell r="A266">
            <v>810000</v>
          </cell>
          <cell r="B266" t="str">
            <v>Cost of Sales - Merchandise</v>
          </cell>
          <cell r="C266">
            <v>0</v>
          </cell>
          <cell r="D266">
            <v>1647247.64</v>
          </cell>
          <cell r="E266">
            <v>51088.07</v>
          </cell>
          <cell r="F266">
            <v>1596159.57</v>
          </cell>
        </row>
        <row r="267">
          <cell r="A267">
            <v>815000</v>
          </cell>
          <cell r="B267" t="str">
            <v>Price Differences on COS- from Acct Payable -OMP</v>
          </cell>
          <cell r="C267">
            <v>0</v>
          </cell>
          <cell r="D267">
            <v>12214.73</v>
          </cell>
          <cell r="E267">
            <v>12002.14</v>
          </cell>
          <cell r="F267">
            <v>212.59</v>
          </cell>
        </row>
        <row r="268">
          <cell r="A268">
            <v>815010</v>
          </cell>
          <cell r="B268" t="str">
            <v>Price Differences on COS-from Acct Pay-Merchandise</v>
          </cell>
          <cell r="C268">
            <v>0</v>
          </cell>
          <cell r="D268">
            <v>3819.96</v>
          </cell>
          <cell r="E268">
            <v>5299.66</v>
          </cell>
          <cell r="G268">
            <v>1479.7</v>
          </cell>
        </row>
        <row r="269">
          <cell r="A269">
            <v>900000</v>
          </cell>
          <cell r="B269" t="str">
            <v>Sales Products</v>
          </cell>
          <cell r="C269">
            <v>0</v>
          </cell>
          <cell r="D269">
            <v>260779.34</v>
          </cell>
          <cell r="E269">
            <v>2397185.52</v>
          </cell>
          <cell r="G269">
            <v>2136406.1800000002</v>
          </cell>
        </row>
        <row r="270">
          <cell r="A270">
            <v>900100</v>
          </cell>
          <cell r="B270" t="str">
            <v>Excise Duty - Sales</v>
          </cell>
          <cell r="C270">
            <v>0</v>
          </cell>
          <cell r="D270">
            <v>32354.94</v>
          </cell>
          <cell r="E270">
            <v>316309.63</v>
          </cell>
          <cell r="G270">
            <v>283954.69</v>
          </cell>
        </row>
        <row r="271">
          <cell r="A271">
            <v>910000</v>
          </cell>
          <cell r="B271" t="str">
            <v>Sales Merchandise</v>
          </cell>
          <cell r="C271">
            <v>0</v>
          </cell>
          <cell r="D271">
            <v>74401</v>
          </cell>
          <cell r="E271">
            <v>2511491.54</v>
          </cell>
          <cell r="G271">
            <v>2437090.54</v>
          </cell>
        </row>
        <row r="272">
          <cell r="A272">
            <v>943070</v>
          </cell>
          <cell r="B272" t="str">
            <v>Allowances on Products</v>
          </cell>
          <cell r="C272">
            <v>0</v>
          </cell>
          <cell r="D272">
            <v>216373.68</v>
          </cell>
          <cell r="E272">
            <v>46896.959999999999</v>
          </cell>
          <cell r="F272">
            <v>169476.72</v>
          </cell>
        </row>
        <row r="273">
          <cell r="A273">
            <v>944070</v>
          </cell>
          <cell r="B273" t="str">
            <v>Allowances on Merchandise</v>
          </cell>
          <cell r="C273">
            <v>0</v>
          </cell>
          <cell r="D273">
            <v>131884.4</v>
          </cell>
          <cell r="E273">
            <v>0</v>
          </cell>
          <cell r="F273">
            <v>131884.4</v>
          </cell>
        </row>
      </sheetData>
      <sheetData sheetId="1"/>
      <sheetData sheetId="2"/>
      <sheetData sheetId="3"/>
      <sheetData sheetId="4"/>
      <sheetData sheetId="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an Jvmar06"/>
      <sheetName val="BS"/>
      <sheetName val="cashflow"/>
      <sheetName val="PL"/>
      <sheetName val="Schedules"/>
      <sheetName val="FA schedule"/>
      <sheetName val="Sch22"/>
      <sheetName val="Inv"/>
      <sheetName val="BS sub sh"/>
      <sheetName val="Invest. thousand"/>
      <sheetName val="Investments"/>
      <sheetName val="pubres"/>
      <sheetName val="Sheet1"/>
      <sheetName val="Income"/>
      <sheetName val="Exp"/>
      <sheetName val="Leave encashement"/>
      <sheetName val="TB APJ"/>
      <sheetName val="Variance"/>
      <sheetName val="vari-1"/>
      <sheetName val="TB WORLI"/>
      <sheetName val="deftax"/>
      <sheetName val="Quar ABNL"/>
      <sheetName val="it depr."/>
      <sheetName val="FASCHEDULE"/>
      <sheetName val="G SecST&amp;LT "/>
      <sheetName val="itcomp"/>
      <sheetName val="ratio analysi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48">
          <cell r="B48">
            <v>0</v>
          </cell>
        </row>
        <row r="109">
          <cell r="B109">
            <v>-100000</v>
          </cell>
        </row>
        <row r="125">
          <cell r="B125">
            <v>0</v>
          </cell>
        </row>
        <row r="131">
          <cell r="B131">
            <v>-37516</v>
          </cell>
        </row>
      </sheetData>
      <sheetData sheetId="17" refreshError="1"/>
      <sheetData sheetId="18" refreshError="1"/>
      <sheetData sheetId="19">
        <row r="8">
          <cell r="B8">
            <v>-21000</v>
          </cell>
        </row>
        <row r="18">
          <cell r="B18">
            <v>0</v>
          </cell>
        </row>
        <row r="22">
          <cell r="B22">
            <v>0</v>
          </cell>
        </row>
        <row r="23">
          <cell r="B23">
            <v>0</v>
          </cell>
        </row>
        <row r="33">
          <cell r="B33">
            <v>158708</v>
          </cell>
        </row>
        <row r="43">
          <cell r="B43">
            <v>-71843</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MoF"/>
      <sheetName val="Sheet3"/>
      <sheetName val="Det Assump"/>
      <sheetName val="Det CoP_MOF"/>
      <sheetName val="Assump"/>
      <sheetName val="Sheet2"/>
      <sheetName val="P &amp; L"/>
      <sheetName val="BS"/>
      <sheetName val="Cash Flow"/>
      <sheetName val="BEP"/>
      <sheetName val="IRR"/>
      <sheetName val="DSCR"/>
      <sheetName val="Loan Assumptions"/>
      <sheetName val="TL Schd"/>
      <sheetName val="Ratio"/>
      <sheetName val="WC"/>
      <sheetName val="PBP-IRR"/>
      <sheetName val="NPV"/>
      <sheetName val="P E"/>
      <sheetName val="PE"/>
      <sheetName val="Tax"/>
      <sheetName val="Depr"/>
      <sheetName val="sal &amp; wages"/>
      <sheetName val="Sheet1"/>
    </sheetNames>
    <sheetDataSet>
      <sheetData sheetId="0">
        <row r="11">
          <cell r="D11">
            <v>88255228.266596407</v>
          </cell>
        </row>
      </sheetData>
      <sheetData sheetId="1" refreshError="1"/>
      <sheetData sheetId="2" refreshError="1"/>
      <sheetData sheetId="3" refreshError="1"/>
      <sheetData sheetId="4" refreshError="1"/>
      <sheetData sheetId="5" refreshError="1"/>
      <sheetData sheetId="6">
        <row r="1">
          <cell r="B1">
            <v>100000</v>
          </cell>
        </row>
        <row r="22">
          <cell r="D22">
            <v>27.604499999999998</v>
          </cell>
          <cell r="E22">
            <v>51.265500000000003</v>
          </cell>
          <cell r="F22">
            <v>43.378500000000003</v>
          </cell>
          <cell r="G22">
            <v>35.491500000000002</v>
          </cell>
          <cell r="H22">
            <v>27.604500000000002</v>
          </cell>
          <cell r="I22">
            <v>19.717500000000001</v>
          </cell>
          <cell r="J22">
            <v>11.830500000000001</v>
          </cell>
          <cell r="K22">
            <v>3.9434999999999998</v>
          </cell>
          <cell r="L22">
            <v>0</v>
          </cell>
          <cell r="M22">
            <v>0</v>
          </cell>
          <cell r="N22">
            <v>0</v>
          </cell>
        </row>
        <row r="23">
          <cell r="D23">
            <v>11.760253944942042</v>
          </cell>
          <cell r="E23">
            <v>13.336292986169653</v>
          </cell>
          <cell r="F23">
            <v>15.347015328082191</v>
          </cell>
          <cell r="G23">
            <v>16.238116094486301</v>
          </cell>
          <cell r="H23">
            <v>18.431772539099104</v>
          </cell>
          <cell r="I23">
            <v>20.735111805942548</v>
          </cell>
          <cell r="J23">
            <v>21.895617396239675</v>
          </cell>
          <cell r="K23">
            <v>23.114148266051661</v>
          </cell>
          <cell r="L23">
            <v>24.393605679354238</v>
          </cell>
          <cell r="M23">
            <v>25.737035963321954</v>
          </cell>
          <cell r="N23">
            <v>13.21256720072588</v>
          </cell>
        </row>
        <row r="24">
          <cell r="D24">
            <v>100.47854032258064</v>
          </cell>
          <cell r="E24">
            <v>85.933961491935477</v>
          </cell>
          <cell r="F24">
            <v>73.518349264112899</v>
          </cell>
          <cell r="G24">
            <v>62.917630670866927</v>
          </cell>
          <cell r="H24">
            <v>53.864316486970765</v>
          </cell>
          <cell r="I24">
            <v>46.130566388985642</v>
          </cell>
          <cell r="J24">
            <v>39.522289068192222</v>
          </cell>
          <cell r="K24">
            <v>33.874122581762386</v>
          </cell>
          <cell r="L24">
            <v>29.045163380917117</v>
          </cell>
          <cell r="M24">
            <v>24.915332141556735</v>
          </cell>
          <cell r="N24">
            <v>21.382281261322689</v>
          </cell>
        </row>
        <row r="26">
          <cell r="D26">
            <v>-87.670694267522805</v>
          </cell>
          <cell r="E26">
            <v>3.694755521894848</v>
          </cell>
          <cell r="F26">
            <v>29.698170907804879</v>
          </cell>
          <cell r="G26">
            <v>55.3918905096468</v>
          </cell>
          <cell r="H26">
            <v>121.84081274393019</v>
          </cell>
          <cell r="I26">
            <v>146.24529366357163</v>
          </cell>
          <cell r="J26">
            <v>171.22148898699299</v>
          </cell>
          <cell r="K26">
            <v>195.7616193761819</v>
          </cell>
          <cell r="L26">
            <v>216.08929067492457</v>
          </cell>
          <cell r="M26">
            <v>232.3520946170774</v>
          </cell>
          <cell r="N26">
            <v>113.98249446697814</v>
          </cell>
        </row>
        <row r="27">
          <cell r="D27">
            <v>0</v>
          </cell>
          <cell r="E27">
            <v>0</v>
          </cell>
          <cell r="F27">
            <v>0</v>
          </cell>
          <cell r="G27">
            <v>0.28040239404459438</v>
          </cell>
          <cell r="H27">
            <v>30.664895751392351</v>
          </cell>
          <cell r="I27">
            <v>36.807015509247712</v>
          </cell>
          <cell r="J27">
            <v>43.093024348246402</v>
          </cell>
          <cell r="K27">
            <v>49.269284364597461</v>
          </cell>
          <cell r="L27">
            <v>54.385352677065022</v>
          </cell>
          <cell r="M27">
            <v>58.478375173226041</v>
          </cell>
          <cell r="N27">
            <v>28.68711420744906</v>
          </cell>
        </row>
      </sheetData>
      <sheetData sheetId="7">
        <row r="18">
          <cell r="C18">
            <v>705.00374999999997</v>
          </cell>
          <cell r="D18">
            <v>705.00374999999997</v>
          </cell>
          <cell r="E18">
            <v>705.00374999999997</v>
          </cell>
          <cell r="F18">
            <v>705.00374999999997</v>
          </cell>
          <cell r="G18">
            <v>705.00374999999997</v>
          </cell>
          <cell r="H18">
            <v>705.00374999999997</v>
          </cell>
          <cell r="I18">
            <v>705.00374999999997</v>
          </cell>
          <cell r="J18">
            <v>705.00374999999997</v>
          </cell>
          <cell r="K18">
            <v>705.00374999999997</v>
          </cell>
          <cell r="L18">
            <v>705.00374999999997</v>
          </cell>
        </row>
      </sheetData>
      <sheetData sheetId="8">
        <row r="15">
          <cell r="M15">
            <v>133.42119694079651</v>
          </cell>
        </row>
        <row r="20">
          <cell r="C20">
            <v>705.00374999999997</v>
          </cell>
        </row>
      </sheetData>
      <sheetData sheetId="9" refreshError="1"/>
      <sheetData sheetId="10"/>
      <sheetData sheetId="11">
        <row r="5">
          <cell r="C5">
            <v>-87.670694267522805</v>
          </cell>
          <cell r="D5">
            <v>3.694755521894848</v>
          </cell>
          <cell r="E5">
            <v>29.698170907804879</v>
          </cell>
          <cell r="F5">
            <v>55.111488115602207</v>
          </cell>
          <cell r="G5">
            <v>91.175916992537836</v>
          </cell>
          <cell r="H5">
            <v>109.43827815432391</v>
          </cell>
          <cell r="I5">
            <v>128.12846463874661</v>
          </cell>
          <cell r="J5">
            <v>146.49233501158443</v>
          </cell>
          <cell r="K5">
            <v>161.70393799785955</v>
          </cell>
          <cell r="M5">
            <v>85.295380259529082</v>
          </cell>
        </row>
        <row r="6">
          <cell r="C6">
            <v>100.47854032258064</v>
          </cell>
          <cell r="D6">
            <v>85.933961491935477</v>
          </cell>
          <cell r="E6">
            <v>73.518349264112899</v>
          </cell>
          <cell r="F6">
            <v>62.917630670866927</v>
          </cell>
          <cell r="G6">
            <v>53.864316486970765</v>
          </cell>
          <cell r="H6">
            <v>46.130566388985642</v>
          </cell>
          <cell r="I6">
            <v>39.522289068192222</v>
          </cell>
          <cell r="J6">
            <v>33.874122581762386</v>
          </cell>
          <cell r="K6">
            <v>29.045163380917117</v>
          </cell>
          <cell r="M6">
            <v>21.382281261322689</v>
          </cell>
        </row>
      </sheetData>
      <sheetData sheetId="12" refreshError="1"/>
      <sheetData sheetId="13" refreshError="1"/>
      <sheetData sheetId="14" refreshError="1"/>
      <sheetData sheetId="15">
        <row r="35">
          <cell r="D35">
            <v>142.54853266596413</v>
          </cell>
          <cell r="E35">
            <v>180.75553972602745</v>
          </cell>
          <cell r="F35">
            <v>191.29331671232876</v>
          </cell>
          <cell r="G35">
            <v>202.3579825479452</v>
          </cell>
          <cell r="H35">
            <v>244.47286688476032</v>
          </cell>
          <cell r="I35">
            <v>258.19651022899836</v>
          </cell>
          <cell r="J35">
            <v>272.60633574044834</v>
          </cell>
          <cell r="K35">
            <v>287.73665252747071</v>
          </cell>
          <cell r="L35">
            <v>303.62348515384423</v>
          </cell>
          <cell r="M35">
            <v>320.30465941153648</v>
          </cell>
          <cell r="N35">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ACTS"/>
      <sheetName val="EMPCOST"/>
      <sheetName val="BRANCH"/>
      <sheetName val="CARRY-FORW"/>
      <sheetName val="INCO_HOUS"/>
      <sheetName val="COST_ACQ"/>
      <sheetName val="CAP_WRK"/>
      <sheetName val="GRAT"/>
      <sheetName val="WBACK_PRV"/>
      <sheetName val="SALES-TX"/>
      <sheetName val="DIVD-INC"/>
      <sheetName val="DISALL 43B"/>
      <sheetName val="AGRI_INC"/>
      <sheetName val="MAIN-COMP"/>
      <sheetName val="INDEX"/>
      <sheetName val="MAIN_CO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Sheet3 (2)"/>
      <sheetName val="#REF"/>
      <sheetName val="Partic"/>
      <sheetName val="extra"/>
      <sheetName val="Monthly"/>
      <sheetName val="FINDRDEC"/>
      <sheetName val="Earnings model"/>
      <sheetName val="C"/>
      <sheetName val="02"/>
      <sheetName val="03"/>
      <sheetName val="04"/>
      <sheetName val="01"/>
      <sheetName val="girder"/>
      <sheetName val="Rocker"/>
      <sheetName val="FitOutConfCentre"/>
      <sheetName val="CASHFLOWS"/>
      <sheetName val="SUMMARY"/>
      <sheetName val="Estimate for approval"/>
      <sheetName val="LBO"/>
      <sheetName val="Main"/>
      <sheetName val="Lab"/>
      <sheetName val="Rate Analysis"/>
      <sheetName val="Grand"/>
      <sheetName val="A-D"/>
      <sheetName val="H"/>
      <sheetName val="BWR"/>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Hot"/>
      <sheetName val="INI"/>
      <sheetName val="Assumptions"/>
      <sheetName val="Output"/>
      <sheetName val="CRITERIA3"/>
      <sheetName val="CRITERIA1"/>
      <sheetName val="BLK2"/>
      <sheetName val="BLK3"/>
      <sheetName val="E &amp; R"/>
      <sheetName val="radar"/>
      <sheetName val="UG"/>
      <sheetName val="BKCSTOCKVAL"/>
      <sheetName val="Sheet3_(2)"/>
      <sheetName val="Sheet3_(2)1"/>
      <sheetName val="Excess Calc"/>
      <sheetName val="BHANDUP"/>
      <sheetName val="% Collection Schedule"/>
      <sheetName val="Design"/>
      <sheetName val="98Price"/>
      <sheetName val="Estimate_for_approval"/>
      <sheetName val="Estimate_for_approval1"/>
      <sheetName val="Sheet3_(2)2"/>
      <sheetName val="Estimate_for_approval2"/>
      <sheetName val="Sheet3_(2)3"/>
      <sheetName val="Estimate_for_approval3"/>
      <sheetName val="Sheet3_(2)4"/>
      <sheetName val="Estimate_for_approval4"/>
      <sheetName val="Materials Cost(PCC)"/>
      <sheetName val="Set"/>
      <sheetName val="A5.201 Consol Profit &amp; Loss "/>
      <sheetName val="Consolidated Monthly"/>
      <sheetName val="Balance Sheet"/>
      <sheetName val="A5.202 Consol Balance Sheet "/>
      <sheetName val="BS"/>
      <sheetName val="Consolidated"/>
      <sheetName val="PB"/>
      <sheetName val="Fixed Assets"/>
      <sheetName val="Receivables"/>
      <sheetName val="Sheet 2"/>
      <sheetName val="Commission and Volume MOM(Chart"/>
      <sheetName val="Earnings_model"/>
      <sheetName val="Stacking Plan &amp; LEP"/>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Data"/>
      <sheetName val="192"/>
      <sheetName val="GLED"/>
      <sheetName val="IRR"/>
      <sheetName val="CAPEX"/>
      <sheetName val="国内work"/>
      <sheetName val="その他"/>
      <sheetName val="SPR"/>
      <sheetName val="COMPUTATION"/>
      <sheetName val="ASSUMPTIONS 2"/>
      <sheetName val=" TARIFFS POST PCOD"/>
      <sheetName val="Valuation"/>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Grouping Master"/>
      <sheetName val="1 Market"/>
      <sheetName val="concrete"/>
      <sheetName val="office"/>
      <sheetName val="Key assumption"/>
      <sheetName val="Code"/>
      <sheetName val="Legend"/>
      <sheetName val="beam-reinft-IIInd floor"/>
      <sheetName val="SPT vs PHI"/>
      <sheetName val="Materials Cost"/>
      <sheetName val="beam-reinft-machine rm"/>
      <sheetName val="jobhist"/>
      <sheetName val="R20_R30_work"/>
      <sheetName val="KG-DWN"/>
      <sheetName val="Occ"/>
      <sheetName val="Demand"/>
      <sheetName val="MN T.B."/>
      <sheetName val="INDIGINEOUS ITEMS "/>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Material List "/>
      <sheetName val="STAFFSCHED "/>
      <sheetName val="upa"/>
      <sheetName val="CGOI"/>
      <sheetName val="Apartments - 1st Mar"/>
      <sheetName val="Roster"/>
      <sheetName val="SC"/>
      <sheetName val="Rate_Analysis"/>
      <sheetName val="E_&amp;_R"/>
      <sheetName val="11-hsd"/>
      <sheetName val="13-septic"/>
      <sheetName val="7-ug"/>
      <sheetName val="2-utility"/>
      <sheetName val="Bin"/>
      <sheetName val="Main School Building"/>
      <sheetName val="vb 9&amp;10"/>
      <sheetName val="tngst1"/>
      <sheetName val="Costcal"/>
      <sheetName val="TB"/>
      <sheetName val="Fee Rate Summary"/>
      <sheetName val="Labour Rate "/>
      <sheetName val="(M+L)"/>
      <sheetName val="DPR"/>
      <sheetName val="hist&amp;proj"/>
      <sheetName val="BQMPALOC"/>
      <sheetName val="VARIABLE"/>
      <sheetName val="입찰내역 발주처 양식"/>
      <sheetName val="Chembur 1"/>
      <sheetName val="Summary_Local"/>
      <sheetName val="BOQ-1"/>
      <sheetName val="JCF"/>
      <sheetName val="Multiple output"/>
      <sheetName val="유통망계획"/>
      <sheetName val="EXPENSES"/>
      <sheetName val="Currency"/>
      <sheetName val="MAHSTOCKVAL"/>
      <sheetName val="Index"/>
      <sheetName val="JE10310X"/>
      <sheetName val="FOIL"/>
      <sheetName val="Accounts"/>
      <sheetName val="sdrs_mar"/>
      <sheetName val="FY16-17 Cashflow"/>
      <sheetName val="List"/>
      <sheetName val="RR"/>
      <sheetName val="Ten"/>
      <sheetName val="ES"/>
      <sheetName val="segment_topsheet"/>
      <sheetName val="Felix Street Summary"/>
      <sheetName val="Newspapers"/>
      <sheetName val="AccDil"/>
      <sheetName val="Sukuki CDR"/>
      <sheetName val="For_Trav-01"/>
      <sheetName val="Rent -01"/>
      <sheetName val="AV"/>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Wall"/>
      <sheetName val="Bs_dft"/>
      <sheetName val="P&amp;l_dft"/>
      <sheetName val="Sch_dft"/>
      <sheetName val="FINAL"/>
      <sheetName val="Mar-06"/>
      <sheetName val="Jul-05"/>
      <sheetName val="SCHE-MARCH'04"/>
      <sheetName val="Income Statements"/>
      <sheetName val="B-SHEET"/>
      <sheetName val="GrossMgn 98"/>
      <sheetName val="TRX ADDITION"/>
      <sheetName val="Customize Your Purchase Order"/>
      <sheetName val="ESCON"/>
      <sheetName val="NPV"/>
      <sheetName val="Settings"/>
      <sheetName val="fixd1"/>
      <sheetName val="fixd2"/>
      <sheetName val="Note 9-13"/>
      <sheetName val="RATE ANALYSIS."/>
      <sheetName val="RA 1"/>
      <sheetName val="MFG"/>
      <sheetName val="Current Bill MB ref"/>
      <sheetName val="Ins &amp; Bonds"/>
      <sheetName val="Source Ref."/>
      <sheetName val="Mix Design"/>
      <sheetName val="std-rates"/>
      <sheetName val="COLUMN"/>
      <sheetName val="dyes"/>
      <sheetName val="Costing"/>
      <sheetName val=" Vivante MAIN  INFRA  MAR 18"/>
      <sheetName val="col-reinft1"/>
      <sheetName val="Outline Cost - Five star Hotel"/>
      <sheetName val="Form 6"/>
      <sheetName val="M-Book for Conc"/>
      <sheetName val="M-Book for FW"/>
      <sheetName val="COMPLEXALL"/>
      <sheetName val="CC APR04"/>
      <sheetName val="CC MAY04"/>
      <sheetName val="CC JUNE04"/>
      <sheetName val="Rates"/>
      <sheetName val="Kontensalden"/>
      <sheetName val="CTbe tong"/>
      <sheetName val="CTDZ 0.4+cto"/>
      <sheetName val=" "/>
      <sheetName val="450 x 350"/>
      <sheetName val="Fill this out first..."/>
      <sheetName val="Approved MTD Proj #'s"/>
      <sheetName val="C1C2"/>
      <sheetName val="LIFE &amp; REP PROVN"/>
      <sheetName val="O&amp;M CREW"/>
      <sheetName val="A"/>
      <sheetName val="Intro"/>
      <sheetName val="Exp"/>
      <sheetName val="18-misc"/>
      <sheetName val="5-pipe"/>
      <sheetName val="Direct cost shed A-2 "/>
      <sheetName val="Raw DCF"/>
      <sheetName val="DCF_PPS"/>
      <sheetName val="DCF"/>
      <sheetName val="Sch 1,2,3"/>
      <sheetName val="Sch 14,15,16"/>
      <sheetName val="profit &amp; loss account"/>
      <sheetName val="Movement of Mutual Funds"/>
      <sheetName val="References"/>
      <sheetName val="TDS Certificate-Format"/>
      <sheetName val="Sheet3_(2)5"/>
      <sheetName val="%_Collection_Schedule"/>
      <sheetName val="Rate_Analysis1"/>
      <sheetName val="Estimate_for_approval5"/>
      <sheetName val="E_&amp;_R1"/>
      <sheetName val="Earnings_model1"/>
      <sheetName val="Stacking_Plan_&amp;_LEP"/>
      <sheetName val="Materials_Cost(PCC)"/>
      <sheetName val="Excess_Calc"/>
      <sheetName val="beam-reinft-IIInd_floor"/>
      <sheetName val="SPT_vs_PHI"/>
      <sheetName val="Materials_Cost"/>
      <sheetName val="beam-reinft-machine_rm"/>
      <sheetName val="Grouping_Master"/>
      <sheetName val="Commission_and_Volume_MOM(Chart"/>
      <sheetName val="A5_201_Consol_Profit_&amp;_Loss_"/>
      <sheetName val="Consolidated_Monthly"/>
      <sheetName val="Balance_Sheet"/>
      <sheetName val="A5_202_Consol_Balance_Sheet_"/>
      <sheetName val="Fixed_Assets"/>
      <sheetName val="Sheet_2"/>
      <sheetName val="Key_assumption"/>
      <sheetName val="MN_T_B_"/>
      <sheetName val="INDIGINEOUS_ITEMS_"/>
      <sheetName val="Apartments_-_1st_Mar"/>
      <sheetName val="1_Market"/>
      <sheetName val="Material_List_"/>
      <sheetName val="STAFFSCHED_"/>
      <sheetName val="Fee_Rate_Summary"/>
      <sheetName val="Main_School_Building"/>
      <sheetName val="Pur"/>
      <sheetName val="B_S-31-3-2006"/>
      <sheetName val="35_D_Annex2"/>
      <sheetName val="H_O"/>
      <sheetName val="TRIAL_BALANCE"/>
      <sheetName val="Card_nos_"/>
      <sheetName val="Statistics_{pbc}"/>
      <sheetName val="BOD_PL_NEW"/>
      <sheetName val="Assumptions_(2)"/>
      <sheetName val="Cntrl_Sheet"/>
      <sheetName val="B_S"/>
      <sheetName val="Project_Cost"/>
      <sheetName val="CAS_P"/>
      <sheetName val="EXPENDITURE_CYCLE"/>
      <sheetName val="Fixed_Assets_Top_Sheet-_Consol"/>
      <sheetName val="VIR_CG"/>
      <sheetName val="Weighted_Avg"/>
      <sheetName val="Assumptions_(W)"/>
      <sheetName val="P_L"/>
      <sheetName val="NKEL_O&amp;M"/>
      <sheetName val="ASSUMPTIONS_2"/>
      <sheetName val="_TARIFFS_POST_PCOD"/>
      <sheetName val="DCF_Valuation_-_FCFF"/>
      <sheetName val="FA_Leadsheet_&amp;_Movement"/>
      <sheetName val="Profit_&amp;_Loss"/>
      <sheetName val="Summary_-_USD"/>
      <sheetName val="Rent_-01"/>
      <sheetName val="2007-01"/>
      <sheetName val="BS SCH A-D"/>
      <sheetName val="Dep - SAP"/>
      <sheetName val="Schedules PL"/>
      <sheetName val="Schedules BS"/>
      <sheetName val="Reconciliation of GL &amp; FAR"/>
      <sheetName val="Instructions"/>
      <sheetName val="Elect."/>
      <sheetName val="glsrpt129909e"/>
      <sheetName val="RF Vol"/>
      <sheetName val="ASP"/>
      <sheetName val="Ins_&amp;_Bonds"/>
      <sheetName val="Labour_Rate_"/>
      <sheetName val="Source_Ref_"/>
      <sheetName val="vb_9&amp;10"/>
      <sheetName val="입찰내역_발주처_양식"/>
      <sheetName val="Direct_cost_shed_A-2_"/>
      <sheetName val="Preside"/>
      <sheetName val="SP Break Up"/>
      <sheetName val="Control"/>
      <sheetName val="Blore"/>
      <sheetName val="factors"/>
      <sheetName val="VCH-SLC"/>
      <sheetName val="Supplier"/>
      <sheetName val="Sheet3_(2)7"/>
      <sheetName val="%_Collection_Schedule2"/>
      <sheetName val="Rate_Analysis3"/>
      <sheetName val="Estimate_for_approval7"/>
      <sheetName val="E_&amp;_R3"/>
      <sheetName val="Earnings_model3"/>
      <sheetName val="Stacking_Plan_&amp;_LEP2"/>
      <sheetName val="Materials_Cost(PCC)2"/>
      <sheetName val="Excess_Calc2"/>
      <sheetName val="beam-reinft-IIInd_floor2"/>
      <sheetName val="SPT_vs_PHI2"/>
      <sheetName val="Materials_Cost2"/>
      <sheetName val="beam-reinft-machine_rm2"/>
      <sheetName val="Grouping_Master2"/>
      <sheetName val="Commission_and_Volume_MOM(Char2"/>
      <sheetName val="A5_201_Consol_Profit_&amp;_Loss_2"/>
      <sheetName val="Consolidated_Monthly2"/>
      <sheetName val="Balance_Sheet2"/>
      <sheetName val="A5_202_Consol_Balance_Sheet_2"/>
      <sheetName val="Fixed_Assets2"/>
      <sheetName val="Sheet_22"/>
      <sheetName val="Key_assumption2"/>
      <sheetName val="MN_T_B_2"/>
      <sheetName val="INDIGINEOUS_ITEMS_2"/>
      <sheetName val="Apartments_-_1st_Mar2"/>
      <sheetName val="1_Market2"/>
      <sheetName val="Material_List_2"/>
      <sheetName val="STAFFSCHED_2"/>
      <sheetName val="Fee_Rate_Summary2"/>
      <sheetName val="Main_School_Building2"/>
      <sheetName val="Sheet3_(2)6"/>
      <sheetName val="%_Collection_Schedule1"/>
      <sheetName val="Rate_Analysis2"/>
      <sheetName val="Estimate_for_approval6"/>
      <sheetName val="E_&amp;_R2"/>
      <sheetName val="Earnings_model2"/>
      <sheetName val="Stacking_Plan_&amp;_LEP1"/>
      <sheetName val="Materials_Cost(PCC)1"/>
      <sheetName val="Excess_Calc1"/>
      <sheetName val="beam-reinft-IIInd_floor1"/>
      <sheetName val="SPT_vs_PHI1"/>
      <sheetName val="Materials_Cost1"/>
      <sheetName val="beam-reinft-machine_rm1"/>
      <sheetName val="Grouping_Master1"/>
      <sheetName val="Commission_and_Volume_MOM(Char1"/>
      <sheetName val="A5_201_Consol_Profit_&amp;_Loss_1"/>
      <sheetName val="Consolidated_Monthly1"/>
      <sheetName val="Balance_Sheet1"/>
      <sheetName val="A5_202_Consol_Balance_Sheet_1"/>
      <sheetName val="Fixed_Assets1"/>
      <sheetName val="Sheet_21"/>
      <sheetName val="Key_assumption1"/>
      <sheetName val="MN_T_B_1"/>
      <sheetName val="INDIGINEOUS_ITEMS_1"/>
      <sheetName val="Apartments_-_1st_Mar1"/>
      <sheetName val="1_Market1"/>
      <sheetName val="Material_List_1"/>
      <sheetName val="STAFFSCHED_1"/>
      <sheetName val="Fee_Rate_Summary1"/>
      <sheetName val="Main_School_Building1"/>
      <sheetName val="Sheet3_(2)8"/>
      <sheetName val="%_Collection_Schedule3"/>
      <sheetName val="Rate_Analysis4"/>
      <sheetName val="Estimate_for_approval8"/>
      <sheetName val="E_&amp;_R4"/>
      <sheetName val="Earnings_model4"/>
      <sheetName val="Stacking_Plan_&amp;_LEP3"/>
      <sheetName val="Materials_Cost(PCC)3"/>
      <sheetName val="Excess_Calc3"/>
      <sheetName val="beam-reinft-IIInd_floor3"/>
      <sheetName val="SPT_vs_PHI3"/>
      <sheetName val="Materials_Cost3"/>
      <sheetName val="beam-reinft-machine_rm3"/>
      <sheetName val="Grouping_Master3"/>
      <sheetName val="Commission_and_Volume_MOM(Char3"/>
      <sheetName val="A5_201_Consol_Profit_&amp;_Loss_3"/>
      <sheetName val="Consolidated_Monthly3"/>
      <sheetName val="Balance_Sheet3"/>
      <sheetName val="A5_202_Consol_Balance_Sheet_3"/>
      <sheetName val="Fixed_Assets3"/>
      <sheetName val="Sheet_23"/>
      <sheetName val="Key_assumption3"/>
      <sheetName val="MN_T_B_3"/>
      <sheetName val="INDIGINEOUS_ITEMS_3"/>
      <sheetName val="Apartments_-_1st_Mar3"/>
      <sheetName val="1_Market3"/>
      <sheetName val="Material_List_3"/>
      <sheetName val="STAFFSCHED_3"/>
      <sheetName val="Fee_Rate_Summary3"/>
      <sheetName val="Main_School_Building3"/>
      <sheetName val="final abstract"/>
      <sheetName val="Product Details"/>
      <sheetName val="Cash2"/>
      <sheetName val="Z"/>
      <sheetName val="costing_ESDV"/>
      <sheetName val="costing_FE"/>
      <sheetName val="costing_Misc"/>
      <sheetName val="costing_MOV"/>
      <sheetName val="costing_Press"/>
      <sheetName val="Price Comparison"/>
      <sheetName val="Cover"/>
      <sheetName val="Leg 1-1"/>
      <sheetName val="Config"/>
      <sheetName val="Rate analysis civil"/>
      <sheetName val="Database"/>
      <sheetName val="SCHEDULE"/>
      <sheetName val="schedule nos"/>
      <sheetName val="validation"/>
      <sheetName val="Div"/>
      <sheetName val="ER10_Old"/>
      <sheetName val="Sukuki_CDR"/>
      <sheetName val="Multiple_output"/>
      <sheetName val="priority_analysis"/>
      <sheetName val="standards_trend"/>
      <sheetName val="service_timing"/>
      <sheetName val="Product_Problems"/>
      <sheetName val="score_trends"/>
      <sheetName val="Fix_it_First_Time"/>
      <sheetName val="Sample_India"/>
      <sheetName val="Sample_Indo"/>
      <sheetName val="Sample_MY"/>
      <sheetName val="Sample_PH"/>
      <sheetName val="Sample_TH"/>
      <sheetName val="D.D"/>
      <sheetName val="Assmp"/>
      <sheetName val="BS-R"/>
      <sheetName val="Billing"/>
      <sheetName val="MNP"/>
      <sheetName val="ITT-R"/>
      <sheetName val="BSSchedules"/>
      <sheetName val="gen ledger data"/>
      <sheetName val="RA-markate"/>
      <sheetName val="opstat"/>
      <sheetName val="costs"/>
      <sheetName val="Basic Rate"/>
      <sheetName val="INFLUENCES ON GM"/>
      <sheetName val="PROCTOR"/>
      <sheetName val="ANAL"/>
      <sheetName val="TBEAM"/>
      <sheetName val="Groupings "/>
      <sheetName val="DIVBUD99"/>
      <sheetName val="pcQueryData"/>
      <sheetName val="_pcSlicerSheet1"/>
      <sheetName val="P&amp;L"/>
      <sheetName val="BALANCE-SHEET"/>
      <sheetName val="csd1"/>
      <sheetName val="csd2"/>
      <sheetName val="SAP EMP"/>
      <sheetName val="ADD092001_Final"/>
      <sheetName val="Annex - 8"/>
      <sheetName val="6 TRS"/>
      <sheetName val="DF"/>
      <sheetName val="PM"/>
      <sheetName val="Names&amp;Cases"/>
      <sheetName val="Headings"/>
      <sheetName val="WBS"/>
      <sheetName val="Recovered_Sheet4"/>
      <sheetName val="Recovered_Sheet36"/>
      <sheetName val="Recovered_Sheet37"/>
      <sheetName val="Recovered_Sheet30"/>
      <sheetName val="Recovered_Sheet10"/>
      <sheetName val="Recovered_Sheet13"/>
      <sheetName val="Recovered_Sheet19"/>
      <sheetName val="Recovered_Sheet28"/>
      <sheetName val="Recovered_Sheet20"/>
      <sheetName val="Recovered_Sheet21"/>
      <sheetName val="Recovered_Sheet22"/>
      <sheetName val="Recovered_Sheet17"/>
      <sheetName val="Recovered_Sheet39"/>
      <sheetName val="Recovered_Sheet35"/>
      <sheetName val="Recovered_Sheet40"/>
      <sheetName val="Recovered_Sheet1"/>
      <sheetName val="Recovered_Sheet31"/>
      <sheetName val="Recovered_Sheet14"/>
      <sheetName val="Recovered_Sheet38"/>
      <sheetName val="Recovered_Sheet27"/>
      <sheetName val="Recovered_Sheet32"/>
      <sheetName val="Recovered_Sheet6"/>
      <sheetName val="Recovered_Sheet5"/>
      <sheetName val="Recovered_Sheet3"/>
      <sheetName val="Recovered_Sheet18"/>
      <sheetName val="2nd "/>
      <sheetName val="RF_Vol"/>
      <sheetName val="A.O.R."/>
      <sheetName val="Boq"/>
      <sheetName val="TBAL9697 -group wise  sdpl"/>
      <sheetName val="Project Budget Worksheet"/>
      <sheetName val="Builtup Area"/>
      <sheetName val="Chembur_1"/>
      <sheetName val="Felix_Street_Summary"/>
      <sheetName val="FY16-17_Cashflow"/>
      <sheetName val="GrossMgn_98"/>
      <sheetName val="TRX_ADDITION"/>
      <sheetName val="TDS_Certificate-Format"/>
      <sheetName val="Income_Statements"/>
      <sheetName val="CTbe_tong"/>
      <sheetName val="CTDZ_0_4+cto"/>
      <sheetName val="_"/>
      <sheetName val="450_x_350"/>
      <sheetName val="Fill_this_out_first___"/>
      <sheetName val="Approved_MTD_Proj_#'s"/>
      <sheetName val="Customize_Your_Purchase_Order"/>
      <sheetName val="RATE_ANALYSIS_"/>
      <sheetName val="Raw_DCF"/>
      <sheetName val="Sch_1,2,3"/>
      <sheetName val="Sch_14,15,16"/>
      <sheetName val="profit_&amp;_loss_account"/>
      <sheetName val="Movement_of_Mutual_Funds"/>
      <sheetName val="Mix_Design"/>
      <sheetName val="_Vivante_MAIN__INFRA__MAR_18"/>
      <sheetName val="Current_Bill_MB_ref"/>
      <sheetName val="Form_6"/>
      <sheetName val="M-Book_for_Conc"/>
      <sheetName val="M-Book_for_FW"/>
      <sheetName val="Schedules_PL"/>
      <sheetName val="Schedules_BS"/>
      <sheetName val="RA_1"/>
      <sheetName val="Outline_Cost_-_Five_star_Hotel"/>
      <sheetName val="CC_APR04"/>
      <sheetName val="CC_MAY04"/>
      <sheetName val="CC_JUNE04"/>
      <sheetName val="LIFE_&amp;_REP_PROVN"/>
      <sheetName val="O&amp;M_CREW"/>
      <sheetName val="All Components Report"/>
      <sheetName val="Severity"/>
      <sheetName val="BUDLDD"/>
      <sheetName val="ICB"/>
      <sheetName val="rent paid details"/>
      <sheetName val="DGP-2002"/>
      <sheetName val="Item Master"/>
      <sheetName val="Oct'19-Feb'20 base file"/>
      <sheetName val="Mar'20-base file"/>
      <sheetName val="April'20-Dec'20 Base File"/>
      <sheetName val="April'00"/>
      <sheetName val="TB WORLI"/>
      <sheetName val="TB APJ"/>
      <sheetName val="H.O."/>
      <sheetName val="Assum"/>
      <sheetName val="B"/>
      <sheetName val="check"/>
      <sheetName val="main1"/>
      <sheetName val="Labor abs-NMR"/>
      <sheetName val="_REF"/>
      <sheetName val="MASTER_RATE ANALYSIS"/>
      <sheetName val="A1-Continuous"/>
      <sheetName val="Data Summary"/>
      <sheetName val="bank-int"/>
      <sheetName val="Admin "/>
      <sheetName val="Internal Finishes (Unit types)"/>
      <sheetName val="pri-com"/>
      <sheetName val="10. &amp; 11. Rate Code &amp; BQ"/>
      <sheetName val="sept-plan"/>
      <sheetName val="Detail In Door Stad"/>
      <sheetName val="200205C"/>
      <sheetName val="Data sheet"/>
      <sheetName val="Per Unit"/>
      <sheetName val="CFForecast detail"/>
      <sheetName val="WORK TABLE"/>
      <sheetName val="Door"/>
      <sheetName val="wacc"/>
      <sheetName val="wdr bldg"/>
      <sheetName val="OCT 06"/>
      <sheetName val="RA_markate"/>
      <sheetName val="Cap"/>
      <sheetName val="C_flow 95"/>
      <sheetName val="1201"/>
      <sheetName val="Capital leases"/>
      <sheetName val="FA TB 28-2-2006"/>
      <sheetName val="data 3A|6A"/>
      <sheetName val="CAM- Airoli"/>
      <sheetName val="AMC- Airoli"/>
      <sheetName val="CAM - Poch"/>
      <sheetName val="AMC - Poch"/>
      <sheetName val="Complex - Poch"/>
      <sheetName val="CAM - Trion"/>
      <sheetName val="AMC - Trion"/>
      <sheetName val="Complex - Trion"/>
      <sheetName val="IO"/>
      <sheetName val="SCH4"/>
      <sheetName val="31 July 2005"/>
      <sheetName val="Dep"/>
      <sheetName val="Provision base"/>
      <sheetName val="Changes to be made"/>
      <sheetName val="Master - Inventory"/>
      <sheetName val="adp-budget"/>
      <sheetName val="Sheet3_(2)9"/>
      <sheetName val="Estimate_for_approval9"/>
      <sheetName val="Rate_Analysis5"/>
      <sheetName val="Earnings_model5"/>
      <sheetName val="E_&amp;_R5"/>
      <sheetName val="Material_List_4"/>
      <sheetName val="STAFFSCHED_4"/>
      <sheetName val="SPT_vs_PHI4"/>
      <sheetName val="beam-reinft-IIInd_floor4"/>
      <sheetName val="Materials_Cost4"/>
      <sheetName val="MN_T_B_4"/>
      <sheetName val="INDIGINEOUS_ITEMS_4"/>
      <sheetName val="Fee_Rate_Summary4"/>
      <sheetName val="Main_School_Building4"/>
      <sheetName val="Materials_Cost(PCC)4"/>
      <sheetName val="Excess_Calc4"/>
      <sheetName val="Grouping_Master4"/>
      <sheetName val="Commission_and_Volume_MOM(Char4"/>
      <sheetName val="%_Collection_Schedule4"/>
      <sheetName val="Stacking_Plan_&amp;_LEP4"/>
      <sheetName val="beam-reinft-machine_rm4"/>
      <sheetName val="A5_201_Consol_Profit_&amp;_Loss_4"/>
      <sheetName val="Consolidated_Monthly4"/>
      <sheetName val="Balance_Sheet4"/>
      <sheetName val="A5_202_Consol_Balance_Sheet_4"/>
      <sheetName val="Fixed_Assets4"/>
      <sheetName val="Key_assumption4"/>
      <sheetName val="Labour_Rate_1"/>
      <sheetName val="입찰내역_발주처_양식1"/>
      <sheetName val="Customize_Your_Purchase_Order1"/>
      <sheetName val="1_Market4"/>
      <sheetName val="Apartments_-_1st_Mar4"/>
      <sheetName val="Sheet_24"/>
      <sheetName val="schedule_nos"/>
      <sheetName val="Multiple_output1"/>
      <sheetName val="Chembur_11"/>
      <sheetName val="vb_9&amp;101"/>
      <sheetName val="Felix_Street_Summary1"/>
      <sheetName val="B_S-31-3-20061"/>
      <sheetName val="35_D_Annex21"/>
      <sheetName val="H_O1"/>
      <sheetName val="TRIAL_BALANCE1"/>
      <sheetName val="Card_nos_1"/>
      <sheetName val="Statistics_{pbc}1"/>
      <sheetName val="BOD_PL_NEW1"/>
      <sheetName val="Assumptions_(2)1"/>
      <sheetName val="Cntrl_Sheet1"/>
      <sheetName val="B_S1"/>
      <sheetName val="Project_Cost1"/>
      <sheetName val="CAS_P1"/>
      <sheetName val="EXPENDITURE_CYCLE1"/>
      <sheetName val="Fixed_Assets_Top_Sheet-_Consol1"/>
      <sheetName val="VIR_CG1"/>
      <sheetName val="Weighted_Avg1"/>
      <sheetName val="Assumptions_(W)1"/>
      <sheetName val="P_L1"/>
      <sheetName val="NKEL_O&amp;M1"/>
      <sheetName val="ASSUMPTIONS_21"/>
      <sheetName val="_TARIFFS_POST_PCOD1"/>
      <sheetName val="DCF_Valuation_-_FCFF1"/>
      <sheetName val="FA_Leadsheet_&amp;_Movement1"/>
      <sheetName val="Profit_&amp;_Loss1"/>
      <sheetName val="Summary_-_USD1"/>
      <sheetName val="FY16-17_Cashflow1"/>
      <sheetName val="GrossMgn_981"/>
      <sheetName val="Rent_-011"/>
      <sheetName val="Sukuki_CDR1"/>
      <sheetName val="TRX_ADDITION1"/>
      <sheetName val="TDS_Certificate-Format1"/>
      <sheetName val="priority_analysis1"/>
      <sheetName val="standards_trend1"/>
      <sheetName val="service_timing1"/>
      <sheetName val="Product_Problems1"/>
      <sheetName val="score_trends1"/>
      <sheetName val="Fix_it_First_Time1"/>
      <sheetName val="Sample_India1"/>
      <sheetName val="Sample_Indo1"/>
      <sheetName val="Sample_MY1"/>
      <sheetName val="Sample_PH1"/>
      <sheetName val="Sample_TH1"/>
      <sheetName val="Income_Statements1"/>
      <sheetName val="CTbe_tong1"/>
      <sheetName val="CTDZ_0_4+cto1"/>
      <sheetName val="_1"/>
      <sheetName val="450_x_3501"/>
      <sheetName val="Fill_this_out_first___1"/>
      <sheetName val="Approved_MTD_Proj_#'s1"/>
      <sheetName val="RATE_ANALYSIS_1"/>
      <sheetName val="Raw_DCF1"/>
      <sheetName val="Sch_1,2,31"/>
      <sheetName val="Sch_14,15,161"/>
      <sheetName val="profit_&amp;_loss_account1"/>
      <sheetName val="Movement_of_Mutual_Funds1"/>
      <sheetName val="Mix_Design1"/>
      <sheetName val="Ins_&amp;_Bonds1"/>
      <sheetName val="_Vivante_MAIN__INFRA__MAR_181"/>
      <sheetName val="Current_Bill_MB_ref1"/>
      <sheetName val="Form_61"/>
      <sheetName val="M-Book_for_Conc1"/>
      <sheetName val="M-Book_for_FW1"/>
      <sheetName val="Source_Ref_1"/>
      <sheetName val="Schedules_PL1"/>
      <sheetName val="Schedules_BS1"/>
      <sheetName val="RA_11"/>
      <sheetName val="Outline_Cost_-_Five_star_Hotel1"/>
      <sheetName val="CC_APR041"/>
      <sheetName val="CC_MAY041"/>
      <sheetName val="CC_JUNE041"/>
      <sheetName val="LIFE_&amp;_REP_PROVN1"/>
      <sheetName val="O&amp;M_CREW1"/>
      <sheetName val="Direct_cost_shed_A-2_1"/>
      <sheetName val="gen_ledger_data"/>
      <sheetName val="Annex_-_8"/>
      <sheetName val="6_TRS"/>
      <sheetName val="BS_SCH_A-D"/>
      <sheetName val="Elect_"/>
      <sheetName val="Note_9-13"/>
      <sheetName val="Basic_Rate"/>
      <sheetName val="INFLUENCES_ON_GM"/>
      <sheetName val="2nd_"/>
      <sheetName val="final_abstract"/>
      <sheetName val="Product_Details"/>
      <sheetName val="SP_Break_Up"/>
      <sheetName val="Reconciliation_of_GL_&amp;_FAR"/>
      <sheetName val="Price_Comparison"/>
      <sheetName val="Leg_1-1"/>
      <sheetName val="All_Components_Report"/>
      <sheetName val="Rate_analysis_civil"/>
      <sheetName val="A_O_R_"/>
      <sheetName val="FORM-16"/>
      <sheetName val="depit"/>
      <sheetName val="ABB"/>
      <sheetName val="GE"/>
      <sheetName val="Material "/>
      <sheetName val="Labour &amp; Plant"/>
      <sheetName val="Steel-Circular"/>
      <sheetName val="analysis"/>
      <sheetName val="ECP II Cashflow INR"/>
      <sheetName val="ECP II Cashflow USD"/>
      <sheetName val="Monthly Checklist"/>
      <sheetName val="Corp Svc fee"/>
      <sheetName val="PL"/>
      <sheetName val="BANK"/>
      <sheetName val="GL"/>
      <sheetName val="GJ"/>
      <sheetName val="AR SUM (SGD) "/>
      <sheetName val="AR SUM (RM)"/>
      <sheetName val="AR DETAIL (RM)"/>
      <sheetName val="AR DETAIL (SGD) "/>
      <sheetName val="AP SUM (SGD)"/>
      <sheetName val="AP DETAIL (SGD) "/>
      <sheetName val="Revenue Schedule "/>
      <sheetName val="Sch"/>
      <sheetName val="FA"/>
      <sheetName val="Under paid GST Working"/>
      <sheetName val="Bonus com"/>
      <sheetName val="Exchange Rates_2019"/>
      <sheetName val="CCS"/>
      <sheetName val="ERL"/>
      <sheetName val="SSR"/>
      <sheetName val="Charts"/>
      <sheetName val="M-0003"/>
      <sheetName val="Manual JV"/>
      <sheetName val="Stacking Plan"/>
      <sheetName val="Groupings-final"/>
      <sheetName val="Sched"/>
      <sheetName val="Trial"/>
      <sheetName val="FA_Final"/>
      <sheetName val="BFS"/>
      <sheetName val="SOA"/>
      <sheetName val="Podium Areas"/>
      <sheetName val="Mkt PMS"/>
      <sheetName val="Infinite Studios"/>
      <sheetName val="Neuros &amp; Immunos"/>
      <sheetName val="Nucleos"/>
      <sheetName val="stryker div "/>
      <sheetName val="LTM"/>
      <sheetName val="DropZone"/>
      <sheetName val="Old"/>
      <sheetName val="Introduction"/>
      <sheetName val="Emp Details"/>
      <sheetName val="XREF"/>
      <sheetName val="BP"/>
      <sheetName val="Assumption Inputs"/>
      <sheetName val="Insts"/>
      <sheetName val="Budget Vs Actuals (2)"/>
      <sheetName val="theatre mgmt cont"/>
      <sheetName val="RF_Vol1"/>
      <sheetName val="TBAL9697_-group_wise__sdpl"/>
      <sheetName val="Dep_-_SAP"/>
      <sheetName val="SAP_EMP"/>
      <sheetName val="Labor_abs-NMR"/>
      <sheetName val="Project_Budget_Worksheet"/>
      <sheetName val="Builtup_Area"/>
      <sheetName val="MASTER_RATE_ANALYSIS"/>
      <sheetName val="Item_Master"/>
      <sheetName val="HistData(1)"/>
      <sheetName val="Update"/>
      <sheetName val="Operating Statistics"/>
      <sheetName val="Financials"/>
      <sheetName val="BS_ABRIDGED"/>
      <sheetName val="Hyp-mstr"/>
      <sheetName val="PCost"/>
      <sheetName val="INCOME "/>
      <sheetName val="M_Main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refreshError="1"/>
      <sheetData sheetId="727" refreshError="1"/>
      <sheetData sheetId="728" refreshError="1"/>
      <sheetData sheetId="729" refreshError="1"/>
      <sheetData sheetId="730" refreshError="1"/>
      <sheetData sheetId="731" refreshError="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sheetData sheetId="905"/>
      <sheetData sheetId="906"/>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sheetData sheetId="920"/>
      <sheetData sheetId="921"/>
      <sheetData sheetId="922"/>
      <sheetData sheetId="923"/>
      <sheetData sheetId="924"/>
      <sheetData sheetId="925"/>
      <sheetData sheetId="926"/>
      <sheetData sheetId="927"/>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1"/>
      <sheetName val="__FDSCACHE__"/>
      <sheetName val="C Sum"/>
      <sheetName val="A Sum"/>
      <sheetName val="S Sum"/>
      <sheetName val="C CF Y"/>
      <sheetName val="A CF Y"/>
      <sheetName val="S CF Y"/>
      <sheetName val="A CF M"/>
      <sheetName val="S CF M"/>
      <sheetName val="A Cap&amp;Debt M"/>
      <sheetName val="S Cap&amp;Debt M"/>
      <sheetName val="Fees"/>
      <sheetName val="BKCSTOCKVAL"/>
      <sheetName val="MAHSTOCKVAL"/>
      <sheetName val="C_Sum"/>
      <sheetName val="A_Sum"/>
      <sheetName val="S_Sum"/>
      <sheetName val="C_CF_Y"/>
      <sheetName val="A_CF_Y"/>
      <sheetName val="S_CF_Y"/>
      <sheetName val="A_CF_M"/>
      <sheetName val="S_CF_M"/>
      <sheetName val="A_Cap&amp;Debt_M"/>
      <sheetName val="S_Cap&amp;Debt_M"/>
      <sheetName val="Detail"/>
      <sheetName val="COST"/>
      <sheetName val="DATA"/>
      <sheetName val="C_Sum1"/>
      <sheetName val="A_Sum1"/>
      <sheetName val="S_Sum1"/>
      <sheetName val="C_CF_Y1"/>
      <sheetName val="A_CF_Y1"/>
      <sheetName val="S_CF_Y1"/>
      <sheetName val="A_CF_M1"/>
      <sheetName val="S_CF_M1"/>
      <sheetName val="A_Cap&amp;Debt_M1"/>
      <sheetName val="S_Cap&amp;Debt_M1"/>
      <sheetName val="MN_T_B_"/>
    </sheetNames>
    <sheetDataSet>
      <sheetData sheetId="0">
        <row r="91">
          <cell r="C91" t="str">
            <v>PROJECT MINUTEMAN</v>
          </cell>
        </row>
      </sheetData>
      <sheetData sheetId="1">
        <row r="10">
          <cell r="B10" t="str">
            <v>Andover</v>
          </cell>
        </row>
      </sheetData>
      <sheetData sheetId="2" refreshError="1">
        <row r="91">
          <cell r="C91" t="str">
            <v>PROJECT MINUTEMAN</v>
          </cell>
        </row>
        <row r="126">
          <cell r="C126" t="str">
            <v>Andover is Leased to Multiple Tenants</v>
          </cell>
        </row>
      </sheetData>
      <sheetData sheetId="3" refreshError="1">
        <row r="10">
          <cell r="B10" t="str">
            <v>Andover</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an Jvmar06"/>
      <sheetName val="BS"/>
      <sheetName val="cashflow"/>
      <sheetName val="PL"/>
      <sheetName val="Schedules"/>
      <sheetName val="FA schedule"/>
      <sheetName val="Sch22"/>
      <sheetName val="BS sub sh"/>
      <sheetName val="Invest. thousand"/>
      <sheetName val="Investments"/>
      <sheetName val="pubres"/>
      <sheetName val="Sheet1"/>
      <sheetName val="Income"/>
      <sheetName val="Exp"/>
      <sheetName val="Leave encashement"/>
      <sheetName val="TB APJ"/>
      <sheetName val="TB WORLI"/>
      <sheetName val="deftax"/>
      <sheetName val="Quar ABNL"/>
      <sheetName val="it depr."/>
      <sheetName val="FASCHEDULE"/>
      <sheetName val="G SecST&amp;LT "/>
      <sheetName val="itcomp"/>
      <sheetName val="ratio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B7">
            <v>223033</v>
          </cell>
        </row>
        <row r="8">
          <cell r="B8">
            <v>-14075776</v>
          </cell>
        </row>
        <row r="9">
          <cell r="B9">
            <v>-3626817</v>
          </cell>
        </row>
        <row r="10">
          <cell r="B10">
            <v>1</v>
          </cell>
        </row>
        <row r="11">
          <cell r="B11">
            <v>1024285</v>
          </cell>
        </row>
        <row r="12">
          <cell r="B12">
            <v>-1187413</v>
          </cell>
        </row>
        <row r="13">
          <cell r="B13">
            <v>16168</v>
          </cell>
        </row>
        <row r="16">
          <cell r="B16">
            <v>34700058</v>
          </cell>
        </row>
        <row r="17">
          <cell r="B17">
            <v>5266138</v>
          </cell>
        </row>
        <row r="20">
          <cell r="B20">
            <v>0</v>
          </cell>
        </row>
        <row r="21">
          <cell r="B21">
            <v>0</v>
          </cell>
        </row>
        <row r="22">
          <cell r="B22">
            <v>100</v>
          </cell>
        </row>
        <row r="23">
          <cell r="B23">
            <v>29874</v>
          </cell>
        </row>
        <row r="25">
          <cell r="B25">
            <v>16450</v>
          </cell>
        </row>
        <row r="26">
          <cell r="B26">
            <v>12371</v>
          </cell>
        </row>
        <row r="27">
          <cell r="B27">
            <v>0</v>
          </cell>
        </row>
        <row r="28">
          <cell r="B28">
            <v>41076</v>
          </cell>
        </row>
        <row r="29">
          <cell r="B29">
            <v>4060</v>
          </cell>
        </row>
        <row r="31">
          <cell r="B31">
            <v>3619772</v>
          </cell>
        </row>
        <row r="32">
          <cell r="B32">
            <v>97</v>
          </cell>
        </row>
        <row r="34">
          <cell r="B34">
            <v>6193912</v>
          </cell>
        </row>
        <row r="36">
          <cell r="B36">
            <v>-131</v>
          </cell>
        </row>
        <row r="37">
          <cell r="B37">
            <v>0</v>
          </cell>
        </row>
        <row r="38">
          <cell r="B38">
            <v>65277</v>
          </cell>
        </row>
        <row r="39">
          <cell r="B39">
            <v>-7184</v>
          </cell>
        </row>
        <row r="40">
          <cell r="B40">
            <v>90000</v>
          </cell>
        </row>
        <row r="41">
          <cell r="B41">
            <v>7688110</v>
          </cell>
        </row>
        <row r="42">
          <cell r="B42">
            <v>60119</v>
          </cell>
        </row>
        <row r="43">
          <cell r="B43">
            <v>0</v>
          </cell>
        </row>
        <row r="44">
          <cell r="B44">
            <v>1701</v>
          </cell>
        </row>
        <row r="45">
          <cell r="B45">
            <v>4000</v>
          </cell>
        </row>
        <row r="46">
          <cell r="B46">
            <v>22478</v>
          </cell>
        </row>
        <row r="47">
          <cell r="B47">
            <v>642021383</v>
          </cell>
        </row>
        <row r="48">
          <cell r="B48">
            <v>98610542</v>
          </cell>
        </row>
        <row r="49">
          <cell r="B49">
            <v>555957</v>
          </cell>
        </row>
        <row r="50">
          <cell r="B50">
            <v>158887121</v>
          </cell>
        </row>
        <row r="51">
          <cell r="B51">
            <v>24487685</v>
          </cell>
        </row>
        <row r="52">
          <cell r="B52">
            <v>1407218</v>
          </cell>
        </row>
        <row r="53">
          <cell r="B53">
            <v>60153</v>
          </cell>
        </row>
        <row r="54">
          <cell r="B54">
            <v>89830</v>
          </cell>
        </row>
        <row r="55">
          <cell r="B55">
            <v>82901</v>
          </cell>
        </row>
        <row r="56">
          <cell r="B56">
            <v>25245532</v>
          </cell>
        </row>
        <row r="57">
          <cell r="B57">
            <v>0</v>
          </cell>
        </row>
        <row r="58">
          <cell r="B58">
            <v>15000000</v>
          </cell>
        </row>
        <row r="59">
          <cell r="B59">
            <v>7549</v>
          </cell>
        </row>
        <row r="60">
          <cell r="B60">
            <v>0</v>
          </cell>
        </row>
        <row r="61">
          <cell r="B61">
            <v>7133</v>
          </cell>
        </row>
        <row r="63">
          <cell r="B63">
            <v>0</v>
          </cell>
        </row>
        <row r="64">
          <cell r="B64">
            <v>58788</v>
          </cell>
        </row>
        <row r="65">
          <cell r="B65">
            <v>863466</v>
          </cell>
        </row>
        <row r="67">
          <cell r="B67">
            <v>524581</v>
          </cell>
        </row>
        <row r="68">
          <cell r="B68">
            <v>1748476</v>
          </cell>
        </row>
        <row r="69">
          <cell r="B69">
            <v>9222968</v>
          </cell>
        </row>
        <row r="70">
          <cell r="B70">
            <v>18292</v>
          </cell>
        </row>
        <row r="71">
          <cell r="B71">
            <v>185709</v>
          </cell>
        </row>
        <row r="72">
          <cell r="B72">
            <v>280000</v>
          </cell>
        </row>
        <row r="73">
          <cell r="B73">
            <v>95861</v>
          </cell>
        </row>
        <row r="74">
          <cell r="B74">
            <v>2767500</v>
          </cell>
        </row>
        <row r="75">
          <cell r="B75">
            <v>990216</v>
          </cell>
        </row>
        <row r="76">
          <cell r="B76">
            <v>73089853</v>
          </cell>
        </row>
        <row r="77">
          <cell r="B77">
            <v>215507</v>
          </cell>
        </row>
        <row r="78">
          <cell r="B78">
            <v>12443423</v>
          </cell>
        </row>
        <row r="79">
          <cell r="B79">
            <v>307410</v>
          </cell>
        </row>
        <row r="80">
          <cell r="B80">
            <v>11896</v>
          </cell>
        </row>
        <row r="81">
          <cell r="B81">
            <v>2056613</v>
          </cell>
        </row>
        <row r="83">
          <cell r="B83">
            <v>13844</v>
          </cell>
        </row>
        <row r="84">
          <cell r="B84">
            <v>2500</v>
          </cell>
        </row>
        <row r="85">
          <cell r="B85">
            <v>819146</v>
          </cell>
        </row>
        <row r="86">
          <cell r="B86">
            <v>105832</v>
          </cell>
        </row>
        <row r="87">
          <cell r="B87">
            <v>75314592</v>
          </cell>
        </row>
        <row r="88">
          <cell r="B88">
            <v>7784730</v>
          </cell>
        </row>
        <row r="89">
          <cell r="B89">
            <v>70000</v>
          </cell>
        </row>
        <row r="90">
          <cell r="B90">
            <v>2312914</v>
          </cell>
        </row>
        <row r="91">
          <cell r="B91">
            <v>463966</v>
          </cell>
        </row>
        <row r="92">
          <cell r="B92">
            <v>829235</v>
          </cell>
        </row>
        <row r="93">
          <cell r="B93">
            <v>663771</v>
          </cell>
        </row>
        <row r="94">
          <cell r="B94">
            <v>427226</v>
          </cell>
        </row>
        <row r="95">
          <cell r="B95">
            <v>59205</v>
          </cell>
        </row>
        <row r="96">
          <cell r="B96">
            <v>55228</v>
          </cell>
        </row>
        <row r="97">
          <cell r="B97">
            <v>1095106</v>
          </cell>
        </row>
        <row r="98">
          <cell r="B98">
            <v>19715</v>
          </cell>
        </row>
        <row r="99">
          <cell r="B99">
            <v>733246</v>
          </cell>
        </row>
        <row r="100">
          <cell r="B100">
            <v>12221</v>
          </cell>
        </row>
        <row r="101">
          <cell r="B101">
            <v>2180155</v>
          </cell>
        </row>
        <row r="102">
          <cell r="B102">
            <v>1282947</v>
          </cell>
        </row>
        <row r="103">
          <cell r="B103">
            <v>1207633</v>
          </cell>
        </row>
        <row r="104">
          <cell r="B104">
            <v>67847</v>
          </cell>
        </row>
        <row r="105">
          <cell r="B105">
            <v>5134259</v>
          </cell>
        </row>
        <row r="106">
          <cell r="B106">
            <v>118000</v>
          </cell>
        </row>
        <row r="107">
          <cell r="B107">
            <v>2500000</v>
          </cell>
        </row>
        <row r="108">
          <cell r="B108">
            <v>51871</v>
          </cell>
        </row>
        <row r="109">
          <cell r="B109">
            <v>1021478</v>
          </cell>
        </row>
        <row r="110">
          <cell r="B110">
            <v>1599610</v>
          </cell>
        </row>
        <row r="111">
          <cell r="B111">
            <v>1428403</v>
          </cell>
        </row>
        <row r="112">
          <cell r="B112">
            <v>860</v>
          </cell>
        </row>
        <row r="113">
          <cell r="B113">
            <v>2069</v>
          </cell>
        </row>
        <row r="114">
          <cell r="B114">
            <v>1437125</v>
          </cell>
        </row>
        <row r="115">
          <cell r="B115">
            <v>143406</v>
          </cell>
        </row>
        <row r="116">
          <cell r="B116">
            <v>0</v>
          </cell>
        </row>
        <row r="117">
          <cell r="B117">
            <v>2354001</v>
          </cell>
        </row>
        <row r="118">
          <cell r="B118">
            <v>322353</v>
          </cell>
        </row>
        <row r="119">
          <cell r="B119">
            <v>27695497</v>
          </cell>
        </row>
        <row r="120">
          <cell r="B120">
            <v>3462703</v>
          </cell>
        </row>
        <row r="121">
          <cell r="B121">
            <v>1063728</v>
          </cell>
        </row>
        <row r="122">
          <cell r="B122">
            <v>698981</v>
          </cell>
        </row>
        <row r="123">
          <cell r="B123">
            <v>5946304</v>
          </cell>
        </row>
        <row r="124">
          <cell r="B124">
            <v>86375</v>
          </cell>
        </row>
        <row r="125">
          <cell r="B125">
            <v>178221</v>
          </cell>
        </row>
        <row r="126">
          <cell r="B126">
            <v>42477</v>
          </cell>
        </row>
        <row r="127">
          <cell r="B127">
            <v>16044</v>
          </cell>
        </row>
        <row r="128">
          <cell r="B128">
            <v>991671</v>
          </cell>
        </row>
        <row r="129">
          <cell r="B129">
            <v>49625</v>
          </cell>
        </row>
        <row r="130">
          <cell r="B130">
            <v>71929</v>
          </cell>
        </row>
        <row r="131">
          <cell r="B131">
            <v>500000</v>
          </cell>
        </row>
        <row r="132">
          <cell r="B132">
            <v>14372</v>
          </cell>
        </row>
        <row r="133">
          <cell r="B133">
            <v>159378</v>
          </cell>
        </row>
        <row r="134">
          <cell r="B134">
            <v>1234528</v>
          </cell>
        </row>
        <row r="135">
          <cell r="B135">
            <v>118222</v>
          </cell>
        </row>
        <row r="136">
          <cell r="B136">
            <v>843583</v>
          </cell>
        </row>
        <row r="137">
          <cell r="B137">
            <v>1012608</v>
          </cell>
        </row>
        <row r="138">
          <cell r="B138">
            <v>11495433</v>
          </cell>
        </row>
        <row r="139">
          <cell r="B139">
            <v>76450</v>
          </cell>
        </row>
        <row r="140">
          <cell r="B140">
            <v>3411</v>
          </cell>
        </row>
        <row r="141">
          <cell r="B141">
            <v>600396</v>
          </cell>
        </row>
        <row r="142">
          <cell r="B142">
            <v>1799691</v>
          </cell>
        </row>
        <row r="143">
          <cell r="B143">
            <v>3885</v>
          </cell>
        </row>
        <row r="144">
          <cell r="B144">
            <v>1148942</v>
          </cell>
        </row>
        <row r="145">
          <cell r="B145">
            <v>0</v>
          </cell>
        </row>
        <row r="146">
          <cell r="B146">
            <v>13475</v>
          </cell>
        </row>
        <row r="147">
          <cell r="B147">
            <v>-118615</v>
          </cell>
        </row>
        <row r="148">
          <cell r="B148">
            <v>-2159187</v>
          </cell>
        </row>
        <row r="149">
          <cell r="B149">
            <v>-632184</v>
          </cell>
        </row>
        <row r="150">
          <cell r="B150">
            <v>-2250000</v>
          </cell>
        </row>
        <row r="151">
          <cell r="B151">
            <v>-11967</v>
          </cell>
        </row>
        <row r="152">
          <cell r="B152">
            <v>-361641</v>
          </cell>
        </row>
        <row r="153">
          <cell r="B153">
            <v>-6446036</v>
          </cell>
        </row>
        <row r="154">
          <cell r="B154">
            <v>-761774</v>
          </cell>
        </row>
        <row r="155">
          <cell r="B155">
            <v>-22500431</v>
          </cell>
        </row>
        <row r="156">
          <cell r="B156">
            <v>-8570</v>
          </cell>
        </row>
        <row r="157">
          <cell r="B157">
            <v>-148856</v>
          </cell>
        </row>
        <row r="158">
          <cell r="B158">
            <v>-4864844</v>
          </cell>
        </row>
        <row r="159">
          <cell r="B159">
            <v>-61792</v>
          </cell>
        </row>
        <row r="160">
          <cell r="B160">
            <v>-41825000</v>
          </cell>
        </row>
        <row r="161">
          <cell r="B161">
            <v>-392910</v>
          </cell>
        </row>
        <row r="162">
          <cell r="B162">
            <v>-37828192</v>
          </cell>
        </row>
        <row r="163">
          <cell r="B163">
            <v>-30311</v>
          </cell>
        </row>
        <row r="164">
          <cell r="B164">
            <v>-1610112</v>
          </cell>
        </row>
        <row r="165">
          <cell r="B165">
            <v>-116726</v>
          </cell>
        </row>
        <row r="166">
          <cell r="B166">
            <v>-9278071</v>
          </cell>
        </row>
        <row r="167">
          <cell r="B167">
            <v>0</v>
          </cell>
        </row>
        <row r="168">
          <cell r="B168">
            <v>-197037552</v>
          </cell>
        </row>
        <row r="169">
          <cell r="B169">
            <v>-3218707</v>
          </cell>
        </row>
        <row r="170">
          <cell r="B170">
            <v>-8447</v>
          </cell>
        </row>
        <row r="171">
          <cell r="B171">
            <v>-2311023</v>
          </cell>
        </row>
        <row r="172">
          <cell r="B172">
            <v>296941</v>
          </cell>
        </row>
        <row r="173">
          <cell r="B173">
            <v>-675162</v>
          </cell>
        </row>
        <row r="174">
          <cell r="B174">
            <v>-601334</v>
          </cell>
        </row>
        <row r="175">
          <cell r="B175">
            <v>-143386</v>
          </cell>
        </row>
        <row r="176">
          <cell r="B176">
            <v>0</v>
          </cell>
        </row>
        <row r="177">
          <cell r="B177">
            <v>-18170540</v>
          </cell>
        </row>
        <row r="178">
          <cell r="B178">
            <v>0</v>
          </cell>
        </row>
        <row r="179">
          <cell r="B179">
            <v>-220120</v>
          </cell>
        </row>
        <row r="180">
          <cell r="B180">
            <v>116</v>
          </cell>
        </row>
        <row r="181">
          <cell r="B181">
            <v>-3500</v>
          </cell>
        </row>
        <row r="182">
          <cell r="B182">
            <v>-169978</v>
          </cell>
        </row>
        <row r="183">
          <cell r="B183">
            <v>-250000</v>
          </cell>
        </row>
        <row r="184">
          <cell r="B184">
            <v>-524634</v>
          </cell>
        </row>
        <row r="185">
          <cell r="B185">
            <v>-188932</v>
          </cell>
        </row>
        <row r="188">
          <cell r="B188">
            <v>-12715</v>
          </cell>
        </row>
        <row r="189">
          <cell r="B189">
            <v>-2970</v>
          </cell>
        </row>
        <row r="192">
          <cell r="B192">
            <v>0</v>
          </cell>
        </row>
        <row r="194">
          <cell r="B194">
            <v>-1437819</v>
          </cell>
        </row>
        <row r="195">
          <cell r="B195">
            <v>-7396</v>
          </cell>
        </row>
        <row r="199">
          <cell r="B199">
            <v>-9788065</v>
          </cell>
        </row>
        <row r="200">
          <cell r="B200">
            <v>712093462</v>
          </cell>
        </row>
        <row r="201">
          <cell r="B201">
            <v>-792759031</v>
          </cell>
        </row>
        <row r="202">
          <cell r="B202">
            <v>-750000000</v>
          </cell>
        </row>
        <row r="204">
          <cell r="B204">
            <v>54397</v>
          </cell>
        </row>
        <row r="205">
          <cell r="B205">
            <v>-3086589</v>
          </cell>
        </row>
        <row r="207">
          <cell r="B207">
            <v>17241</v>
          </cell>
        </row>
        <row r="208">
          <cell r="B208">
            <v>-31816</v>
          </cell>
        </row>
        <row r="209">
          <cell r="B209">
            <v>-5991</v>
          </cell>
        </row>
        <row r="210">
          <cell r="B210">
            <v>-62117</v>
          </cell>
        </row>
        <row r="211">
          <cell r="B211">
            <v>-194704</v>
          </cell>
        </row>
        <row r="212">
          <cell r="B212">
            <v>-6</v>
          </cell>
        </row>
        <row r="213">
          <cell r="B213">
            <v>-2158985</v>
          </cell>
        </row>
        <row r="214">
          <cell r="B214">
            <v>-80807</v>
          </cell>
        </row>
        <row r="215">
          <cell r="B215">
            <v>-746107</v>
          </cell>
        </row>
        <row r="216">
          <cell r="B216">
            <v>-15072000</v>
          </cell>
        </row>
        <row r="217">
          <cell r="B217">
            <v>-924996</v>
          </cell>
        </row>
        <row r="218">
          <cell r="B218">
            <v>-9047964</v>
          </cell>
        </row>
        <row r="219">
          <cell r="B219">
            <v>-400</v>
          </cell>
        </row>
        <row r="220">
          <cell r="B220">
            <v>-50552718</v>
          </cell>
        </row>
        <row r="221">
          <cell r="B221">
            <v>-3065277</v>
          </cell>
        </row>
        <row r="222">
          <cell r="B222">
            <v>0</v>
          </cell>
        </row>
        <row r="223">
          <cell r="B223">
            <v>-1135</v>
          </cell>
        </row>
        <row r="225">
          <cell r="B225">
            <v>-979763</v>
          </cell>
        </row>
      </sheetData>
      <sheetData sheetId="16" refreshError="1">
        <row r="5">
          <cell r="B5">
            <v>-63013</v>
          </cell>
        </row>
        <row r="6">
          <cell r="B6">
            <v>256892</v>
          </cell>
        </row>
        <row r="8">
          <cell r="B8">
            <v>89596</v>
          </cell>
        </row>
        <row r="10">
          <cell r="B10">
            <v>0</v>
          </cell>
        </row>
        <row r="13">
          <cell r="B13">
            <v>79876</v>
          </cell>
        </row>
        <row r="16">
          <cell r="B16">
            <v>56087</v>
          </cell>
        </row>
        <row r="23">
          <cell r="B23">
            <v>35000</v>
          </cell>
        </row>
        <row r="24">
          <cell r="B24">
            <v>9475</v>
          </cell>
        </row>
        <row r="25">
          <cell r="B25">
            <v>45948</v>
          </cell>
        </row>
        <row r="26">
          <cell r="B26">
            <v>8259</v>
          </cell>
        </row>
        <row r="32">
          <cell r="B32">
            <v>122291</v>
          </cell>
        </row>
        <row r="45">
          <cell r="B45">
            <v>23104</v>
          </cell>
        </row>
        <row r="46">
          <cell r="B46">
            <v>-48558</v>
          </cell>
        </row>
        <row r="47">
          <cell r="B47">
            <v>100000</v>
          </cell>
        </row>
        <row r="49">
          <cell r="B49">
            <v>41400</v>
          </cell>
        </row>
        <row r="54">
          <cell r="B54">
            <v>19896</v>
          </cell>
        </row>
        <row r="78">
          <cell r="B78">
            <v>12680</v>
          </cell>
        </row>
        <row r="79">
          <cell r="B79">
            <v>52491</v>
          </cell>
        </row>
        <row r="82">
          <cell r="B82">
            <v>37000</v>
          </cell>
        </row>
        <row r="85">
          <cell r="B85">
            <v>175005</v>
          </cell>
        </row>
        <row r="86">
          <cell r="B86">
            <v>8905</v>
          </cell>
        </row>
        <row r="91">
          <cell r="B91">
            <v>8012</v>
          </cell>
        </row>
        <row r="92">
          <cell r="B92">
            <v>301270</v>
          </cell>
        </row>
        <row r="97">
          <cell r="B97">
            <v>-70979</v>
          </cell>
        </row>
        <row r="98">
          <cell r="B98">
            <v>-149634</v>
          </cell>
        </row>
        <row r="100">
          <cell r="B100">
            <v>120000</v>
          </cell>
        </row>
        <row r="101">
          <cell r="B101">
            <v>127904</v>
          </cell>
        </row>
        <row r="103">
          <cell r="B103">
            <v>29000</v>
          </cell>
        </row>
        <row r="105">
          <cell r="B105">
            <v>-428502</v>
          </cell>
        </row>
        <row r="109">
          <cell r="B109">
            <v>2930</v>
          </cell>
        </row>
        <row r="110">
          <cell r="B110">
            <v>2012</v>
          </cell>
        </row>
        <row r="111">
          <cell r="B111">
            <v>14285</v>
          </cell>
        </row>
        <row r="113">
          <cell r="B113">
            <v>476256</v>
          </cell>
        </row>
        <row r="114">
          <cell r="B114">
            <v>196138</v>
          </cell>
        </row>
        <row r="115">
          <cell r="B115">
            <v>-20560</v>
          </cell>
        </row>
        <row r="116">
          <cell r="B116">
            <v>1749</v>
          </cell>
        </row>
        <row r="119">
          <cell r="B119">
            <v>-9467</v>
          </cell>
        </row>
        <row r="120">
          <cell r="B120">
            <v>-619594</v>
          </cell>
        </row>
        <row r="121">
          <cell r="B121">
            <v>-148</v>
          </cell>
        </row>
        <row r="122">
          <cell r="B122">
            <v>-17993</v>
          </cell>
        </row>
        <row r="123">
          <cell r="B123">
            <v>-7820</v>
          </cell>
        </row>
        <row r="124">
          <cell r="B124">
            <v>-488363</v>
          </cell>
        </row>
        <row r="125">
          <cell r="B125">
            <v>-14369357</v>
          </cell>
        </row>
        <row r="126">
          <cell r="B126">
            <v>-578725</v>
          </cell>
        </row>
        <row r="128">
          <cell r="B128">
            <v>-10528</v>
          </cell>
        </row>
        <row r="129">
          <cell r="B129">
            <v>-1392</v>
          </cell>
        </row>
        <row r="130">
          <cell r="B130">
            <v>-1178258</v>
          </cell>
        </row>
        <row r="131">
          <cell r="B131">
            <v>18170543</v>
          </cell>
        </row>
        <row r="133">
          <cell r="B133">
            <v>-15746</v>
          </cell>
        </row>
        <row r="135">
          <cell r="B135">
            <v>-1250000</v>
          </cell>
        </row>
        <row r="137">
          <cell r="B137">
            <v>-60297</v>
          </cell>
        </row>
        <row r="138">
          <cell r="B138">
            <v>-42857</v>
          </cell>
        </row>
        <row r="139">
          <cell r="B139">
            <v>-987719</v>
          </cell>
        </row>
        <row r="140">
          <cell r="B140">
            <v>-169070</v>
          </cell>
        </row>
        <row r="141">
          <cell r="B141">
            <v>-35420</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BSSCH"/>
      <sheetName val="PLSCH"/>
      <sheetName val="Asset"/>
      <sheetName val="Liab"/>
      <sheetName val="Income"/>
      <sheetName val="Exp"/>
      <sheetName val="EPS Calculation"/>
      <sheetName val="tb"/>
      <sheetName val="roi2003"/>
      <sheetName val="fa in 1000"/>
      <sheetName val="FASch"/>
      <sheetName val="Investment sch"/>
      <sheetName val="DRS-WKG"/>
      <sheetName val="Deferred tax"/>
      <sheetName val="details of grossup"/>
      <sheetName val="drs gross provn working"/>
      <sheetName val="bad-debt provn"/>
      <sheetName val="income tax computation"/>
      <sheetName val="roi"/>
    </sheetNames>
    <sheetDataSet>
      <sheetData sheetId="0"/>
      <sheetData sheetId="1"/>
      <sheetData sheetId="2"/>
      <sheetData sheetId="3"/>
      <sheetData sheetId="4"/>
      <sheetData sheetId="5"/>
      <sheetData sheetId="6"/>
      <sheetData sheetId="7"/>
      <sheetData sheetId="8"/>
      <sheetData sheetId="9">
        <row r="8">
          <cell r="B8">
            <v>89596</v>
          </cell>
        </row>
        <row r="10">
          <cell r="B10">
            <v>0</v>
          </cell>
        </row>
        <row r="16">
          <cell r="B16">
            <v>56087</v>
          </cell>
        </row>
        <row r="25">
          <cell r="B25">
            <v>45948</v>
          </cell>
        </row>
        <row r="92">
          <cell r="B92">
            <v>301270</v>
          </cell>
        </row>
        <row r="101">
          <cell r="B101">
            <v>127904</v>
          </cell>
        </row>
        <row r="169">
          <cell r="B169">
            <v>0</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esreqsum"/>
      <sheetName val="ikonos"/>
      <sheetName val="GRIDDING"/>
      <sheetName val="Digitisation"/>
      <sheetName val="QAQC"/>
      <sheetName val="fIELD SURVEY"/>
      <sheetName val="edgematching"/>
      <sheetName val="Attribute "/>
      <sheetName val="LANDBASE"/>
      <sheetName val="asbuilt drgs"/>
      <sheetName val="ASBUILT GIS LANDBASE"/>
      <sheetName val="CODIFICATION"/>
      <sheetName val="Summary"/>
      <sheetName val="SCURCUM"/>
      <sheetName val="wavelength"/>
      <sheetName val="Input for codification,bandwidt"/>
      <sheetName val="SCUR-PERIOD"/>
      <sheetName val="Engg summary"/>
      <sheetName val="LM ASBLT"/>
      <sheetName val="LM FIBRE"/>
      <sheetName val="ISP "/>
      <sheetName val="MA,CA-ASBLT"/>
      <sheetName val="Sheet5"/>
      <sheetName val="MA,CA-FIBRE"/>
      <sheetName val="S-curve"/>
      <sheetName val="Level 2 mhrs"/>
      <sheetName val="Level 2 deliverables"/>
      <sheetName val="INPUT SHEET"/>
      <sheetName val="Sheet4"/>
      <sheetName val="P3 CITIES MA,CA"/>
      <sheetName val="P3CITIES LM"/>
      <sheetName val="Sheet1"/>
      <sheetName val="AP MA,CA"/>
      <sheetName val="MUMBAI LM"/>
      <sheetName val="CHENNAI MA,CA"/>
      <sheetName val="CHENNAI LM"/>
      <sheetName val="KOL MA,CA"/>
      <sheetName val="KOL LM"/>
      <sheetName val="BLR MA,CA"/>
      <sheetName val="BLR LM"/>
      <sheetName val="HYD MA,CA"/>
      <sheetName val="HYD LM"/>
      <sheetName val="PUNE MA,CA"/>
      <sheetName val="PUNE LM"/>
      <sheetName val="AHD MA,CA"/>
      <sheetName val="AHD LM"/>
      <sheetName val="SURAT MA,CA"/>
      <sheetName val="SURAT LM"/>
      <sheetName val="VAD MA,CA"/>
      <sheetName val="VAD LM"/>
      <sheetName val="City S-curves"/>
      <sheetName val="Interconn updation sheet"/>
      <sheetName val="Intercon s-curves"/>
      <sheetName val="Sheet2"/>
      <sheetName val="Sheet3"/>
      <sheetName val="Mumbai"/>
      <sheetName val="delhi"/>
      <sheetName val="hyd"/>
      <sheetName val="chn"/>
      <sheetName val="blr"/>
      <sheetName val="Sheet10"/>
      <sheetName val="Ãhty S-curves"/>
      <sheetName val="Kumbai"/>
      <sheetName val="RCTL-SCH"/>
      <sheetName val="COMPARISON"/>
      <sheetName val="cover "/>
      <sheetName val="critical"/>
      <sheetName val="over all s curve"/>
      <sheetName val="ROW STATUS"/>
      <sheetName val="LINKWISE STATUS "/>
      <sheetName val="crossing detailed "/>
      <sheetName val="DETAIL SHEET"/>
      <sheetName val="Progress"/>
      <sheetName val="Const activity list"/>
      <sheetName val="NLD7000-Backup"/>
      <sheetName val="AY-202&amp;270"/>
      <sheetName val="cum"/>
      <sheetName val="SCurv"/>
      <sheetName val="synop"/>
      <sheetName val="ex&amp;mob"/>
      <sheetName val="pi chart"/>
      <sheetName val="IBR (2)"/>
      <sheetName val="NIBR (2)"/>
      <sheetName val="act"/>
      <sheetName val="factors"/>
      <sheetName val="Assumptions"/>
      <sheetName val="EAW Final Accounts - 99"/>
      <sheetName val="General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NNX - I (A)"/>
      <sheetName val="ANNX - I (B)"/>
      <sheetName val="ANNX -II"/>
      <sheetName val="ANNX-III "/>
      <sheetName val="ANNX - IV"/>
      <sheetName val="ANNX - V"/>
      <sheetName val="Power&amp;Fuel"/>
    </sheetNames>
    <sheetDataSet>
      <sheetData sheetId="0"/>
      <sheetData sheetId="1"/>
      <sheetData sheetId="2"/>
      <sheetData sheetId="3" refreshError="1">
        <row r="80">
          <cell r="C80" t="str">
            <v>BISCUIT  Stock</v>
          </cell>
          <cell r="H80" t="str">
            <v>CONF.  Stock</v>
          </cell>
        </row>
        <row r="81">
          <cell r="C81" t="str">
            <v>Opening</v>
          </cell>
          <cell r="D81" t="str">
            <v>Closing</v>
          </cell>
          <cell r="F81" t="str">
            <v>Difference</v>
          </cell>
          <cell r="H81" t="str">
            <v>Opening</v>
          </cell>
          <cell r="I81" t="str">
            <v>Closing</v>
          </cell>
          <cell r="K81" t="str">
            <v>Difference</v>
          </cell>
        </row>
        <row r="82">
          <cell r="F82" t="str">
            <v>Net  Addition</v>
          </cell>
          <cell r="H82">
            <v>38443</v>
          </cell>
          <cell r="I82">
            <v>38717</v>
          </cell>
          <cell r="K82" t="str">
            <v>Net  Addition</v>
          </cell>
        </row>
        <row r="83">
          <cell r="B83" t="str">
            <v xml:space="preserve"> a) Maida (Wheat Flour)</v>
          </cell>
          <cell r="F83">
            <v>0</v>
          </cell>
          <cell r="K83">
            <v>0</v>
          </cell>
        </row>
        <row r="84">
          <cell r="B84" t="str">
            <v xml:space="preserve"> b) Sugar               </v>
          </cell>
          <cell r="F84">
            <v>0</v>
          </cell>
          <cell r="K84">
            <v>0</v>
          </cell>
        </row>
        <row r="85">
          <cell r="B85" t="str">
            <v xml:space="preserve"> c) Vanaspati           </v>
          </cell>
          <cell r="F85">
            <v>0</v>
          </cell>
          <cell r="K85">
            <v>0</v>
          </cell>
        </row>
        <row r="86">
          <cell r="B86" t="str">
            <v xml:space="preserve"> d) Palm Kernel Oil   </v>
          </cell>
          <cell r="F86">
            <v>0</v>
          </cell>
          <cell r="K86">
            <v>0</v>
          </cell>
        </row>
        <row r="87">
          <cell r="B87" t="str">
            <v xml:space="preserve"> e) Liquid Glucose       </v>
          </cell>
          <cell r="F87">
            <v>0</v>
          </cell>
          <cell r="K87">
            <v>0</v>
          </cell>
        </row>
        <row r="88">
          <cell r="B88" t="str">
            <v xml:space="preserve"> f) Skimmed Milk Powder  </v>
          </cell>
          <cell r="F88">
            <v>0</v>
          </cell>
          <cell r="K88">
            <v>0</v>
          </cell>
        </row>
        <row r="89">
          <cell r="B89" t="str">
            <v xml:space="preserve"> g) Others</v>
          </cell>
          <cell r="C89">
            <v>0</v>
          </cell>
          <cell r="D89">
            <v>0</v>
          </cell>
          <cell r="F89">
            <v>0</v>
          </cell>
          <cell r="H89">
            <v>0</v>
          </cell>
          <cell r="I89">
            <v>0</v>
          </cell>
          <cell r="K89">
            <v>0</v>
          </cell>
        </row>
        <row r="90">
          <cell r="F90">
            <v>0</v>
          </cell>
          <cell r="K90">
            <v>0</v>
          </cell>
        </row>
        <row r="92">
          <cell r="C92" t="str">
            <v>WIP</v>
          </cell>
        </row>
        <row r="93">
          <cell r="C93" t="str">
            <v>Opening</v>
          </cell>
          <cell r="D93" t="str">
            <v>Closing</v>
          </cell>
          <cell r="F93" t="str">
            <v>Difference</v>
          </cell>
        </row>
        <row r="94">
          <cell r="F94" t="str">
            <v>Net  Addition</v>
          </cell>
        </row>
        <row r="95">
          <cell r="B95" t="str">
            <v>Biscuit</v>
          </cell>
          <cell r="F95">
            <v>0</v>
          </cell>
        </row>
        <row r="96">
          <cell r="B96" t="str">
            <v>Confictionary</v>
          </cell>
          <cell r="F96">
            <v>0</v>
          </cell>
        </row>
      </sheetData>
      <sheetData sheetId="4"/>
      <sheetData sheetId="5"/>
      <sheetData sheetId="6"/>
      <sheetData sheetId="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 &amp; L"/>
      <sheetName val="BS SCH"/>
      <sheetName val="P &amp; L SCH"/>
      <sheetName val="Trial Balance"/>
      <sheetName val="CASH FLOW"/>
      <sheetName val="EPS"/>
      <sheetName val="P _ L SCH"/>
      <sheetName val="SCH -IV OSL-EXPENSES"/>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1"/>
      <sheetName val="PAP Memo"/>
      <sheetName val="PAP Reco"/>
      <sheetName val="Non Fund"/>
      <sheetName val="PAP"/>
      <sheetName val="SPR"/>
      <sheetName val="Yield-COB"/>
      <sheetName val="Yield-COB sum"/>
      <sheetName val="B S"/>
      <sheetName val="Sheet2"/>
      <sheetName val="DTPL"/>
      <sheetName val="Yield-backup"/>
      <sheetName val="Facility"/>
      <sheetName val="P L"/>
      <sheetName val="Cashflow"/>
      <sheetName val="deb"/>
      <sheetName val="MIS reports"/>
      <sheetName val="InfraTL-COB"/>
      <sheetName val="Fin_Cmmts"/>
      <sheetName val="Assumptions"/>
      <sheetName val="Cntrl Sheet"/>
      <sheetName val="Reversals"/>
      <sheetName val="Potential Reversal"/>
      <sheetName val="Interest"/>
      <sheetName val="Borrowing"/>
      <sheetName val="STAS"/>
      <sheetName val="Exposure Anx III"/>
      <sheetName val="Esti report"/>
      <sheetName val="Seg. report"/>
      <sheetName val="note_to_RP"/>
      <sheetName val="Bal"/>
      <sheetName val="prof"/>
      <sheetName val="Keyratios"/>
      <sheetName val="BOD BS"/>
      <sheetName val="Short Term"/>
      <sheetName val="Loan Back up"/>
      <sheetName val="BOD 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U"/>
      <sheetName val="Sheet4"/>
      <sheetName val="Actual Budget Comparison"/>
      <sheetName val="MD Review 1 "/>
      <sheetName val="Monthly MIS"/>
      <sheetName val="Monthly Budget"/>
      <sheetName val="Budget"/>
      <sheetName val="Data Input"/>
      <sheetName val="Executive Summary"/>
      <sheetName val="Sheet2"/>
      <sheetName val="Furnace Cost Report"/>
      <sheetName val="Furnace Cost Summary"/>
      <sheetName val="MD Review"/>
      <sheetName val="Furnace Cost Sum"/>
      <sheetName val="Chart1"/>
      <sheetName val="Chart2"/>
      <sheetName val="Chart3"/>
      <sheetName val="Sheet5"/>
      <sheetName val="Chart4"/>
      <sheetName val="Chart5"/>
      <sheetName val="REALISATION"/>
      <sheetName val="Dep Working"/>
      <sheetName val="T Codes"/>
      <sheetName val="Sheet1"/>
      <sheetName val="Sheet3"/>
    </sheetNames>
    <sheetDataSet>
      <sheetData sheetId="0"/>
      <sheetData sheetId="1"/>
      <sheetData sheetId="2"/>
      <sheetData sheetId="3"/>
      <sheetData sheetId="4"/>
      <sheetData sheetId="5"/>
      <sheetData sheetId="6"/>
      <sheetData sheetId="7">
        <row r="314">
          <cell r="U314">
            <v>41730</v>
          </cell>
          <cell r="V314">
            <v>41760</v>
          </cell>
          <cell r="W314">
            <v>41791</v>
          </cell>
          <cell r="X314">
            <v>41821</v>
          </cell>
          <cell r="Y314">
            <v>41852</v>
          </cell>
          <cell r="Z314">
            <v>41883</v>
          </cell>
          <cell r="AA314">
            <v>41913</v>
          </cell>
          <cell r="AB314">
            <v>41944</v>
          </cell>
          <cell r="AC314">
            <v>41974</v>
          </cell>
          <cell r="AD314">
            <v>42005</v>
          </cell>
          <cell r="AE314">
            <v>42036</v>
          </cell>
          <cell r="AF314">
            <v>42064</v>
          </cell>
        </row>
        <row r="315">
          <cell r="R315" t="str">
            <v>RSR</v>
          </cell>
          <cell r="S315" t="str">
            <v>LPG</v>
          </cell>
          <cell r="T315" t="str">
            <v>Qty</v>
          </cell>
          <cell r="U315">
            <v>312.11500000000001</v>
          </cell>
          <cell r="V315">
            <v>643.46900000000005</v>
          </cell>
          <cell r="W315">
            <v>951.33900000000006</v>
          </cell>
          <cell r="X315">
            <v>1251.6190000000001</v>
          </cell>
          <cell r="Y315">
            <v>1591.759</v>
          </cell>
          <cell r="Z315">
            <v>1975.759</v>
          </cell>
          <cell r="AA315">
            <v>2365.569</v>
          </cell>
          <cell r="AB315">
            <v>2752.7489999999998</v>
          </cell>
          <cell r="AC315">
            <v>3152.8609999999999</v>
          </cell>
          <cell r="AD315">
            <v>3152.8609999999999</v>
          </cell>
          <cell r="AE315">
            <v>3152.8609999999999</v>
          </cell>
          <cell r="AF315">
            <v>3152.8609999999999</v>
          </cell>
        </row>
        <row r="316">
          <cell r="R316" t="str">
            <v>RSR</v>
          </cell>
          <cell r="S316" t="str">
            <v>LPG</v>
          </cell>
          <cell r="T316" t="str">
            <v>Value</v>
          </cell>
          <cell r="U316">
            <v>219.30760475000002</v>
          </cell>
          <cell r="V316">
            <v>434.88983069000005</v>
          </cell>
          <cell r="W316">
            <v>630.95068279000009</v>
          </cell>
          <cell r="X316">
            <v>826.66117559000008</v>
          </cell>
          <cell r="Y316">
            <v>1047.4206411320001</v>
          </cell>
          <cell r="Z316">
            <v>1296.9206411320001</v>
          </cell>
          <cell r="AA316">
            <v>1546.4906411320001</v>
          </cell>
          <cell r="AB316">
            <v>1783.090641132</v>
          </cell>
          <cell r="AC316">
            <v>2003.270641132</v>
          </cell>
          <cell r="AD316">
            <v>2003.270641132</v>
          </cell>
          <cell r="AE316">
            <v>2003.270641132</v>
          </cell>
          <cell r="AF316">
            <v>2003.270641132</v>
          </cell>
        </row>
        <row r="317">
          <cell r="R317" t="str">
            <v>RSR</v>
          </cell>
          <cell r="S317" t="str">
            <v>LPG - ACL</v>
          </cell>
          <cell r="T317" t="str">
            <v>Qty</v>
          </cell>
          <cell r="U317">
            <v>72.349000000000004</v>
          </cell>
          <cell r="V317">
            <v>102.494</v>
          </cell>
          <cell r="W317">
            <v>102.494</v>
          </cell>
          <cell r="X317">
            <v>102.494</v>
          </cell>
          <cell r="Y317">
            <v>102.494</v>
          </cell>
          <cell r="Z317">
            <v>102.494</v>
          </cell>
          <cell r="AA317">
            <v>102.494</v>
          </cell>
          <cell r="AB317">
            <v>102.494</v>
          </cell>
          <cell r="AC317">
            <v>112.494</v>
          </cell>
          <cell r="AD317">
            <v>112.494</v>
          </cell>
          <cell r="AE317">
            <v>112.494</v>
          </cell>
          <cell r="AF317">
            <v>112.494</v>
          </cell>
        </row>
        <row r="318">
          <cell r="R318" t="str">
            <v>RSR</v>
          </cell>
          <cell r="S318" t="str">
            <v>LPG - ACL</v>
          </cell>
          <cell r="T318" t="str">
            <v>Value</v>
          </cell>
          <cell r="U318">
            <v>50.836024850000001</v>
          </cell>
          <cell r="V318">
            <v>70.448663299999993</v>
          </cell>
          <cell r="W318">
            <v>70.448663299999993</v>
          </cell>
          <cell r="X318">
            <v>70.448663299999993</v>
          </cell>
          <cell r="Y318">
            <v>70.448663299999993</v>
          </cell>
          <cell r="Z318">
            <v>70.448663299999993</v>
          </cell>
          <cell r="AA318">
            <v>70.448663299999993</v>
          </cell>
          <cell r="AB318">
            <v>70.448663299999993</v>
          </cell>
          <cell r="AC318">
            <v>75.948663299999993</v>
          </cell>
          <cell r="AD318">
            <v>75.948663299999993</v>
          </cell>
          <cell r="AE318">
            <v>75.948663299999993</v>
          </cell>
          <cell r="AF318">
            <v>75.948663299999993</v>
          </cell>
        </row>
        <row r="319">
          <cell r="R319" t="str">
            <v>RSR</v>
          </cell>
          <cell r="S319" t="str">
            <v>LNG</v>
          </cell>
          <cell r="T319" t="str">
            <v>Qty</v>
          </cell>
          <cell r="U319">
            <v>0</v>
          </cell>
          <cell r="V319">
            <v>0</v>
          </cell>
          <cell r="W319">
            <v>0</v>
          </cell>
          <cell r="X319">
            <v>0</v>
          </cell>
          <cell r="Y319">
            <v>0</v>
          </cell>
          <cell r="Z319">
            <v>0</v>
          </cell>
          <cell r="AA319">
            <v>0</v>
          </cell>
          <cell r="AB319">
            <v>0</v>
          </cell>
          <cell r="AC319">
            <v>0</v>
          </cell>
          <cell r="AD319">
            <v>0</v>
          </cell>
          <cell r="AE319">
            <v>0</v>
          </cell>
          <cell r="AF319">
            <v>0</v>
          </cell>
        </row>
        <row r="320">
          <cell r="R320" t="str">
            <v>RSR</v>
          </cell>
          <cell r="S320" t="str">
            <v>LNG</v>
          </cell>
          <cell r="T320" t="str">
            <v>Value</v>
          </cell>
          <cell r="U320">
            <v>0</v>
          </cell>
          <cell r="V320">
            <v>0</v>
          </cell>
          <cell r="W320">
            <v>0</v>
          </cell>
          <cell r="X320">
            <v>0</v>
          </cell>
          <cell r="Y320">
            <v>0</v>
          </cell>
          <cell r="Z320">
            <v>0</v>
          </cell>
          <cell r="AA320">
            <v>0</v>
          </cell>
          <cell r="AB320">
            <v>0</v>
          </cell>
          <cell r="AC320">
            <v>0</v>
          </cell>
          <cell r="AD320">
            <v>0</v>
          </cell>
          <cell r="AE320">
            <v>0</v>
          </cell>
          <cell r="AF320">
            <v>0</v>
          </cell>
        </row>
        <row r="321">
          <cell r="R321" t="str">
            <v>RSR</v>
          </cell>
          <cell r="S321" t="str">
            <v>PET FUEL</v>
          </cell>
          <cell r="T321" t="str">
            <v>Qty</v>
          </cell>
          <cell r="U321">
            <v>3474.9369999999999</v>
          </cell>
          <cell r="V321">
            <v>7152.8159999999998</v>
          </cell>
          <cell r="W321">
            <v>10518.433000000001</v>
          </cell>
          <cell r="X321">
            <v>14088.795000000002</v>
          </cell>
          <cell r="Y321">
            <v>17240.385000000002</v>
          </cell>
          <cell r="Z321">
            <v>20464.385000000002</v>
          </cell>
          <cell r="AA321">
            <v>24047.385000000002</v>
          </cell>
          <cell r="AB321">
            <v>26630.965000000004</v>
          </cell>
          <cell r="AC321">
            <v>29962.965000000004</v>
          </cell>
          <cell r="AD321">
            <v>29962.965000000004</v>
          </cell>
          <cell r="AE321">
            <v>29962.965000000004</v>
          </cell>
          <cell r="AF321">
            <v>29962.965000000004</v>
          </cell>
        </row>
        <row r="322">
          <cell r="R322" t="str">
            <v>RSR</v>
          </cell>
          <cell r="S322" t="str">
            <v>PET FUEL</v>
          </cell>
          <cell r="T322" t="str">
            <v>Value</v>
          </cell>
          <cell r="U322">
            <v>548.14829022000004</v>
          </cell>
          <cell r="V322">
            <v>1117.269033</v>
          </cell>
          <cell r="W322">
            <v>1614.2997174100001</v>
          </cell>
          <cell r="X322">
            <v>2128.8257866500003</v>
          </cell>
          <cell r="Y322">
            <v>2577.4085410500002</v>
          </cell>
          <cell r="Z322">
            <v>3036.7485410500003</v>
          </cell>
          <cell r="AA322">
            <v>3562.5485410500005</v>
          </cell>
          <cell r="AB322">
            <v>3948.8785410500004</v>
          </cell>
          <cell r="AC322">
            <v>4430.3385410500005</v>
          </cell>
          <cell r="AD322">
            <v>4430.3385410500005</v>
          </cell>
          <cell r="AE322">
            <v>4430.3385410500005</v>
          </cell>
          <cell r="AF322">
            <v>4430.3385410500005</v>
          </cell>
        </row>
        <row r="323">
          <cell r="R323" t="str">
            <v>RSR</v>
          </cell>
          <cell r="S323" t="str">
            <v>HSD</v>
          </cell>
          <cell r="T323" t="str">
            <v>Qty</v>
          </cell>
          <cell r="U323">
            <v>0</v>
          </cell>
          <cell r="V323">
            <v>0</v>
          </cell>
          <cell r="W323">
            <v>0</v>
          </cell>
          <cell r="X323">
            <v>0</v>
          </cell>
          <cell r="Y323">
            <v>0</v>
          </cell>
          <cell r="Z323">
            <v>0</v>
          </cell>
          <cell r="AA323">
            <v>0</v>
          </cell>
          <cell r="AB323">
            <v>0</v>
          </cell>
          <cell r="AC323">
            <v>0</v>
          </cell>
          <cell r="AD323">
            <v>0</v>
          </cell>
          <cell r="AE323">
            <v>0</v>
          </cell>
          <cell r="AF323">
            <v>0</v>
          </cell>
        </row>
        <row r="324">
          <cell r="R324" t="str">
            <v>RSR</v>
          </cell>
          <cell r="S324" t="str">
            <v>HSD</v>
          </cell>
          <cell r="T324" t="str">
            <v>Value</v>
          </cell>
          <cell r="U324">
            <v>15.697900000000001</v>
          </cell>
          <cell r="V324">
            <v>35.953008500000003</v>
          </cell>
          <cell r="W324">
            <v>52.812864900000001</v>
          </cell>
          <cell r="X324">
            <v>81.037659899999994</v>
          </cell>
          <cell r="Y324">
            <v>103.03765989999999</v>
          </cell>
          <cell r="Z324">
            <v>122.03765989999999</v>
          </cell>
          <cell r="AA324">
            <v>140.03765989999999</v>
          </cell>
          <cell r="AB324">
            <v>168.03765989999999</v>
          </cell>
          <cell r="AC324">
            <v>188.03765989999999</v>
          </cell>
          <cell r="AD324">
            <v>188.03765989999999</v>
          </cell>
          <cell r="AE324">
            <v>188.03765989999999</v>
          </cell>
          <cell r="AF324">
            <v>188.03765989999999</v>
          </cell>
        </row>
        <row r="325">
          <cell r="R325" t="str">
            <v>RSR</v>
          </cell>
          <cell r="S325" t="str">
            <v>Electricity ('1000 units)</v>
          </cell>
          <cell r="T325" t="str">
            <v>Qty</v>
          </cell>
          <cell r="U325">
            <v>7837.549</v>
          </cell>
          <cell r="V325">
            <v>16309.975999999999</v>
          </cell>
          <cell r="W325">
            <v>23987.464999999997</v>
          </cell>
          <cell r="X325">
            <v>31740.210999999996</v>
          </cell>
          <cell r="Y325">
            <v>39894.485999999997</v>
          </cell>
          <cell r="Z325">
            <v>48622.485999999997</v>
          </cell>
          <cell r="AA325">
            <v>57087.485999999997</v>
          </cell>
          <cell r="AB325">
            <v>65223.485999999997</v>
          </cell>
          <cell r="AC325">
            <v>73639.486000000004</v>
          </cell>
          <cell r="AD325">
            <v>73639.486000000004</v>
          </cell>
          <cell r="AE325">
            <v>73639.486000000004</v>
          </cell>
          <cell r="AF325">
            <v>73639.486000000004</v>
          </cell>
        </row>
        <row r="326">
          <cell r="R326" t="str">
            <v>RSR</v>
          </cell>
          <cell r="S326" t="str">
            <v>Electricity ('1000 units)</v>
          </cell>
          <cell r="T326" t="str">
            <v>Value</v>
          </cell>
          <cell r="U326">
            <v>503.17064579999999</v>
          </cell>
          <cell r="V326">
            <v>1046.3379407699999</v>
          </cell>
          <cell r="W326">
            <v>1541.84308083</v>
          </cell>
          <cell r="X326">
            <v>2042.2053076699999</v>
          </cell>
          <cell r="Y326">
            <v>2569.7869001700001</v>
          </cell>
          <cell r="Z326">
            <v>3133.8369001700003</v>
          </cell>
          <cell r="AA326">
            <v>3679.1469001700002</v>
          </cell>
          <cell r="AB326">
            <v>4202.6969001699999</v>
          </cell>
          <cell r="AC326">
            <v>4744.6869001699997</v>
          </cell>
          <cell r="AD326">
            <v>4744.6869001699997</v>
          </cell>
          <cell r="AE326">
            <v>4744.6869001699997</v>
          </cell>
          <cell r="AF326">
            <v>4744.6869001699997</v>
          </cell>
        </row>
        <row r="327">
          <cell r="R327" t="str">
            <v>RSR</v>
          </cell>
          <cell r="S327" t="str">
            <v>FURNACE OIL</v>
          </cell>
          <cell r="T327" t="str">
            <v>Qty</v>
          </cell>
          <cell r="U327">
            <v>26.97</v>
          </cell>
          <cell r="V327">
            <v>26.97</v>
          </cell>
          <cell r="W327">
            <v>26.97</v>
          </cell>
          <cell r="X327">
            <v>81.319999999999993</v>
          </cell>
          <cell r="Y327">
            <v>460.32</v>
          </cell>
          <cell r="Z327">
            <v>732.31999999999994</v>
          </cell>
          <cell r="AA327">
            <v>732.31999999999994</v>
          </cell>
          <cell r="AB327">
            <v>1496.8799999999999</v>
          </cell>
          <cell r="AC327">
            <v>1840.54</v>
          </cell>
          <cell r="AD327">
            <v>1840.54</v>
          </cell>
          <cell r="AE327">
            <v>1840.54</v>
          </cell>
          <cell r="AF327">
            <v>1840.54</v>
          </cell>
        </row>
        <row r="328">
          <cell r="R328" t="str">
            <v>RSR</v>
          </cell>
          <cell r="S328" t="str">
            <v>FURNACE OIL</v>
          </cell>
          <cell r="T328" t="str">
            <v>Value</v>
          </cell>
          <cell r="U328">
            <v>11.693160000000001</v>
          </cell>
          <cell r="V328">
            <v>11.693160000000001</v>
          </cell>
          <cell r="W328">
            <v>11.693160000000001</v>
          </cell>
          <cell r="X328">
            <v>34.916914999999996</v>
          </cell>
          <cell r="Y328">
            <v>194.97784744000001</v>
          </cell>
          <cell r="Z328">
            <v>309.97784744000001</v>
          </cell>
          <cell r="AA328">
            <v>309.97784744000001</v>
          </cell>
          <cell r="AB328">
            <v>603.81784743999992</v>
          </cell>
          <cell r="AC328">
            <v>716.04784743999994</v>
          </cell>
          <cell r="AD328">
            <v>716.04784743999994</v>
          </cell>
          <cell r="AE328">
            <v>716.04784743999994</v>
          </cell>
          <cell r="AF328">
            <v>716.04784743999994</v>
          </cell>
        </row>
        <row r="329">
          <cell r="R329" t="str">
            <v>RSR</v>
          </cell>
          <cell r="S329" t="str">
            <v>Price Difference</v>
          </cell>
          <cell r="T329" t="str">
            <v>Qty</v>
          </cell>
          <cell r="U329">
            <v>0</v>
          </cell>
          <cell r="V329">
            <v>0</v>
          </cell>
          <cell r="W329">
            <v>0</v>
          </cell>
          <cell r="X329">
            <v>0</v>
          </cell>
          <cell r="Y329">
            <v>0</v>
          </cell>
          <cell r="Z329">
            <v>0</v>
          </cell>
          <cell r="AA329">
            <v>0</v>
          </cell>
          <cell r="AB329">
            <v>0</v>
          </cell>
          <cell r="AC329">
            <v>0</v>
          </cell>
          <cell r="AD329">
            <v>0</v>
          </cell>
          <cell r="AE329">
            <v>0</v>
          </cell>
          <cell r="AF329">
            <v>0</v>
          </cell>
        </row>
        <row r="330">
          <cell r="R330" t="str">
            <v>RSR</v>
          </cell>
          <cell r="S330" t="str">
            <v>Price Difference</v>
          </cell>
          <cell r="T330" t="str">
            <v>Value</v>
          </cell>
          <cell r="U330">
            <v>0</v>
          </cell>
          <cell r="V330">
            <v>0</v>
          </cell>
          <cell r="W330">
            <v>0</v>
          </cell>
          <cell r="X330">
            <v>0</v>
          </cell>
          <cell r="Y330">
            <v>0</v>
          </cell>
          <cell r="Z330">
            <v>0</v>
          </cell>
          <cell r="AA330">
            <v>0</v>
          </cell>
          <cell r="AB330">
            <v>0</v>
          </cell>
          <cell r="AC330">
            <v>0</v>
          </cell>
          <cell r="AD330">
            <v>0</v>
          </cell>
          <cell r="AE330">
            <v>0</v>
          </cell>
          <cell r="AF330">
            <v>0</v>
          </cell>
        </row>
        <row r="332">
          <cell r="R332" t="str">
            <v>BGH</v>
          </cell>
          <cell r="S332" t="str">
            <v>LPG</v>
          </cell>
          <cell r="T332" t="str">
            <v>Qty</v>
          </cell>
          <cell r="U332">
            <v>412.25400000000002</v>
          </cell>
          <cell r="V332">
            <v>824.16399999999999</v>
          </cell>
          <cell r="W332">
            <v>1238.191</v>
          </cell>
          <cell r="X332">
            <v>1677.279</v>
          </cell>
          <cell r="Y332">
            <v>2149.192</v>
          </cell>
          <cell r="Z332">
            <v>2611.663</v>
          </cell>
          <cell r="AA332">
            <v>3157.549</v>
          </cell>
          <cell r="AB332">
            <v>3698.4090000000001</v>
          </cell>
          <cell r="AC332">
            <v>4252.5889999999999</v>
          </cell>
          <cell r="AD332">
            <v>4252.5889999999999</v>
          </cell>
          <cell r="AE332">
            <v>4252.5889999999999</v>
          </cell>
          <cell r="AF332">
            <v>4252.5889999999999</v>
          </cell>
        </row>
        <row r="333">
          <cell r="R333" t="str">
            <v>BGH</v>
          </cell>
          <cell r="S333" t="str">
            <v>LPG</v>
          </cell>
          <cell r="T333" t="str">
            <v>Value</v>
          </cell>
          <cell r="U333">
            <v>295.83</v>
          </cell>
          <cell r="V333">
            <v>535.75</v>
          </cell>
          <cell r="W333">
            <v>778.35</v>
          </cell>
          <cell r="X333">
            <v>1041.19</v>
          </cell>
          <cell r="Y333">
            <v>1312.38</v>
          </cell>
          <cell r="Z333">
            <v>1592.95</v>
          </cell>
          <cell r="AA333">
            <v>1909.8700000000001</v>
          </cell>
          <cell r="AB333">
            <v>2195.12</v>
          </cell>
          <cell r="AC333">
            <v>2493.08</v>
          </cell>
          <cell r="AD333">
            <v>2493.08</v>
          </cell>
          <cell r="AE333">
            <v>2493.08</v>
          </cell>
          <cell r="AF333">
            <v>2493.08</v>
          </cell>
        </row>
        <row r="334">
          <cell r="R334" t="str">
            <v>BGH</v>
          </cell>
          <cell r="S334" t="str">
            <v>LPG - ACL</v>
          </cell>
          <cell r="T334" t="str">
            <v>Qty</v>
          </cell>
          <cell r="U334">
            <v>61.363999999999997</v>
          </cell>
          <cell r="V334">
            <v>92.441000000000003</v>
          </cell>
          <cell r="W334">
            <v>124.342</v>
          </cell>
          <cell r="X334">
            <v>124.342</v>
          </cell>
          <cell r="Y334">
            <v>134.41900000000001</v>
          </cell>
          <cell r="Z334">
            <v>158.51900000000001</v>
          </cell>
          <cell r="AA334">
            <v>204.595</v>
          </cell>
          <cell r="AB334">
            <v>270.14999999999998</v>
          </cell>
          <cell r="AC334">
            <v>340.44099999999997</v>
          </cell>
          <cell r="AD334">
            <v>340.44099999999997</v>
          </cell>
          <cell r="AE334">
            <v>340.44099999999997</v>
          </cell>
          <cell r="AF334">
            <v>340.44099999999997</v>
          </cell>
        </row>
        <row r="335">
          <cell r="R335" t="str">
            <v>BGH</v>
          </cell>
          <cell r="S335" t="str">
            <v>LPG - ACL</v>
          </cell>
          <cell r="T335" t="str">
            <v>Value</v>
          </cell>
          <cell r="U335">
            <v>36.61</v>
          </cell>
          <cell r="V335">
            <v>54.71</v>
          </cell>
          <cell r="W335">
            <v>73.400000000000006</v>
          </cell>
          <cell r="X335">
            <v>73.400000000000006</v>
          </cell>
          <cell r="Y335">
            <v>79.47</v>
          </cell>
          <cell r="Z335">
            <v>94.09</v>
          </cell>
          <cell r="AA335">
            <v>121.48</v>
          </cell>
          <cell r="AB335">
            <v>157.03</v>
          </cell>
          <cell r="AC335">
            <v>195.8</v>
          </cell>
          <cell r="AD335">
            <v>195.8</v>
          </cell>
          <cell r="AE335">
            <v>195.8</v>
          </cell>
          <cell r="AF335">
            <v>195.8</v>
          </cell>
        </row>
        <row r="336">
          <cell r="R336" t="str">
            <v>BGH</v>
          </cell>
          <cell r="S336" t="str">
            <v>LNG</v>
          </cell>
          <cell r="T336" t="str">
            <v>Qty</v>
          </cell>
          <cell r="U336">
            <v>0</v>
          </cell>
          <cell r="V336">
            <v>0</v>
          </cell>
          <cell r="W336">
            <v>0</v>
          </cell>
          <cell r="X336">
            <v>0</v>
          </cell>
          <cell r="Y336">
            <v>0</v>
          </cell>
          <cell r="Z336">
            <v>0</v>
          </cell>
          <cell r="AA336">
            <v>0</v>
          </cell>
          <cell r="AB336">
            <v>0</v>
          </cell>
          <cell r="AC336">
            <v>0</v>
          </cell>
          <cell r="AD336">
            <v>0</v>
          </cell>
          <cell r="AE336">
            <v>0</v>
          </cell>
          <cell r="AF336">
            <v>0</v>
          </cell>
        </row>
        <row r="337">
          <cell r="R337" t="str">
            <v>BGH</v>
          </cell>
          <cell r="S337" t="str">
            <v>LNG</v>
          </cell>
          <cell r="T337" t="str">
            <v>Value</v>
          </cell>
          <cell r="U337">
            <v>0</v>
          </cell>
          <cell r="V337">
            <v>0</v>
          </cell>
          <cell r="W337">
            <v>0</v>
          </cell>
          <cell r="X337">
            <v>0</v>
          </cell>
          <cell r="Y337">
            <v>0</v>
          </cell>
          <cell r="Z337">
            <v>0</v>
          </cell>
          <cell r="AA337">
            <v>0</v>
          </cell>
          <cell r="AB337">
            <v>0</v>
          </cell>
          <cell r="AC337">
            <v>0</v>
          </cell>
          <cell r="AD337">
            <v>0</v>
          </cell>
          <cell r="AE337">
            <v>0</v>
          </cell>
          <cell r="AF337">
            <v>0</v>
          </cell>
        </row>
        <row r="338">
          <cell r="R338" t="str">
            <v>BGH</v>
          </cell>
          <cell r="S338" t="str">
            <v>PET FUEL</v>
          </cell>
          <cell r="T338" t="str">
            <v>Qty</v>
          </cell>
          <cell r="U338">
            <v>2464.73</v>
          </cell>
          <cell r="V338">
            <v>5043.0300000000007</v>
          </cell>
          <cell r="W338">
            <v>7608.2340000000004</v>
          </cell>
          <cell r="X338">
            <v>10401.789000000001</v>
          </cell>
          <cell r="Y338">
            <v>13041.881000000001</v>
          </cell>
          <cell r="Z338">
            <v>15663.692000000001</v>
          </cell>
          <cell r="AA338">
            <v>18436.925000000003</v>
          </cell>
          <cell r="AB338">
            <v>21125.355000000003</v>
          </cell>
          <cell r="AC338">
            <v>23989.774000000005</v>
          </cell>
          <cell r="AD338">
            <v>23989.774000000005</v>
          </cell>
          <cell r="AE338">
            <v>23989.774000000005</v>
          </cell>
          <cell r="AF338">
            <v>23989.774000000005</v>
          </cell>
        </row>
        <row r="339">
          <cell r="R339" t="str">
            <v>BGH</v>
          </cell>
          <cell r="S339" t="str">
            <v>PET FUEL</v>
          </cell>
          <cell r="T339" t="str">
            <v>Value</v>
          </cell>
          <cell r="U339">
            <v>366.51</v>
          </cell>
          <cell r="V339">
            <v>774.13</v>
          </cell>
          <cell r="W339">
            <v>1258.97</v>
          </cell>
          <cell r="X339">
            <v>1739.23</v>
          </cell>
          <cell r="Y339">
            <v>2180.04</v>
          </cell>
          <cell r="Z339">
            <v>2566.7600000000002</v>
          </cell>
          <cell r="AA339">
            <v>2979.25</v>
          </cell>
          <cell r="AB339">
            <v>3390.13</v>
          </cell>
          <cell r="AC339">
            <v>3815.58</v>
          </cell>
          <cell r="AD339">
            <v>3815.58</v>
          </cell>
          <cell r="AE339">
            <v>3815.58</v>
          </cell>
          <cell r="AF339">
            <v>3815.58</v>
          </cell>
        </row>
        <row r="340">
          <cell r="R340" t="str">
            <v>BGH</v>
          </cell>
          <cell r="S340" t="str">
            <v>HSD</v>
          </cell>
          <cell r="T340" t="str">
            <v>Qty</v>
          </cell>
          <cell r="U340">
            <v>60.853999999999999</v>
          </cell>
          <cell r="V340">
            <v>123.211</v>
          </cell>
          <cell r="W340">
            <v>183.76599999999999</v>
          </cell>
          <cell r="X340">
            <v>247.45599999999999</v>
          </cell>
          <cell r="Y340">
            <v>308.58100000000002</v>
          </cell>
          <cell r="Z340">
            <v>364.31200000000001</v>
          </cell>
          <cell r="AA340">
            <v>364.31200000000001</v>
          </cell>
          <cell r="AB340">
            <v>364.31200000000001</v>
          </cell>
          <cell r="AC340">
            <v>364.31200000000001</v>
          </cell>
          <cell r="AD340">
            <v>364.31200000000001</v>
          </cell>
          <cell r="AE340">
            <v>364.31200000000001</v>
          </cell>
          <cell r="AF340">
            <v>364.31200000000001</v>
          </cell>
        </row>
        <row r="341">
          <cell r="R341" t="str">
            <v>BGH</v>
          </cell>
          <cell r="S341" t="str">
            <v>HSD</v>
          </cell>
          <cell r="T341" t="str">
            <v>Value</v>
          </cell>
          <cell r="U341">
            <v>36.31</v>
          </cell>
          <cell r="V341">
            <v>72.63</v>
          </cell>
          <cell r="W341">
            <v>108.1</v>
          </cell>
          <cell r="X341">
            <v>146.22</v>
          </cell>
          <cell r="Y341">
            <v>183.06</v>
          </cell>
          <cell r="Z341">
            <v>216.87</v>
          </cell>
          <cell r="AA341">
            <v>216.87</v>
          </cell>
          <cell r="AB341">
            <v>216.87</v>
          </cell>
          <cell r="AC341">
            <v>216.87</v>
          </cell>
          <cell r="AD341">
            <v>216.87</v>
          </cell>
          <cell r="AE341">
            <v>216.87</v>
          </cell>
          <cell r="AF341">
            <v>216.87</v>
          </cell>
        </row>
        <row r="342">
          <cell r="R342" t="str">
            <v>BGH</v>
          </cell>
          <cell r="S342" t="str">
            <v>Electricity ('1000 units)</v>
          </cell>
          <cell r="T342" t="str">
            <v>Qty</v>
          </cell>
          <cell r="U342">
            <v>8401.7080000000005</v>
          </cell>
          <cell r="V342">
            <v>17153.887999999999</v>
          </cell>
          <cell r="W342">
            <v>25687.47</v>
          </cell>
          <cell r="X342">
            <v>34679.361000000004</v>
          </cell>
          <cell r="Y342">
            <v>43952.191000000006</v>
          </cell>
          <cell r="Z342">
            <v>52761.251000000004</v>
          </cell>
          <cell r="AA342">
            <v>61401.73</v>
          </cell>
          <cell r="AB342">
            <v>69764.63</v>
          </cell>
          <cell r="AC342">
            <v>79215.290000000008</v>
          </cell>
          <cell r="AD342">
            <v>79215.290000000008</v>
          </cell>
          <cell r="AE342">
            <v>79215.290000000008</v>
          </cell>
          <cell r="AF342">
            <v>79215.290000000008</v>
          </cell>
        </row>
        <row r="343">
          <cell r="R343" t="str">
            <v>BGH</v>
          </cell>
          <cell r="S343" t="str">
            <v>Electricity ('1000 units)</v>
          </cell>
          <cell r="T343" t="str">
            <v>Value</v>
          </cell>
          <cell r="U343">
            <v>439.36</v>
          </cell>
          <cell r="V343">
            <v>1205.76</v>
          </cell>
          <cell r="W343">
            <v>1821.83</v>
          </cell>
          <cell r="X343">
            <v>2436.1099999999997</v>
          </cell>
          <cell r="Y343">
            <v>3084.16</v>
          </cell>
          <cell r="Z343">
            <v>3730.8199999999997</v>
          </cell>
          <cell r="AA343">
            <v>4340.08</v>
          </cell>
          <cell r="AB343">
            <v>4868.71</v>
          </cell>
          <cell r="AC343">
            <v>5513.6</v>
          </cell>
          <cell r="AD343">
            <v>5513.6</v>
          </cell>
          <cell r="AE343">
            <v>5513.6</v>
          </cell>
          <cell r="AF343">
            <v>5513.6</v>
          </cell>
        </row>
        <row r="344">
          <cell r="R344" t="str">
            <v>BGH</v>
          </cell>
          <cell r="S344" t="str">
            <v>FURNACE OIL</v>
          </cell>
          <cell r="T344" t="str">
            <v>Qty</v>
          </cell>
          <cell r="U344">
            <v>28.67</v>
          </cell>
          <cell r="V344">
            <v>175.70999999999998</v>
          </cell>
          <cell r="W344">
            <v>367.20399999999995</v>
          </cell>
          <cell r="X344">
            <v>383.12999999999994</v>
          </cell>
          <cell r="Y344">
            <v>535.91999999999996</v>
          </cell>
          <cell r="Z344">
            <v>586.27499999999998</v>
          </cell>
          <cell r="AA344">
            <v>615.49900000000002</v>
          </cell>
          <cell r="AB344">
            <v>621.72900000000004</v>
          </cell>
          <cell r="AC344">
            <v>621.72900000000004</v>
          </cell>
          <cell r="AD344">
            <v>621.72900000000004</v>
          </cell>
          <cell r="AE344">
            <v>621.72900000000004</v>
          </cell>
          <cell r="AF344">
            <v>621.72900000000004</v>
          </cell>
        </row>
        <row r="345">
          <cell r="R345" t="str">
            <v>BGH</v>
          </cell>
          <cell r="S345" t="str">
            <v>FURNACE OIL</v>
          </cell>
          <cell r="T345" t="str">
            <v>Value</v>
          </cell>
          <cell r="U345">
            <v>11.87</v>
          </cell>
          <cell r="V345">
            <v>73.92</v>
          </cell>
          <cell r="W345">
            <v>154.26999999999998</v>
          </cell>
          <cell r="X345">
            <v>160.98999999999998</v>
          </cell>
          <cell r="Y345">
            <v>225.33999999999997</v>
          </cell>
          <cell r="Z345">
            <v>246.43999999999997</v>
          </cell>
          <cell r="AA345">
            <v>252.68999999999997</v>
          </cell>
          <cell r="AB345">
            <v>255.29999999999998</v>
          </cell>
          <cell r="AC345">
            <v>255.29999999999998</v>
          </cell>
          <cell r="AD345">
            <v>255.29999999999998</v>
          </cell>
          <cell r="AE345">
            <v>255.29999999999998</v>
          </cell>
          <cell r="AF345">
            <v>255.29999999999998</v>
          </cell>
        </row>
        <row r="346">
          <cell r="R346" t="str">
            <v>BGH</v>
          </cell>
          <cell r="S346" t="str">
            <v>Price Difference</v>
          </cell>
          <cell r="T346" t="str">
            <v>Qty</v>
          </cell>
          <cell r="U346">
            <v>0</v>
          </cell>
          <cell r="V346">
            <v>0</v>
          </cell>
          <cell r="W346">
            <v>0</v>
          </cell>
          <cell r="X346">
            <v>0</v>
          </cell>
          <cell r="Y346">
            <v>61.125</v>
          </cell>
          <cell r="Z346">
            <v>61.125</v>
          </cell>
          <cell r="AA346">
            <v>61.125</v>
          </cell>
          <cell r="AB346">
            <v>61.125</v>
          </cell>
          <cell r="AC346">
            <v>61.125</v>
          </cell>
          <cell r="AD346">
            <v>61.125</v>
          </cell>
          <cell r="AE346">
            <v>61.125</v>
          </cell>
          <cell r="AF346">
            <v>61.125</v>
          </cell>
        </row>
        <row r="347">
          <cell r="R347" t="str">
            <v>BGH</v>
          </cell>
          <cell r="S347" t="str">
            <v>Price Difference</v>
          </cell>
          <cell r="T347" t="str">
            <v>Value</v>
          </cell>
          <cell r="U347">
            <v>0.42</v>
          </cell>
          <cell r="V347">
            <v>0.42</v>
          </cell>
          <cell r="W347">
            <v>0.42</v>
          </cell>
          <cell r="X347">
            <v>0.42</v>
          </cell>
          <cell r="Y347">
            <v>-36.42</v>
          </cell>
          <cell r="Z347">
            <v>-40.870000000000005</v>
          </cell>
          <cell r="AA347">
            <v>-40.870000000000005</v>
          </cell>
          <cell r="AB347">
            <v>-54.970000000000006</v>
          </cell>
          <cell r="AC347">
            <v>-54.970000000000006</v>
          </cell>
          <cell r="AD347">
            <v>-54.970000000000006</v>
          </cell>
          <cell r="AE347">
            <v>-54.970000000000006</v>
          </cell>
          <cell r="AF347">
            <v>-54.970000000000006</v>
          </cell>
        </row>
        <row r="349">
          <cell r="R349" t="str">
            <v>RSK</v>
          </cell>
          <cell r="S349" t="str">
            <v>LPG</v>
          </cell>
          <cell r="T349" t="str">
            <v>Qty</v>
          </cell>
          <cell r="U349">
            <v>102.21600000000001</v>
          </cell>
          <cell r="V349">
            <v>209.452</v>
          </cell>
          <cell r="W349">
            <v>331.82799999999997</v>
          </cell>
          <cell r="X349">
            <v>470.98799999999994</v>
          </cell>
          <cell r="Y349">
            <v>596.5</v>
          </cell>
          <cell r="Z349">
            <v>723.99800000000005</v>
          </cell>
          <cell r="AA349">
            <v>872.32400000000007</v>
          </cell>
          <cell r="AB349">
            <v>1016.6320000000001</v>
          </cell>
          <cell r="AC349">
            <v>1157.1880000000001</v>
          </cell>
          <cell r="AD349">
            <v>1157.1880000000001</v>
          </cell>
          <cell r="AE349">
            <v>1157.1880000000001</v>
          </cell>
          <cell r="AF349">
            <v>1157.1880000000001</v>
          </cell>
        </row>
        <row r="350">
          <cell r="R350" t="str">
            <v>RSK</v>
          </cell>
          <cell r="S350" t="str">
            <v>LPG</v>
          </cell>
          <cell r="T350" t="str">
            <v>Value</v>
          </cell>
          <cell r="U350">
            <v>80.34</v>
          </cell>
          <cell r="V350">
            <v>159.37</v>
          </cell>
          <cell r="W350">
            <v>245.39000000000001</v>
          </cell>
          <cell r="X350">
            <v>344.46000000000004</v>
          </cell>
          <cell r="Y350">
            <v>433.72</v>
          </cell>
          <cell r="Z350">
            <v>520.49</v>
          </cell>
          <cell r="AA350">
            <v>620.98</v>
          </cell>
          <cell r="AB350">
            <v>716.63</v>
          </cell>
          <cell r="AC350">
            <v>800.67</v>
          </cell>
          <cell r="AD350">
            <v>800.67</v>
          </cell>
          <cell r="AE350">
            <v>800.67</v>
          </cell>
          <cell r="AF350">
            <v>800.67</v>
          </cell>
        </row>
        <row r="351">
          <cell r="R351" t="str">
            <v>RSK</v>
          </cell>
          <cell r="S351" t="str">
            <v>LPG - ACL</v>
          </cell>
          <cell r="T351" t="str">
            <v>Qty</v>
          </cell>
          <cell r="U351">
            <v>0</v>
          </cell>
          <cell r="V351">
            <v>0</v>
          </cell>
          <cell r="W351">
            <v>0</v>
          </cell>
          <cell r="X351">
            <v>0</v>
          </cell>
          <cell r="Y351">
            <v>0</v>
          </cell>
          <cell r="Z351">
            <v>0</v>
          </cell>
          <cell r="AA351">
            <v>0</v>
          </cell>
          <cell r="AB351">
            <v>0</v>
          </cell>
          <cell r="AC351">
            <v>0</v>
          </cell>
          <cell r="AD351">
            <v>0</v>
          </cell>
          <cell r="AE351">
            <v>0</v>
          </cell>
          <cell r="AF351">
            <v>0</v>
          </cell>
        </row>
        <row r="352">
          <cell r="R352" t="str">
            <v>RSK</v>
          </cell>
          <cell r="S352" t="str">
            <v>LPG - ACL</v>
          </cell>
          <cell r="T352" t="str">
            <v>Value</v>
          </cell>
          <cell r="U352">
            <v>0</v>
          </cell>
          <cell r="V352">
            <v>0</v>
          </cell>
          <cell r="W352">
            <v>0</v>
          </cell>
          <cell r="X352">
            <v>0</v>
          </cell>
          <cell r="Y352">
            <v>0</v>
          </cell>
          <cell r="Z352">
            <v>0</v>
          </cell>
          <cell r="AA352">
            <v>0</v>
          </cell>
          <cell r="AB352">
            <v>0</v>
          </cell>
          <cell r="AC352">
            <v>0</v>
          </cell>
          <cell r="AD352">
            <v>0</v>
          </cell>
          <cell r="AE352">
            <v>0</v>
          </cell>
          <cell r="AF352">
            <v>0</v>
          </cell>
        </row>
        <row r="353">
          <cell r="R353" t="str">
            <v>RSK</v>
          </cell>
          <cell r="S353" t="str">
            <v>LNG</v>
          </cell>
          <cell r="T353" t="str">
            <v>Qty</v>
          </cell>
          <cell r="U353">
            <v>0</v>
          </cell>
          <cell r="V353">
            <v>0</v>
          </cell>
          <cell r="W353">
            <v>0</v>
          </cell>
          <cell r="X353">
            <v>0</v>
          </cell>
          <cell r="Y353">
            <v>0</v>
          </cell>
          <cell r="Z353">
            <v>0</v>
          </cell>
          <cell r="AA353">
            <v>0</v>
          </cell>
          <cell r="AB353">
            <v>0</v>
          </cell>
          <cell r="AC353">
            <v>0</v>
          </cell>
          <cell r="AD353">
            <v>0</v>
          </cell>
          <cell r="AE353">
            <v>0</v>
          </cell>
          <cell r="AF353">
            <v>0</v>
          </cell>
        </row>
        <row r="354">
          <cell r="R354" t="str">
            <v>RSK</v>
          </cell>
          <cell r="S354" t="str">
            <v>LNG</v>
          </cell>
          <cell r="T354" t="str">
            <v>Value</v>
          </cell>
          <cell r="U354">
            <v>0</v>
          </cell>
          <cell r="V354">
            <v>0</v>
          </cell>
          <cell r="W354">
            <v>0</v>
          </cell>
          <cell r="X354">
            <v>0</v>
          </cell>
          <cell r="Y354">
            <v>0</v>
          </cell>
          <cell r="Z354">
            <v>0</v>
          </cell>
          <cell r="AA354">
            <v>0</v>
          </cell>
          <cell r="AB354">
            <v>0</v>
          </cell>
          <cell r="AC354">
            <v>0</v>
          </cell>
          <cell r="AD354">
            <v>0</v>
          </cell>
          <cell r="AE354">
            <v>0</v>
          </cell>
          <cell r="AF354">
            <v>0</v>
          </cell>
        </row>
        <row r="355">
          <cell r="R355" t="str">
            <v>RSK</v>
          </cell>
          <cell r="S355" t="str">
            <v>PET FUEL</v>
          </cell>
          <cell r="T355" t="str">
            <v>Qty</v>
          </cell>
          <cell r="U355">
            <v>1215.0739999999998</v>
          </cell>
          <cell r="V355">
            <v>2486.3989999999999</v>
          </cell>
          <cell r="W355">
            <v>3674.674</v>
          </cell>
          <cell r="X355">
            <v>4948.4040000000005</v>
          </cell>
          <cell r="Y355">
            <v>6112.8540000000003</v>
          </cell>
          <cell r="Z355">
            <v>7383.3040000000001</v>
          </cell>
          <cell r="AA355">
            <v>8955.3539999999994</v>
          </cell>
          <cell r="AB355">
            <v>10323.353999999999</v>
          </cell>
          <cell r="AC355">
            <v>11840.353999999999</v>
          </cell>
          <cell r="AD355">
            <v>11840.353999999999</v>
          </cell>
          <cell r="AE355">
            <v>11840.353999999999</v>
          </cell>
          <cell r="AF355">
            <v>11840.353999999999</v>
          </cell>
        </row>
        <row r="356">
          <cell r="R356" t="str">
            <v>RSK</v>
          </cell>
          <cell r="S356" t="str">
            <v>PET FUEL</v>
          </cell>
          <cell r="T356" t="str">
            <v>Value</v>
          </cell>
          <cell r="U356">
            <v>177.46</v>
          </cell>
          <cell r="V356">
            <v>357.32</v>
          </cell>
          <cell r="W356">
            <v>522.33000000000004</v>
          </cell>
          <cell r="X356">
            <v>699.02</v>
          </cell>
          <cell r="Y356">
            <v>862.68</v>
          </cell>
          <cell r="Z356">
            <v>1028.56</v>
          </cell>
          <cell r="AA356">
            <v>1246.1399999999999</v>
          </cell>
          <cell r="AB356">
            <v>1438.1299999999999</v>
          </cell>
          <cell r="AC356">
            <v>1614.6899999999998</v>
          </cell>
          <cell r="AD356">
            <v>1614.6899999999998</v>
          </cell>
          <cell r="AE356">
            <v>1614.6899999999998</v>
          </cell>
          <cell r="AF356">
            <v>1614.6899999999998</v>
          </cell>
        </row>
        <row r="357">
          <cell r="R357" t="str">
            <v>RSK</v>
          </cell>
          <cell r="S357" t="str">
            <v>HSD</v>
          </cell>
          <cell r="T357" t="str">
            <v>Qty</v>
          </cell>
          <cell r="U357">
            <v>3.1269999999999998</v>
          </cell>
          <cell r="V357">
            <v>7.0369999999999999</v>
          </cell>
          <cell r="W357">
            <v>19.266999999999999</v>
          </cell>
          <cell r="X357">
            <v>50.197000000000003</v>
          </cell>
          <cell r="Y357">
            <v>70.537000000000006</v>
          </cell>
          <cell r="Z357">
            <v>121.92700000000001</v>
          </cell>
          <cell r="AA357">
            <v>147.649</v>
          </cell>
          <cell r="AB357">
            <v>151.53700000000001</v>
          </cell>
          <cell r="AC357">
            <v>159.952</v>
          </cell>
          <cell r="AD357">
            <v>159.952</v>
          </cell>
          <cell r="AE357">
            <v>159.952</v>
          </cell>
          <cell r="AF357">
            <v>159.952</v>
          </cell>
        </row>
        <row r="358">
          <cell r="R358" t="str">
            <v>RSK</v>
          </cell>
          <cell r="S358" t="str">
            <v>HSD</v>
          </cell>
          <cell r="T358" t="str">
            <v>Value</v>
          </cell>
          <cell r="U358">
            <v>1.76</v>
          </cell>
          <cell r="V358">
            <v>3.96</v>
          </cell>
          <cell r="W358">
            <v>10.76</v>
          </cell>
          <cell r="X358">
            <v>27.79</v>
          </cell>
          <cell r="Y358">
            <v>39.019999999999996</v>
          </cell>
          <cell r="Z358">
            <v>66.61</v>
          </cell>
          <cell r="AA358">
            <v>80.06</v>
          </cell>
          <cell r="AB358">
            <v>82.11</v>
          </cell>
          <cell r="AC358">
            <v>86.52</v>
          </cell>
          <cell r="AD358">
            <v>86.52</v>
          </cell>
          <cell r="AE358">
            <v>86.52</v>
          </cell>
          <cell r="AF358">
            <v>86.52</v>
          </cell>
        </row>
        <row r="359">
          <cell r="R359" t="str">
            <v>RSK</v>
          </cell>
          <cell r="S359" t="str">
            <v>Electricity ('1000 units)</v>
          </cell>
          <cell r="T359" t="str">
            <v>Qty</v>
          </cell>
          <cell r="U359">
            <v>3745.2</v>
          </cell>
          <cell r="V359">
            <v>7433.7999999999993</v>
          </cell>
          <cell r="W359">
            <v>11079.599999999999</v>
          </cell>
          <cell r="X359">
            <v>15116.999999999998</v>
          </cell>
          <cell r="Y359">
            <v>19294.936999999998</v>
          </cell>
          <cell r="Z359">
            <v>23480.805999999997</v>
          </cell>
          <cell r="AA359">
            <v>28589.805999999997</v>
          </cell>
          <cell r="AB359">
            <v>33169.606</v>
          </cell>
          <cell r="AC359">
            <v>37589.606</v>
          </cell>
          <cell r="AD359">
            <v>37589.606</v>
          </cell>
          <cell r="AE359">
            <v>37589.606</v>
          </cell>
          <cell r="AF359">
            <v>37589.606</v>
          </cell>
        </row>
        <row r="360">
          <cell r="R360" t="str">
            <v>RSK</v>
          </cell>
          <cell r="S360" t="str">
            <v>Electricity ('1000 units)</v>
          </cell>
          <cell r="T360" t="str">
            <v>Value</v>
          </cell>
          <cell r="U360">
            <v>196.77</v>
          </cell>
          <cell r="V360">
            <v>382.14</v>
          </cell>
          <cell r="W360">
            <v>560.27</v>
          </cell>
          <cell r="X360">
            <v>764.71</v>
          </cell>
          <cell r="Y360">
            <v>977.23</v>
          </cell>
          <cell r="Z360">
            <v>1189.78</v>
          </cell>
          <cell r="AA360">
            <v>1464.27</v>
          </cell>
          <cell r="AB360">
            <v>1694.96</v>
          </cell>
          <cell r="AC360">
            <v>1929.89</v>
          </cell>
          <cell r="AD360">
            <v>1929.89</v>
          </cell>
          <cell r="AE360">
            <v>1929.89</v>
          </cell>
          <cell r="AF360">
            <v>1929.89</v>
          </cell>
        </row>
        <row r="361">
          <cell r="R361" t="str">
            <v>RSK</v>
          </cell>
          <cell r="S361" t="str">
            <v>FURNACE OIL</v>
          </cell>
          <cell r="T361" t="str">
            <v>Qty</v>
          </cell>
          <cell r="U361">
            <v>175.96299999999997</v>
          </cell>
          <cell r="V361">
            <v>288.85199999999998</v>
          </cell>
          <cell r="W361">
            <v>429.08</v>
          </cell>
          <cell r="X361">
            <v>553.30999999999995</v>
          </cell>
          <cell r="Y361">
            <v>716.13499999999999</v>
          </cell>
          <cell r="Z361">
            <v>829.97399999999993</v>
          </cell>
          <cell r="AA361">
            <v>857.7109999999999</v>
          </cell>
          <cell r="AB361">
            <v>897.09899999999993</v>
          </cell>
          <cell r="AC361">
            <v>969.12899999999991</v>
          </cell>
          <cell r="AD361">
            <v>969.12899999999991</v>
          </cell>
          <cell r="AE361">
            <v>969.12899999999991</v>
          </cell>
          <cell r="AF361">
            <v>969.12899999999991</v>
          </cell>
        </row>
        <row r="362">
          <cell r="R362" t="str">
            <v>RSK</v>
          </cell>
          <cell r="S362" t="str">
            <v>FURNACE OIL</v>
          </cell>
          <cell r="T362" t="str">
            <v>Value</v>
          </cell>
          <cell r="U362">
            <v>78.100000000000009</v>
          </cell>
          <cell r="V362">
            <v>134.85000000000002</v>
          </cell>
          <cell r="W362">
            <v>205.41000000000003</v>
          </cell>
          <cell r="X362">
            <v>267.90000000000003</v>
          </cell>
          <cell r="Y362">
            <v>349.32000000000005</v>
          </cell>
          <cell r="Z362">
            <v>401.90000000000003</v>
          </cell>
          <cell r="AA362">
            <v>414.93000000000006</v>
          </cell>
          <cell r="AB362">
            <v>432.99000000000007</v>
          </cell>
          <cell r="AC362">
            <v>465.6400000000001</v>
          </cell>
          <cell r="AD362">
            <v>465.6400000000001</v>
          </cell>
          <cell r="AE362">
            <v>465.6400000000001</v>
          </cell>
          <cell r="AF362">
            <v>465.6400000000001</v>
          </cell>
        </row>
        <row r="363">
          <cell r="R363" t="str">
            <v>RSK</v>
          </cell>
          <cell r="S363" t="str">
            <v>Price Difference</v>
          </cell>
          <cell r="T363" t="str">
            <v>Qty</v>
          </cell>
          <cell r="U363">
            <v>0</v>
          </cell>
          <cell r="V363">
            <v>0</v>
          </cell>
          <cell r="W363">
            <v>0</v>
          </cell>
          <cell r="X363">
            <v>0</v>
          </cell>
          <cell r="Y363">
            <v>0</v>
          </cell>
          <cell r="Z363">
            <v>0</v>
          </cell>
          <cell r="AA363">
            <v>0</v>
          </cell>
          <cell r="AB363">
            <v>0</v>
          </cell>
          <cell r="AC363">
            <v>0</v>
          </cell>
          <cell r="AD363">
            <v>0</v>
          </cell>
          <cell r="AE363">
            <v>0</v>
          </cell>
          <cell r="AF363">
            <v>0</v>
          </cell>
        </row>
        <row r="364">
          <cell r="R364" t="str">
            <v>RSK</v>
          </cell>
          <cell r="S364" t="str">
            <v>Price Difference</v>
          </cell>
          <cell r="T364" t="str">
            <v>Value</v>
          </cell>
          <cell r="U364">
            <v>0.95</v>
          </cell>
          <cell r="V364">
            <v>1.33</v>
          </cell>
          <cell r="W364">
            <v>2.3600000000000003</v>
          </cell>
          <cell r="X364">
            <v>3.6500000000000004</v>
          </cell>
          <cell r="Y364">
            <v>4.59</v>
          </cell>
          <cell r="Z364">
            <v>4.9799999999999995</v>
          </cell>
          <cell r="AA364">
            <v>5.89</v>
          </cell>
          <cell r="AB364">
            <v>6.42</v>
          </cell>
          <cell r="AC364">
            <v>7.47</v>
          </cell>
          <cell r="AD364">
            <v>7.47</v>
          </cell>
          <cell r="AE364">
            <v>7.47</v>
          </cell>
          <cell r="AF364">
            <v>7.47</v>
          </cell>
        </row>
        <row r="366">
          <cell r="R366" t="str">
            <v>PCH</v>
          </cell>
          <cell r="S366" t="str">
            <v>LPG</v>
          </cell>
          <cell r="T366" t="str">
            <v>Qty</v>
          </cell>
          <cell r="U366">
            <v>0</v>
          </cell>
          <cell r="V366">
            <v>0</v>
          </cell>
          <cell r="W366">
            <v>0</v>
          </cell>
          <cell r="X366">
            <v>0</v>
          </cell>
          <cell r="Y366">
            <v>0</v>
          </cell>
          <cell r="Z366">
            <v>0</v>
          </cell>
          <cell r="AA366">
            <v>103.21</v>
          </cell>
          <cell r="AB366">
            <v>218.62</v>
          </cell>
          <cell r="AC366">
            <v>354.07</v>
          </cell>
          <cell r="AD366">
            <v>354.07</v>
          </cell>
          <cell r="AE366">
            <v>354.07</v>
          </cell>
          <cell r="AF366">
            <v>354.07</v>
          </cell>
        </row>
        <row r="367">
          <cell r="R367" t="str">
            <v>PCH</v>
          </cell>
          <cell r="S367" t="str">
            <v>LPG</v>
          </cell>
          <cell r="T367" t="str">
            <v>Value</v>
          </cell>
          <cell r="U367">
            <v>0</v>
          </cell>
          <cell r="V367">
            <v>0</v>
          </cell>
          <cell r="W367">
            <v>0</v>
          </cell>
          <cell r="X367">
            <v>0</v>
          </cell>
          <cell r="Y367">
            <v>0</v>
          </cell>
          <cell r="Z367">
            <v>0</v>
          </cell>
          <cell r="AA367">
            <v>65.5444849</v>
          </cell>
          <cell r="AB367">
            <v>130.88448490000002</v>
          </cell>
          <cell r="AC367">
            <v>199.50448490000002</v>
          </cell>
          <cell r="AD367">
            <v>199.50448490000002</v>
          </cell>
          <cell r="AE367">
            <v>199.50448490000002</v>
          </cell>
          <cell r="AF367">
            <v>199.50448490000002</v>
          </cell>
        </row>
        <row r="368">
          <cell r="R368" t="str">
            <v>PCH</v>
          </cell>
          <cell r="S368" t="str">
            <v>LPG - ACL</v>
          </cell>
          <cell r="T368" t="str">
            <v>Qty</v>
          </cell>
          <cell r="U368">
            <v>3.71</v>
          </cell>
          <cell r="V368">
            <v>3.71</v>
          </cell>
          <cell r="W368">
            <v>3.71</v>
          </cell>
          <cell r="X368">
            <v>3.71</v>
          </cell>
          <cell r="Y368">
            <v>3.71</v>
          </cell>
          <cell r="Z368">
            <v>3.71</v>
          </cell>
          <cell r="AA368">
            <v>3.71</v>
          </cell>
          <cell r="AB368">
            <v>3.71</v>
          </cell>
          <cell r="AC368">
            <v>3.71</v>
          </cell>
          <cell r="AD368">
            <v>3.71</v>
          </cell>
          <cell r="AE368">
            <v>3.71</v>
          </cell>
          <cell r="AF368">
            <v>3.71</v>
          </cell>
        </row>
        <row r="369">
          <cell r="R369" t="str">
            <v>PCH</v>
          </cell>
          <cell r="S369" t="str">
            <v>LPG - ACL</v>
          </cell>
          <cell r="T369" t="str">
            <v>Value</v>
          </cell>
          <cell r="U369">
            <v>2.5026000000000002</v>
          </cell>
          <cell r="V369">
            <v>2.5026000000000002</v>
          </cell>
          <cell r="W369">
            <v>2.5026000000000002</v>
          </cell>
          <cell r="X369">
            <v>2.5026000000000002</v>
          </cell>
          <cell r="Y369">
            <v>2.5026000000000002</v>
          </cell>
          <cell r="Z369">
            <v>2.5026000000000002</v>
          </cell>
          <cell r="AA369">
            <v>2.5026000000000002</v>
          </cell>
          <cell r="AB369">
            <v>2.5026000000000002</v>
          </cell>
          <cell r="AC369">
            <v>2.5026000000000002</v>
          </cell>
          <cell r="AD369">
            <v>2.5026000000000002</v>
          </cell>
          <cell r="AE369">
            <v>2.5026000000000002</v>
          </cell>
          <cell r="AF369">
            <v>2.5026000000000002</v>
          </cell>
        </row>
        <row r="370">
          <cell r="R370" t="str">
            <v>PCH</v>
          </cell>
          <cell r="S370" t="str">
            <v>LNG</v>
          </cell>
          <cell r="T370" t="str">
            <v>Qty</v>
          </cell>
          <cell r="U370">
            <v>0</v>
          </cell>
          <cell r="V370">
            <v>0</v>
          </cell>
          <cell r="W370">
            <v>0</v>
          </cell>
          <cell r="X370">
            <v>0</v>
          </cell>
          <cell r="Y370">
            <v>0</v>
          </cell>
          <cell r="Z370">
            <v>0</v>
          </cell>
          <cell r="AA370">
            <v>0</v>
          </cell>
          <cell r="AB370">
            <v>0</v>
          </cell>
          <cell r="AC370">
            <v>0</v>
          </cell>
          <cell r="AD370">
            <v>0</v>
          </cell>
          <cell r="AE370">
            <v>0</v>
          </cell>
          <cell r="AF370">
            <v>0</v>
          </cell>
        </row>
        <row r="371">
          <cell r="R371" t="str">
            <v>PCH</v>
          </cell>
          <cell r="S371" t="str">
            <v>LNG</v>
          </cell>
          <cell r="T371" t="str">
            <v>Value</v>
          </cell>
          <cell r="U371">
            <v>0</v>
          </cell>
          <cell r="V371">
            <v>0</v>
          </cell>
          <cell r="W371">
            <v>0</v>
          </cell>
          <cell r="X371">
            <v>0</v>
          </cell>
          <cell r="Y371">
            <v>0</v>
          </cell>
          <cell r="Z371">
            <v>0</v>
          </cell>
          <cell r="AA371">
            <v>0</v>
          </cell>
          <cell r="AB371">
            <v>0</v>
          </cell>
          <cell r="AC371">
            <v>0</v>
          </cell>
          <cell r="AD371">
            <v>0</v>
          </cell>
          <cell r="AE371">
            <v>0</v>
          </cell>
          <cell r="AF371">
            <v>0</v>
          </cell>
        </row>
        <row r="372">
          <cell r="R372" t="str">
            <v>PCH</v>
          </cell>
          <cell r="S372" t="str">
            <v>PET FUEL</v>
          </cell>
          <cell r="T372" t="str">
            <v>Qty</v>
          </cell>
          <cell r="U372">
            <v>0</v>
          </cell>
          <cell r="V372">
            <v>0</v>
          </cell>
          <cell r="W372">
            <v>0</v>
          </cell>
          <cell r="X372">
            <v>0</v>
          </cell>
          <cell r="Y372">
            <v>0</v>
          </cell>
          <cell r="Z372">
            <v>0</v>
          </cell>
          <cell r="AA372">
            <v>0</v>
          </cell>
          <cell r="AB372">
            <v>0</v>
          </cell>
          <cell r="AC372">
            <v>1011.97</v>
          </cell>
          <cell r="AD372">
            <v>1011.97</v>
          </cell>
          <cell r="AE372">
            <v>1011.97</v>
          </cell>
          <cell r="AF372">
            <v>1011.97</v>
          </cell>
        </row>
        <row r="373">
          <cell r="R373" t="str">
            <v>PCH</v>
          </cell>
          <cell r="S373" t="str">
            <v>PET FUEL</v>
          </cell>
          <cell r="T373" t="str">
            <v>Value</v>
          </cell>
          <cell r="U373">
            <v>0</v>
          </cell>
          <cell r="V373">
            <v>0</v>
          </cell>
          <cell r="W373">
            <v>0</v>
          </cell>
          <cell r="X373">
            <v>0</v>
          </cell>
          <cell r="Y373">
            <v>0</v>
          </cell>
          <cell r="Z373">
            <v>0</v>
          </cell>
          <cell r="AA373">
            <v>0</v>
          </cell>
          <cell r="AB373">
            <v>0</v>
          </cell>
          <cell r="AC373">
            <v>137.57</v>
          </cell>
          <cell r="AD373">
            <v>137.57</v>
          </cell>
          <cell r="AE373">
            <v>137.57</v>
          </cell>
          <cell r="AF373">
            <v>137.57</v>
          </cell>
        </row>
        <row r="374">
          <cell r="R374" t="str">
            <v>PCH</v>
          </cell>
          <cell r="S374" t="str">
            <v>HSD</v>
          </cell>
          <cell r="T374" t="str">
            <v>Qty</v>
          </cell>
          <cell r="U374">
            <v>0.47</v>
          </cell>
          <cell r="V374">
            <v>0.47</v>
          </cell>
          <cell r="W374">
            <v>0.47</v>
          </cell>
          <cell r="X374">
            <v>0.77</v>
          </cell>
          <cell r="Y374">
            <v>0.77</v>
          </cell>
          <cell r="Z374">
            <v>0.77</v>
          </cell>
          <cell r="AA374">
            <v>59.994</v>
          </cell>
          <cell r="AB374">
            <v>67.953999999999994</v>
          </cell>
          <cell r="AC374">
            <v>76.578999999999994</v>
          </cell>
          <cell r="AD374">
            <v>76.578999999999994</v>
          </cell>
          <cell r="AE374">
            <v>76.578999999999994</v>
          </cell>
          <cell r="AF374">
            <v>76.578999999999994</v>
          </cell>
        </row>
        <row r="375">
          <cell r="R375" t="str">
            <v>PCH</v>
          </cell>
          <cell r="S375" t="str">
            <v>HSD</v>
          </cell>
          <cell r="T375" t="str">
            <v>Value</v>
          </cell>
          <cell r="U375">
            <v>0.32519999999999999</v>
          </cell>
          <cell r="V375">
            <v>0.32519999999999999</v>
          </cell>
          <cell r="W375">
            <v>0.32519999999999999</v>
          </cell>
          <cell r="X375">
            <v>0.48519999999999996</v>
          </cell>
          <cell r="Y375">
            <v>0.48519999999999996</v>
          </cell>
          <cell r="Z375">
            <v>0.48519999999999996</v>
          </cell>
          <cell r="AA375">
            <v>31.800572499999998</v>
          </cell>
          <cell r="AB375">
            <v>36.540572499999996</v>
          </cell>
          <cell r="AC375">
            <v>40.730572499999994</v>
          </cell>
          <cell r="AD375">
            <v>40.730572499999994</v>
          </cell>
          <cell r="AE375">
            <v>40.730572499999994</v>
          </cell>
          <cell r="AF375">
            <v>40.730572499999994</v>
          </cell>
        </row>
        <row r="376">
          <cell r="R376" t="str">
            <v>PCH</v>
          </cell>
          <cell r="S376" t="str">
            <v>Electricity ('1000 units)</v>
          </cell>
          <cell r="T376" t="str">
            <v>Qty</v>
          </cell>
          <cell r="U376">
            <v>100</v>
          </cell>
          <cell r="V376">
            <v>202.5</v>
          </cell>
          <cell r="W376">
            <v>306</v>
          </cell>
          <cell r="X376">
            <v>407.4</v>
          </cell>
          <cell r="Y376">
            <v>503.4</v>
          </cell>
          <cell r="Z376">
            <v>904.11999999999989</v>
          </cell>
          <cell r="AA376">
            <v>2648.9790000000003</v>
          </cell>
          <cell r="AB376">
            <v>5029.9790000000003</v>
          </cell>
          <cell r="AC376">
            <v>7287.9790000000003</v>
          </cell>
          <cell r="AD376">
            <v>7287.9790000000003</v>
          </cell>
          <cell r="AE376">
            <v>7287.9790000000003</v>
          </cell>
          <cell r="AF376">
            <v>7287.9790000000003</v>
          </cell>
        </row>
        <row r="377">
          <cell r="R377" t="str">
            <v>PCH</v>
          </cell>
          <cell r="S377" t="str">
            <v>Electricity ('1000 units)</v>
          </cell>
          <cell r="T377" t="str">
            <v>Value</v>
          </cell>
          <cell r="U377">
            <v>8</v>
          </cell>
          <cell r="V377">
            <v>16</v>
          </cell>
          <cell r="W377">
            <v>24</v>
          </cell>
          <cell r="X377">
            <v>40.127759999999995</v>
          </cell>
          <cell r="Y377">
            <v>56.127759999999995</v>
          </cell>
          <cell r="Z377">
            <v>91.887759999999986</v>
          </cell>
          <cell r="AA377">
            <v>221.68974489999999</v>
          </cell>
          <cell r="AB377">
            <v>359.68974489999999</v>
          </cell>
          <cell r="AC377">
            <v>493.68974489999999</v>
          </cell>
          <cell r="AD377">
            <v>493.68974489999999</v>
          </cell>
          <cell r="AE377">
            <v>493.68974489999999</v>
          </cell>
          <cell r="AF377">
            <v>493.68974489999999</v>
          </cell>
        </row>
        <row r="378">
          <cell r="R378" t="str">
            <v>PCH</v>
          </cell>
          <cell r="S378" t="str">
            <v>FURNACE OIL</v>
          </cell>
          <cell r="T378" t="str">
            <v>Qty</v>
          </cell>
          <cell r="U378">
            <v>0</v>
          </cell>
          <cell r="V378">
            <v>0</v>
          </cell>
          <cell r="W378">
            <v>0</v>
          </cell>
          <cell r="X378">
            <v>0</v>
          </cell>
          <cell r="Y378">
            <v>0</v>
          </cell>
          <cell r="Z378">
            <v>0</v>
          </cell>
          <cell r="AA378">
            <v>583.78700000000003</v>
          </cell>
          <cell r="AB378">
            <v>870.44500000000005</v>
          </cell>
          <cell r="AC378">
            <v>930.75500000000011</v>
          </cell>
          <cell r="AD378">
            <v>930.75500000000011</v>
          </cell>
          <cell r="AE378">
            <v>930.75500000000011</v>
          </cell>
          <cell r="AF378">
            <v>930.75500000000011</v>
          </cell>
        </row>
        <row r="379">
          <cell r="R379" t="str">
            <v>PCH</v>
          </cell>
          <cell r="S379" t="str">
            <v>FURNACE OIL</v>
          </cell>
          <cell r="T379" t="str">
            <v>Value</v>
          </cell>
          <cell r="U379">
            <v>0</v>
          </cell>
          <cell r="V379">
            <v>0</v>
          </cell>
          <cell r="W379">
            <v>0</v>
          </cell>
          <cell r="X379">
            <v>0</v>
          </cell>
          <cell r="Y379">
            <v>0</v>
          </cell>
          <cell r="Z379">
            <v>0</v>
          </cell>
          <cell r="AA379">
            <v>241.5974995</v>
          </cell>
          <cell r="AB379">
            <v>345.84749950000003</v>
          </cell>
          <cell r="AC379">
            <v>366.42749950000001</v>
          </cell>
          <cell r="AD379">
            <v>366.42749950000001</v>
          </cell>
          <cell r="AE379">
            <v>366.42749950000001</v>
          </cell>
          <cell r="AF379">
            <v>366.42749950000001</v>
          </cell>
        </row>
        <row r="380">
          <cell r="R380" t="str">
            <v>PCH</v>
          </cell>
          <cell r="S380" t="str">
            <v>Price Difference</v>
          </cell>
          <cell r="T380" t="str">
            <v>Qty</v>
          </cell>
          <cell r="U380">
            <v>0</v>
          </cell>
          <cell r="V380">
            <v>0</v>
          </cell>
          <cell r="W380">
            <v>0</v>
          </cell>
          <cell r="X380">
            <v>0</v>
          </cell>
          <cell r="Y380">
            <v>0</v>
          </cell>
          <cell r="Z380">
            <v>0</v>
          </cell>
          <cell r="AA380">
            <v>0</v>
          </cell>
          <cell r="AB380">
            <v>0</v>
          </cell>
          <cell r="AC380">
            <v>0</v>
          </cell>
          <cell r="AD380">
            <v>0</v>
          </cell>
          <cell r="AE380">
            <v>0</v>
          </cell>
          <cell r="AF380">
            <v>0</v>
          </cell>
        </row>
        <row r="381">
          <cell r="R381" t="str">
            <v>PCH</v>
          </cell>
          <cell r="S381" t="str">
            <v>Price Difference</v>
          </cell>
          <cell r="T381" t="str">
            <v>Value</v>
          </cell>
          <cell r="U381">
            <v>0</v>
          </cell>
          <cell r="V381">
            <v>0</v>
          </cell>
          <cell r="W381">
            <v>0</v>
          </cell>
          <cell r="X381">
            <v>0</v>
          </cell>
          <cell r="Y381">
            <v>0</v>
          </cell>
          <cell r="Z381">
            <v>0</v>
          </cell>
          <cell r="AA381">
            <v>11</v>
          </cell>
          <cell r="AB381">
            <v>112.08</v>
          </cell>
          <cell r="AC381">
            <v>112.08</v>
          </cell>
          <cell r="AD381">
            <v>112.08</v>
          </cell>
          <cell r="AE381">
            <v>112.08</v>
          </cell>
          <cell r="AF381">
            <v>112.08</v>
          </cell>
        </row>
        <row r="383">
          <cell r="R383" t="str">
            <v>SNR</v>
          </cell>
          <cell r="S383" t="str">
            <v>LPG</v>
          </cell>
          <cell r="T383" t="str">
            <v>Qty</v>
          </cell>
          <cell r="U383">
            <v>0</v>
          </cell>
          <cell r="V383">
            <v>0</v>
          </cell>
          <cell r="W383">
            <v>0</v>
          </cell>
          <cell r="X383">
            <v>0</v>
          </cell>
          <cell r="Y383">
            <v>0</v>
          </cell>
          <cell r="Z383">
            <v>0</v>
          </cell>
          <cell r="AA383">
            <v>0</v>
          </cell>
          <cell r="AB383">
            <v>0</v>
          </cell>
          <cell r="AC383">
            <v>0</v>
          </cell>
          <cell r="AD383">
            <v>0</v>
          </cell>
          <cell r="AE383">
            <v>0</v>
          </cell>
          <cell r="AF383">
            <v>0</v>
          </cell>
        </row>
        <row r="384">
          <cell r="R384" t="str">
            <v>SNR</v>
          </cell>
          <cell r="S384" t="str">
            <v>LPG</v>
          </cell>
          <cell r="T384" t="str">
            <v>Value</v>
          </cell>
          <cell r="U384">
            <v>0</v>
          </cell>
          <cell r="V384">
            <v>0</v>
          </cell>
          <cell r="W384">
            <v>0</v>
          </cell>
          <cell r="X384">
            <v>0</v>
          </cell>
          <cell r="Y384">
            <v>0</v>
          </cell>
          <cell r="Z384">
            <v>0</v>
          </cell>
          <cell r="AA384">
            <v>0</v>
          </cell>
          <cell r="AB384">
            <v>0</v>
          </cell>
          <cell r="AC384">
            <v>0</v>
          </cell>
          <cell r="AD384">
            <v>0</v>
          </cell>
          <cell r="AE384">
            <v>0</v>
          </cell>
          <cell r="AF384">
            <v>0</v>
          </cell>
        </row>
        <row r="385">
          <cell r="R385" t="str">
            <v>SNR</v>
          </cell>
          <cell r="S385" t="str">
            <v>LPG - ACL</v>
          </cell>
          <cell r="T385" t="str">
            <v>Qty</v>
          </cell>
          <cell r="U385">
            <v>0</v>
          </cell>
          <cell r="V385">
            <v>0</v>
          </cell>
          <cell r="W385">
            <v>0</v>
          </cell>
          <cell r="X385">
            <v>0</v>
          </cell>
          <cell r="Y385">
            <v>0</v>
          </cell>
          <cell r="Z385">
            <v>0</v>
          </cell>
          <cell r="AA385">
            <v>0</v>
          </cell>
          <cell r="AB385">
            <v>0</v>
          </cell>
          <cell r="AC385">
            <v>0</v>
          </cell>
          <cell r="AD385">
            <v>0</v>
          </cell>
          <cell r="AE385">
            <v>0</v>
          </cell>
          <cell r="AF385">
            <v>0</v>
          </cell>
        </row>
        <row r="386">
          <cell r="R386" t="str">
            <v>SNR</v>
          </cell>
          <cell r="S386" t="str">
            <v>LPG - ACL</v>
          </cell>
          <cell r="T386" t="str">
            <v>Value</v>
          </cell>
          <cell r="U386">
            <v>0</v>
          </cell>
          <cell r="V386">
            <v>0</v>
          </cell>
          <cell r="W386">
            <v>0</v>
          </cell>
          <cell r="X386">
            <v>0</v>
          </cell>
          <cell r="Y386">
            <v>0</v>
          </cell>
          <cell r="Z386">
            <v>0</v>
          </cell>
          <cell r="AA386">
            <v>0</v>
          </cell>
          <cell r="AB386">
            <v>0</v>
          </cell>
          <cell r="AC386">
            <v>0</v>
          </cell>
          <cell r="AD386">
            <v>0</v>
          </cell>
          <cell r="AE386">
            <v>0</v>
          </cell>
          <cell r="AF386">
            <v>0</v>
          </cell>
        </row>
        <row r="387">
          <cell r="R387" t="str">
            <v>SNR</v>
          </cell>
          <cell r="S387" t="str">
            <v>LNG</v>
          </cell>
          <cell r="T387" t="str">
            <v>Qty</v>
          </cell>
          <cell r="U387">
            <v>623.95752895752901</v>
          </cell>
          <cell r="V387">
            <v>1171.9575289575291</v>
          </cell>
          <cell r="W387">
            <v>1709.1575289575292</v>
          </cell>
          <cell r="X387">
            <v>2224.9544669575293</v>
          </cell>
          <cell r="Y387">
            <v>2922.9544669575293</v>
          </cell>
          <cell r="Z387">
            <v>3452.7144669575291</v>
          </cell>
          <cell r="AA387">
            <v>4130.7144669575291</v>
          </cell>
          <cell r="AB387">
            <v>4521.7144669575291</v>
          </cell>
          <cell r="AC387">
            <v>4904.0053935984561</v>
          </cell>
          <cell r="AD387">
            <v>4904.0053935984561</v>
          </cell>
          <cell r="AE387">
            <v>4904.0053935984561</v>
          </cell>
          <cell r="AF387">
            <v>4904.0053935984561</v>
          </cell>
        </row>
        <row r="388">
          <cell r="R388" t="str">
            <v>SNR</v>
          </cell>
          <cell r="S388" t="str">
            <v>LNG</v>
          </cell>
          <cell r="T388" t="str">
            <v>Value</v>
          </cell>
          <cell r="U388">
            <v>371.39</v>
          </cell>
          <cell r="V388">
            <v>679.49</v>
          </cell>
          <cell r="W388">
            <v>1015.02</v>
          </cell>
          <cell r="X388">
            <v>1329.5035439000001</v>
          </cell>
          <cell r="Y388">
            <v>1757.7835439</v>
          </cell>
          <cell r="Z388">
            <v>2095.5797103</v>
          </cell>
          <cell r="AA388">
            <v>2532.0997103</v>
          </cell>
          <cell r="AB388">
            <v>2780.8597103000002</v>
          </cell>
          <cell r="AC388">
            <v>3018.2172584</v>
          </cell>
          <cell r="AD388">
            <v>3018.2172584</v>
          </cell>
          <cell r="AE388">
            <v>3018.2172584</v>
          </cell>
          <cell r="AF388">
            <v>3018.2172584</v>
          </cell>
        </row>
        <row r="389">
          <cell r="R389" t="str">
            <v>SNR</v>
          </cell>
          <cell r="S389" t="str">
            <v>PET FUEL</v>
          </cell>
          <cell r="T389" t="str">
            <v>Qty</v>
          </cell>
          <cell r="U389">
            <v>2293</v>
          </cell>
          <cell r="V389">
            <v>4940</v>
          </cell>
          <cell r="W389">
            <v>7370</v>
          </cell>
          <cell r="X389">
            <v>9938</v>
          </cell>
          <cell r="Y389">
            <v>11895</v>
          </cell>
          <cell r="Z389">
            <v>14202</v>
          </cell>
          <cell r="AA389">
            <v>16260</v>
          </cell>
          <cell r="AB389">
            <v>19548</v>
          </cell>
          <cell r="AC389">
            <v>22406</v>
          </cell>
          <cell r="AD389">
            <v>22406</v>
          </cell>
          <cell r="AE389">
            <v>22406</v>
          </cell>
          <cell r="AF389">
            <v>22406</v>
          </cell>
        </row>
        <row r="390">
          <cell r="R390" t="str">
            <v>SNR</v>
          </cell>
          <cell r="S390" t="str">
            <v>PET FUEL</v>
          </cell>
          <cell r="T390" t="str">
            <v>Value</v>
          </cell>
          <cell r="U390">
            <v>248.25</v>
          </cell>
          <cell r="V390">
            <v>548.61164629999996</v>
          </cell>
          <cell r="W390">
            <v>841.97145460000002</v>
          </cell>
          <cell r="X390">
            <v>1133.8289611999999</v>
          </cell>
          <cell r="Y390">
            <v>1357.9938975999999</v>
          </cell>
          <cell r="Z390">
            <v>1621.7338975999999</v>
          </cell>
          <cell r="AA390">
            <v>1860.0307668999999</v>
          </cell>
          <cell r="AB390">
            <v>2237.7887077</v>
          </cell>
          <cell r="AC390">
            <v>2565.4566378</v>
          </cell>
          <cell r="AD390">
            <v>2565.4566378</v>
          </cell>
          <cell r="AE390">
            <v>2565.4566378</v>
          </cell>
          <cell r="AF390">
            <v>2565.4566378</v>
          </cell>
        </row>
        <row r="391">
          <cell r="R391" t="str">
            <v>SNR</v>
          </cell>
          <cell r="S391" t="str">
            <v>HSD</v>
          </cell>
          <cell r="T391" t="str">
            <v>Qty</v>
          </cell>
          <cell r="U391">
            <v>69</v>
          </cell>
          <cell r="V391">
            <v>145</v>
          </cell>
          <cell r="W391">
            <v>214</v>
          </cell>
          <cell r="X391">
            <v>277.39187227866472</v>
          </cell>
          <cell r="Y391">
            <v>4669.6244773845456</v>
          </cell>
          <cell r="Z391">
            <v>5225.6244773845456</v>
          </cell>
          <cell r="AA391">
            <v>5281.314223638663</v>
          </cell>
          <cell r="AB391">
            <v>5314.9642236386626</v>
          </cell>
          <cell r="AC391">
            <v>5348.6542236386622</v>
          </cell>
          <cell r="AD391">
            <v>5348.6542236386622</v>
          </cell>
          <cell r="AE391">
            <v>5348.6542236386622</v>
          </cell>
          <cell r="AF391">
            <v>5348.6542236386622</v>
          </cell>
        </row>
        <row r="392">
          <cell r="R392" t="str">
            <v>SNR</v>
          </cell>
          <cell r="S392" t="str">
            <v>HSD</v>
          </cell>
          <cell r="T392" t="str">
            <v>Value</v>
          </cell>
          <cell r="U392">
            <v>12.27</v>
          </cell>
          <cell r="V392">
            <v>32.729999999999997</v>
          </cell>
          <cell r="W392">
            <v>46.51</v>
          </cell>
          <cell r="X392">
            <v>59.17</v>
          </cell>
          <cell r="Y392">
            <v>73.324837299999999</v>
          </cell>
          <cell r="Z392">
            <v>85.054837300000003</v>
          </cell>
          <cell r="AA392">
            <v>97.059875900000009</v>
          </cell>
          <cell r="AB392">
            <v>107.3498759</v>
          </cell>
          <cell r="AC392">
            <v>118.3798759</v>
          </cell>
          <cell r="AD392">
            <v>118.3798759</v>
          </cell>
          <cell r="AE392">
            <v>118.3798759</v>
          </cell>
          <cell r="AF392">
            <v>118.3798759</v>
          </cell>
        </row>
        <row r="393">
          <cell r="R393" t="str">
            <v>SNR</v>
          </cell>
          <cell r="S393" t="str">
            <v>Electricity ('1000 units)</v>
          </cell>
          <cell r="T393" t="str">
            <v>Qty</v>
          </cell>
          <cell r="U393">
            <v>5435</v>
          </cell>
          <cell r="V393">
            <v>11367</v>
          </cell>
          <cell r="W393">
            <v>17269</v>
          </cell>
          <cell r="X393">
            <v>23201.266074313411</v>
          </cell>
          <cell r="Y393">
            <v>29277.266074313411</v>
          </cell>
          <cell r="Z393">
            <v>35320.266074313411</v>
          </cell>
          <cell r="AA393">
            <v>41864.266074313411</v>
          </cell>
          <cell r="AB393">
            <v>47948.266074313411</v>
          </cell>
          <cell r="AC393">
            <v>54239.266074313411</v>
          </cell>
          <cell r="AD393">
            <v>54239.266074313411</v>
          </cell>
          <cell r="AE393">
            <v>54239.266074313411</v>
          </cell>
          <cell r="AF393">
            <v>54239.266074313411</v>
          </cell>
        </row>
        <row r="394">
          <cell r="R394" t="str">
            <v>SNR</v>
          </cell>
          <cell r="S394" t="str">
            <v>Electricity ('1000 units)</v>
          </cell>
          <cell r="T394" t="str">
            <v>Value</v>
          </cell>
          <cell r="U394">
            <v>329.07</v>
          </cell>
          <cell r="V394">
            <v>691.2</v>
          </cell>
          <cell r="W394">
            <v>1041.17</v>
          </cell>
          <cell r="X394">
            <v>1379.1264700000002</v>
          </cell>
          <cell r="Y394">
            <v>1761.1164700000002</v>
          </cell>
          <cell r="Z394">
            <v>2102.1164699999999</v>
          </cell>
          <cell r="AA394">
            <v>2498.3964699999997</v>
          </cell>
          <cell r="AB394">
            <v>2861.8364699999997</v>
          </cell>
          <cell r="AC394">
            <v>3297.4364699999996</v>
          </cell>
          <cell r="AD394">
            <v>3297.4364699999996</v>
          </cell>
          <cell r="AE394">
            <v>3297.4364699999996</v>
          </cell>
          <cell r="AF394">
            <v>3297.4364699999996</v>
          </cell>
        </row>
        <row r="395">
          <cell r="R395" t="str">
            <v>SNR</v>
          </cell>
          <cell r="S395" t="str">
            <v>FURNACE OIL</v>
          </cell>
          <cell r="T395" t="str">
            <v>Qty</v>
          </cell>
          <cell r="U395">
            <v>0</v>
          </cell>
          <cell r="V395">
            <v>0</v>
          </cell>
          <cell r="W395">
            <v>0</v>
          </cell>
          <cell r="X395">
            <v>0</v>
          </cell>
          <cell r="Y395">
            <v>320.95299999999997</v>
          </cell>
          <cell r="Z395">
            <v>320.95299999999997</v>
          </cell>
          <cell r="AA395">
            <v>584.48699999999997</v>
          </cell>
          <cell r="AB395">
            <v>946.14699999999993</v>
          </cell>
          <cell r="AC395">
            <v>1065.24</v>
          </cell>
          <cell r="AD395">
            <v>1065.24</v>
          </cell>
          <cell r="AE395">
            <v>1065.24</v>
          </cell>
          <cell r="AF395">
            <v>1065.24</v>
          </cell>
        </row>
        <row r="396">
          <cell r="R396" t="str">
            <v>SNR</v>
          </cell>
          <cell r="S396" t="str">
            <v>FURNACE OIL</v>
          </cell>
          <cell r="T396" t="str">
            <v>Value</v>
          </cell>
          <cell r="U396">
            <v>0</v>
          </cell>
          <cell r="V396">
            <v>0</v>
          </cell>
          <cell r="W396">
            <v>0</v>
          </cell>
          <cell r="X396">
            <v>0</v>
          </cell>
          <cell r="Y396">
            <v>134.05897480000002</v>
          </cell>
          <cell r="Z396">
            <v>134.05897480000002</v>
          </cell>
          <cell r="AA396">
            <v>240.3967973</v>
          </cell>
          <cell r="AB396">
            <v>370.51197079999997</v>
          </cell>
          <cell r="AC396">
            <v>418.72235409999996</v>
          </cell>
          <cell r="AD396">
            <v>418.72235409999996</v>
          </cell>
          <cell r="AE396">
            <v>418.72235409999996</v>
          </cell>
          <cell r="AF396">
            <v>418.72235409999996</v>
          </cell>
        </row>
        <row r="397">
          <cell r="R397" t="str">
            <v>SNR</v>
          </cell>
          <cell r="S397" t="str">
            <v>Price Difference</v>
          </cell>
          <cell r="T397" t="str">
            <v>Qty</v>
          </cell>
          <cell r="U397">
            <v>0</v>
          </cell>
          <cell r="V397">
            <v>0</v>
          </cell>
          <cell r="W397">
            <v>0</v>
          </cell>
          <cell r="X397">
            <v>0</v>
          </cell>
          <cell r="Y397">
            <v>0</v>
          </cell>
          <cell r="Z397">
            <v>0</v>
          </cell>
          <cell r="AA397">
            <v>0</v>
          </cell>
          <cell r="AB397">
            <v>0</v>
          </cell>
          <cell r="AC397">
            <v>0</v>
          </cell>
          <cell r="AD397">
            <v>0</v>
          </cell>
          <cell r="AE397">
            <v>0</v>
          </cell>
          <cell r="AF397">
            <v>0</v>
          </cell>
        </row>
        <row r="398">
          <cell r="R398" t="str">
            <v>SNR</v>
          </cell>
          <cell r="S398" t="str">
            <v>Price Difference</v>
          </cell>
          <cell r="T398" t="str">
            <v>Value</v>
          </cell>
          <cell r="U398">
            <v>0</v>
          </cell>
          <cell r="V398">
            <v>0</v>
          </cell>
          <cell r="W398">
            <v>0</v>
          </cell>
          <cell r="X398">
            <v>0</v>
          </cell>
          <cell r="Y398">
            <v>0</v>
          </cell>
          <cell r="Z398">
            <v>0</v>
          </cell>
          <cell r="AA398">
            <v>0</v>
          </cell>
          <cell r="AB398">
            <v>0</v>
          </cell>
          <cell r="AC398">
            <v>0</v>
          </cell>
          <cell r="AD398">
            <v>0</v>
          </cell>
          <cell r="AE398">
            <v>0</v>
          </cell>
          <cell r="AF398">
            <v>0</v>
          </cell>
        </row>
        <row r="400">
          <cell r="R400" t="str">
            <v>NMR</v>
          </cell>
          <cell r="S400" t="str">
            <v>LPG</v>
          </cell>
          <cell r="T400" t="str">
            <v>Qty</v>
          </cell>
          <cell r="U400">
            <v>0</v>
          </cell>
          <cell r="V400">
            <v>0</v>
          </cell>
          <cell r="W400">
            <v>0</v>
          </cell>
          <cell r="X400">
            <v>0</v>
          </cell>
          <cell r="Y400">
            <v>0</v>
          </cell>
          <cell r="Z400">
            <v>0</v>
          </cell>
          <cell r="AA400">
            <v>0</v>
          </cell>
          <cell r="AB400">
            <v>0</v>
          </cell>
          <cell r="AC400">
            <v>0</v>
          </cell>
          <cell r="AD400">
            <v>0</v>
          </cell>
          <cell r="AE400">
            <v>0</v>
          </cell>
          <cell r="AF400">
            <v>0</v>
          </cell>
        </row>
        <row r="401">
          <cell r="R401" t="str">
            <v>NMR</v>
          </cell>
          <cell r="S401" t="str">
            <v>LPG</v>
          </cell>
          <cell r="T401" t="str">
            <v>Value</v>
          </cell>
          <cell r="U401">
            <v>0</v>
          </cell>
          <cell r="V401">
            <v>0</v>
          </cell>
          <cell r="W401">
            <v>0</v>
          </cell>
          <cell r="X401">
            <v>0</v>
          </cell>
          <cell r="Y401">
            <v>0</v>
          </cell>
          <cell r="Z401">
            <v>0</v>
          </cell>
          <cell r="AA401">
            <v>0</v>
          </cell>
          <cell r="AB401">
            <v>0</v>
          </cell>
          <cell r="AC401">
            <v>0</v>
          </cell>
          <cell r="AD401">
            <v>0</v>
          </cell>
          <cell r="AE401">
            <v>0</v>
          </cell>
          <cell r="AF401">
            <v>0</v>
          </cell>
        </row>
        <row r="402">
          <cell r="R402" t="str">
            <v>NMR</v>
          </cell>
          <cell r="S402" t="str">
            <v>LPG - ACL</v>
          </cell>
          <cell r="T402" t="str">
            <v>Qty</v>
          </cell>
          <cell r="U402">
            <v>0</v>
          </cell>
          <cell r="V402">
            <v>0</v>
          </cell>
          <cell r="W402">
            <v>0</v>
          </cell>
          <cell r="X402">
            <v>0</v>
          </cell>
          <cell r="Y402">
            <v>0</v>
          </cell>
          <cell r="Z402">
            <v>0</v>
          </cell>
          <cell r="AA402">
            <v>0</v>
          </cell>
          <cell r="AB402">
            <v>0</v>
          </cell>
          <cell r="AC402">
            <v>0</v>
          </cell>
          <cell r="AD402">
            <v>0</v>
          </cell>
          <cell r="AE402">
            <v>0</v>
          </cell>
          <cell r="AF402">
            <v>0</v>
          </cell>
        </row>
        <row r="403">
          <cell r="R403" t="str">
            <v>NMR</v>
          </cell>
          <cell r="S403" t="str">
            <v>LPG - ACL</v>
          </cell>
          <cell r="T403" t="str">
            <v>Value</v>
          </cell>
          <cell r="U403">
            <v>0</v>
          </cell>
          <cell r="V403">
            <v>0</v>
          </cell>
          <cell r="W403">
            <v>0</v>
          </cell>
          <cell r="X403">
            <v>0</v>
          </cell>
          <cell r="Y403">
            <v>0</v>
          </cell>
          <cell r="Z403">
            <v>0</v>
          </cell>
          <cell r="AA403">
            <v>0</v>
          </cell>
          <cell r="AB403">
            <v>0</v>
          </cell>
          <cell r="AC403">
            <v>0</v>
          </cell>
          <cell r="AD403">
            <v>0</v>
          </cell>
          <cell r="AE403">
            <v>0</v>
          </cell>
          <cell r="AF403">
            <v>0</v>
          </cell>
        </row>
        <row r="404">
          <cell r="R404" t="str">
            <v>NMR</v>
          </cell>
          <cell r="S404" t="str">
            <v>LNG</v>
          </cell>
          <cell r="T404" t="str">
            <v>Qty</v>
          </cell>
          <cell r="U404">
            <v>0</v>
          </cell>
          <cell r="V404">
            <v>0</v>
          </cell>
          <cell r="W404">
            <v>0</v>
          </cell>
          <cell r="X404">
            <v>0</v>
          </cell>
          <cell r="Y404">
            <v>0</v>
          </cell>
          <cell r="Z404">
            <v>0</v>
          </cell>
          <cell r="AA404">
            <v>0</v>
          </cell>
          <cell r="AB404">
            <v>0</v>
          </cell>
          <cell r="AC404">
            <v>0</v>
          </cell>
          <cell r="AD404">
            <v>0</v>
          </cell>
          <cell r="AE404">
            <v>0</v>
          </cell>
          <cell r="AF404">
            <v>0</v>
          </cell>
        </row>
        <row r="405">
          <cell r="R405" t="str">
            <v>NMR</v>
          </cell>
          <cell r="S405" t="str">
            <v>LNG</v>
          </cell>
          <cell r="T405" t="str">
            <v>Value</v>
          </cell>
          <cell r="U405">
            <v>0</v>
          </cell>
          <cell r="V405">
            <v>0</v>
          </cell>
          <cell r="W405">
            <v>0</v>
          </cell>
          <cell r="X405">
            <v>0</v>
          </cell>
          <cell r="Y405">
            <v>0</v>
          </cell>
          <cell r="Z405">
            <v>0</v>
          </cell>
          <cell r="AA405">
            <v>0</v>
          </cell>
          <cell r="AB405">
            <v>0</v>
          </cell>
          <cell r="AC405">
            <v>0</v>
          </cell>
          <cell r="AD405">
            <v>0</v>
          </cell>
          <cell r="AE405">
            <v>0</v>
          </cell>
          <cell r="AF405">
            <v>0</v>
          </cell>
        </row>
        <row r="406">
          <cell r="R406" t="str">
            <v>NMR</v>
          </cell>
          <cell r="S406" t="str">
            <v>PET FUEL</v>
          </cell>
          <cell r="T406" t="str">
            <v>Qty</v>
          </cell>
          <cell r="U406">
            <v>0</v>
          </cell>
          <cell r="V406">
            <v>0</v>
          </cell>
          <cell r="W406">
            <v>0</v>
          </cell>
          <cell r="X406">
            <v>0</v>
          </cell>
          <cell r="Y406">
            <v>0</v>
          </cell>
          <cell r="Z406">
            <v>0</v>
          </cell>
          <cell r="AA406">
            <v>0</v>
          </cell>
          <cell r="AB406">
            <v>0</v>
          </cell>
          <cell r="AC406">
            <v>0</v>
          </cell>
          <cell r="AD406">
            <v>0</v>
          </cell>
          <cell r="AE406">
            <v>0</v>
          </cell>
          <cell r="AF406">
            <v>0</v>
          </cell>
        </row>
        <row r="407">
          <cell r="R407" t="str">
            <v>NMR</v>
          </cell>
          <cell r="S407" t="str">
            <v>PET FUEL</v>
          </cell>
          <cell r="T407" t="str">
            <v>Value</v>
          </cell>
          <cell r="U407">
            <v>0</v>
          </cell>
          <cell r="V407">
            <v>0</v>
          </cell>
          <cell r="W407">
            <v>0</v>
          </cell>
          <cell r="X407">
            <v>0</v>
          </cell>
          <cell r="Y407">
            <v>0</v>
          </cell>
          <cell r="Z407">
            <v>0</v>
          </cell>
          <cell r="AA407">
            <v>0</v>
          </cell>
          <cell r="AB407">
            <v>0</v>
          </cell>
          <cell r="AC407">
            <v>0</v>
          </cell>
          <cell r="AD407">
            <v>0</v>
          </cell>
          <cell r="AE407">
            <v>0</v>
          </cell>
          <cell r="AF407">
            <v>0</v>
          </cell>
        </row>
        <row r="408">
          <cell r="R408" t="str">
            <v>NMR</v>
          </cell>
          <cell r="S408" t="str">
            <v>HSD</v>
          </cell>
          <cell r="T408" t="str">
            <v>Qty</v>
          </cell>
          <cell r="U408">
            <v>3.4529999999999998E-2</v>
          </cell>
          <cell r="V408">
            <v>0.19405</v>
          </cell>
          <cell r="W408">
            <v>0.30904999999999999</v>
          </cell>
          <cell r="X408">
            <v>0.37204999999999999</v>
          </cell>
          <cell r="Y408">
            <v>0.37204999999999999</v>
          </cell>
          <cell r="Z408">
            <v>0.37204999999999999</v>
          </cell>
          <cell r="AA408">
            <v>0.37204999999999999</v>
          </cell>
          <cell r="AB408">
            <v>0.37204999999999999</v>
          </cell>
          <cell r="AC408">
            <v>0.37204999999999999</v>
          </cell>
          <cell r="AD408">
            <v>0.37204999999999999</v>
          </cell>
          <cell r="AE408">
            <v>0.37204999999999999</v>
          </cell>
          <cell r="AF408">
            <v>0.37204999999999999</v>
          </cell>
        </row>
        <row r="409">
          <cell r="R409" t="str">
            <v>NMR</v>
          </cell>
          <cell r="S409" t="str">
            <v>HSD</v>
          </cell>
          <cell r="T409" t="str">
            <v>Value</v>
          </cell>
          <cell r="U409">
            <v>3.4529999999999998E-2</v>
          </cell>
          <cell r="V409">
            <v>0.19405</v>
          </cell>
          <cell r="W409">
            <v>0.22902</v>
          </cell>
          <cell r="X409">
            <v>0.25742999999999999</v>
          </cell>
          <cell r="Y409">
            <v>0.25742999999999999</v>
          </cell>
          <cell r="Z409">
            <v>0.25742999999999999</v>
          </cell>
          <cell r="AA409">
            <v>0.25742999999999999</v>
          </cell>
          <cell r="AB409">
            <v>0.25742999999999999</v>
          </cell>
          <cell r="AC409">
            <v>0.25742999999999999</v>
          </cell>
          <cell r="AD409">
            <v>0.25742999999999999</v>
          </cell>
          <cell r="AE409">
            <v>0.25742999999999999</v>
          </cell>
          <cell r="AF409">
            <v>0.25742999999999999</v>
          </cell>
        </row>
        <row r="410">
          <cell r="R410" t="str">
            <v>NMR</v>
          </cell>
          <cell r="S410" t="str">
            <v>Electricity ('1000 units)</v>
          </cell>
          <cell r="T410" t="str">
            <v>Qty</v>
          </cell>
          <cell r="U410">
            <v>28</v>
          </cell>
          <cell r="V410">
            <v>56</v>
          </cell>
          <cell r="W410">
            <v>91</v>
          </cell>
          <cell r="X410">
            <v>116</v>
          </cell>
          <cell r="Y410">
            <v>141</v>
          </cell>
          <cell r="Z410">
            <v>166</v>
          </cell>
          <cell r="AA410">
            <v>191</v>
          </cell>
          <cell r="AB410">
            <v>216</v>
          </cell>
          <cell r="AC410">
            <v>241</v>
          </cell>
          <cell r="AD410">
            <v>241</v>
          </cell>
          <cell r="AE410">
            <v>241</v>
          </cell>
          <cell r="AF410">
            <v>241</v>
          </cell>
        </row>
        <row r="411">
          <cell r="R411" t="str">
            <v>NMR</v>
          </cell>
          <cell r="S411" t="str">
            <v>Electricity ('1000 units)</v>
          </cell>
          <cell r="T411" t="str">
            <v>Value</v>
          </cell>
          <cell r="U411">
            <v>5.1409000000000002</v>
          </cell>
          <cell r="V411">
            <v>10.56305</v>
          </cell>
          <cell r="W411">
            <v>16.34742</v>
          </cell>
          <cell r="X411">
            <v>22.84272</v>
          </cell>
          <cell r="Y411">
            <v>28.84226</v>
          </cell>
          <cell r="Z411">
            <v>34.282110000000003</v>
          </cell>
          <cell r="AA411">
            <v>40.03246</v>
          </cell>
          <cell r="AB411">
            <v>45.488869999999999</v>
          </cell>
          <cell r="AC411">
            <v>50.726109999999998</v>
          </cell>
          <cell r="AD411">
            <v>50.726109999999998</v>
          </cell>
          <cell r="AE411">
            <v>50.726109999999998</v>
          </cell>
          <cell r="AF411">
            <v>50.726109999999998</v>
          </cell>
        </row>
        <row r="412">
          <cell r="R412" t="str">
            <v>NMR</v>
          </cell>
          <cell r="S412" t="str">
            <v>FURNACE OIL</v>
          </cell>
          <cell r="T412" t="str">
            <v>Qty</v>
          </cell>
          <cell r="U412">
            <v>0</v>
          </cell>
          <cell r="V412">
            <v>0</v>
          </cell>
          <cell r="W412">
            <v>0</v>
          </cell>
          <cell r="X412">
            <v>0</v>
          </cell>
          <cell r="Y412">
            <v>0</v>
          </cell>
          <cell r="Z412">
            <v>0</v>
          </cell>
          <cell r="AA412">
            <v>0</v>
          </cell>
          <cell r="AB412">
            <v>0</v>
          </cell>
          <cell r="AC412">
            <v>0</v>
          </cell>
          <cell r="AD412">
            <v>0</v>
          </cell>
          <cell r="AE412">
            <v>0</v>
          </cell>
          <cell r="AF412">
            <v>0</v>
          </cell>
        </row>
        <row r="413">
          <cell r="R413" t="str">
            <v>NMR</v>
          </cell>
          <cell r="S413" t="str">
            <v>FURNACE OIL</v>
          </cell>
          <cell r="T413" t="str">
            <v>Value</v>
          </cell>
          <cell r="U413">
            <v>0</v>
          </cell>
          <cell r="V413">
            <v>0</v>
          </cell>
          <cell r="W413">
            <v>0</v>
          </cell>
          <cell r="X413">
            <v>0</v>
          </cell>
          <cell r="Y413">
            <v>0</v>
          </cell>
          <cell r="Z413">
            <v>0</v>
          </cell>
          <cell r="AA413">
            <v>0</v>
          </cell>
          <cell r="AB413">
            <v>0</v>
          </cell>
          <cell r="AC413">
            <v>0</v>
          </cell>
          <cell r="AD413">
            <v>0</v>
          </cell>
          <cell r="AE413">
            <v>0</v>
          </cell>
          <cell r="AF413">
            <v>0</v>
          </cell>
        </row>
        <row r="414">
          <cell r="R414" t="str">
            <v>NMR</v>
          </cell>
          <cell r="S414" t="str">
            <v>Price Difference</v>
          </cell>
          <cell r="T414" t="str">
            <v>Qty</v>
          </cell>
          <cell r="U414">
            <v>0</v>
          </cell>
          <cell r="V414">
            <v>0</v>
          </cell>
          <cell r="W414">
            <v>0</v>
          </cell>
          <cell r="X414">
            <v>0</v>
          </cell>
          <cell r="Y414">
            <v>0</v>
          </cell>
          <cell r="Z414">
            <v>0</v>
          </cell>
          <cell r="AA414">
            <v>0</v>
          </cell>
          <cell r="AB414">
            <v>0</v>
          </cell>
          <cell r="AC414">
            <v>0</v>
          </cell>
          <cell r="AD414">
            <v>0</v>
          </cell>
          <cell r="AE414">
            <v>0</v>
          </cell>
          <cell r="AF414">
            <v>0</v>
          </cell>
        </row>
        <row r="415">
          <cell r="R415" t="str">
            <v>NMR</v>
          </cell>
          <cell r="S415" t="str">
            <v>Price Difference</v>
          </cell>
          <cell r="T415" t="str">
            <v>Value</v>
          </cell>
          <cell r="U415">
            <v>0</v>
          </cell>
          <cell r="V415">
            <v>0</v>
          </cell>
          <cell r="W415">
            <v>0</v>
          </cell>
          <cell r="X415">
            <v>0</v>
          </cell>
          <cell r="Y415">
            <v>0</v>
          </cell>
          <cell r="Z415">
            <v>0</v>
          </cell>
          <cell r="AA415">
            <v>0</v>
          </cell>
          <cell r="AB415">
            <v>0</v>
          </cell>
          <cell r="AC415">
            <v>0</v>
          </cell>
          <cell r="AD415">
            <v>0</v>
          </cell>
          <cell r="AE415">
            <v>0</v>
          </cell>
          <cell r="AF415">
            <v>0</v>
          </cell>
        </row>
        <row r="417">
          <cell r="R417" t="str">
            <v>NDP</v>
          </cell>
          <cell r="S417" t="str">
            <v>LPG</v>
          </cell>
          <cell r="T417" t="str">
            <v>Qty</v>
          </cell>
          <cell r="U417">
            <v>238.084</v>
          </cell>
          <cell r="V417">
            <v>494.15</v>
          </cell>
          <cell r="W417">
            <v>752.06399999999996</v>
          </cell>
          <cell r="X417">
            <v>969.673</v>
          </cell>
          <cell r="Y417">
            <v>1197.579</v>
          </cell>
          <cell r="Z417">
            <v>1431.5609999999999</v>
          </cell>
          <cell r="AA417">
            <v>1686.915</v>
          </cell>
          <cell r="AB417">
            <v>1969.8229999999999</v>
          </cell>
          <cell r="AC417">
            <v>2243.5509999999999</v>
          </cell>
          <cell r="AD417">
            <v>2243.5509999999999</v>
          </cell>
          <cell r="AE417">
            <v>2243.5509999999999</v>
          </cell>
          <cell r="AF417">
            <v>2243.5509999999999</v>
          </cell>
        </row>
        <row r="418">
          <cell r="R418" t="str">
            <v>NDP</v>
          </cell>
          <cell r="S418" t="str">
            <v>LPG</v>
          </cell>
          <cell r="T418" t="str">
            <v>Value</v>
          </cell>
          <cell r="U418">
            <v>158.30662100000001</v>
          </cell>
          <cell r="V418">
            <v>327.57291420000001</v>
          </cell>
          <cell r="W418">
            <v>489.8859248</v>
          </cell>
          <cell r="X418">
            <v>619.64207910000005</v>
          </cell>
          <cell r="Y418">
            <v>760.97955860000002</v>
          </cell>
          <cell r="Z418">
            <v>905.45363100000009</v>
          </cell>
          <cell r="AA418">
            <v>1059.3719779</v>
          </cell>
          <cell r="AB418">
            <v>1223.4280306000001</v>
          </cell>
          <cell r="AC418">
            <v>1362.0447506</v>
          </cell>
          <cell r="AD418">
            <v>1362.0447506</v>
          </cell>
          <cell r="AE418">
            <v>1362.0447506</v>
          </cell>
          <cell r="AF418">
            <v>1362.0447506</v>
          </cell>
        </row>
        <row r="419">
          <cell r="R419" t="str">
            <v>NDP</v>
          </cell>
          <cell r="S419" t="str">
            <v>LPG - ACL</v>
          </cell>
          <cell r="T419" t="str">
            <v>Qty</v>
          </cell>
          <cell r="U419">
            <v>0</v>
          </cell>
          <cell r="V419">
            <v>0</v>
          </cell>
          <cell r="W419">
            <v>0</v>
          </cell>
          <cell r="X419">
            <v>0</v>
          </cell>
          <cell r="Y419">
            <v>0</v>
          </cell>
          <cell r="Z419">
            <v>0</v>
          </cell>
          <cell r="AA419">
            <v>0</v>
          </cell>
          <cell r="AB419">
            <v>0</v>
          </cell>
          <cell r="AC419">
            <v>0</v>
          </cell>
          <cell r="AD419">
            <v>0</v>
          </cell>
          <cell r="AE419">
            <v>0</v>
          </cell>
          <cell r="AF419">
            <v>0</v>
          </cell>
        </row>
        <row r="420">
          <cell r="R420" t="str">
            <v>NDP</v>
          </cell>
          <cell r="S420" t="str">
            <v>LPG - ACL</v>
          </cell>
          <cell r="T420" t="str">
            <v>Value</v>
          </cell>
          <cell r="U420">
            <v>0</v>
          </cell>
          <cell r="V420">
            <v>0</v>
          </cell>
          <cell r="W420">
            <v>0</v>
          </cell>
          <cell r="X420">
            <v>0</v>
          </cell>
          <cell r="Y420">
            <v>0</v>
          </cell>
          <cell r="Z420">
            <v>0</v>
          </cell>
          <cell r="AA420">
            <v>0</v>
          </cell>
          <cell r="AB420">
            <v>0</v>
          </cell>
          <cell r="AC420">
            <v>0</v>
          </cell>
          <cell r="AD420">
            <v>0</v>
          </cell>
          <cell r="AE420">
            <v>0</v>
          </cell>
          <cell r="AF420">
            <v>0</v>
          </cell>
        </row>
        <row r="421">
          <cell r="R421" t="str">
            <v>NDP</v>
          </cell>
          <cell r="S421" t="str">
            <v>LNG</v>
          </cell>
          <cell r="T421" t="str">
            <v>Qty</v>
          </cell>
          <cell r="U421">
            <v>0</v>
          </cell>
          <cell r="V421">
            <v>0</v>
          </cell>
          <cell r="W421">
            <v>0</v>
          </cell>
          <cell r="X421">
            <v>0</v>
          </cell>
          <cell r="Y421">
            <v>0</v>
          </cell>
          <cell r="Z421">
            <v>0</v>
          </cell>
          <cell r="AA421">
            <v>0</v>
          </cell>
          <cell r="AB421">
            <v>0</v>
          </cell>
          <cell r="AC421">
            <v>0</v>
          </cell>
          <cell r="AD421">
            <v>0</v>
          </cell>
          <cell r="AE421">
            <v>0</v>
          </cell>
          <cell r="AF421">
            <v>0</v>
          </cell>
        </row>
        <row r="422">
          <cell r="R422" t="str">
            <v>NDP</v>
          </cell>
          <cell r="S422" t="str">
            <v>LNG</v>
          </cell>
          <cell r="T422" t="str">
            <v>Value</v>
          </cell>
          <cell r="U422">
            <v>0</v>
          </cell>
          <cell r="V422">
            <v>0</v>
          </cell>
          <cell r="W422">
            <v>0</v>
          </cell>
          <cell r="X422">
            <v>0</v>
          </cell>
          <cell r="Y422">
            <v>0</v>
          </cell>
          <cell r="Z422">
            <v>0</v>
          </cell>
          <cell r="AA422">
            <v>0</v>
          </cell>
          <cell r="AB422">
            <v>0</v>
          </cell>
          <cell r="AC422">
            <v>0</v>
          </cell>
          <cell r="AD422">
            <v>0</v>
          </cell>
          <cell r="AE422">
            <v>0</v>
          </cell>
          <cell r="AF422">
            <v>0</v>
          </cell>
        </row>
        <row r="423">
          <cell r="R423" t="str">
            <v>NDP</v>
          </cell>
          <cell r="S423" t="str">
            <v>PET FUEL</v>
          </cell>
          <cell r="T423" t="str">
            <v>Qty</v>
          </cell>
          <cell r="U423">
            <v>1688.3000000000002</v>
          </cell>
          <cell r="V423">
            <v>3373.7000000000003</v>
          </cell>
          <cell r="W423">
            <v>5191.3</v>
          </cell>
          <cell r="X423">
            <v>7222</v>
          </cell>
          <cell r="Y423">
            <v>8971.2000000000007</v>
          </cell>
          <cell r="Z423">
            <v>11045.400000000001</v>
          </cell>
          <cell r="AA423">
            <v>12901.100000000002</v>
          </cell>
          <cell r="AB423">
            <v>14790.200000000003</v>
          </cell>
          <cell r="AC423">
            <v>16819.400000000001</v>
          </cell>
          <cell r="AD423">
            <v>16819.400000000001</v>
          </cell>
          <cell r="AE423">
            <v>16819.400000000001</v>
          </cell>
          <cell r="AF423">
            <v>16819.400000000001</v>
          </cell>
        </row>
        <row r="424">
          <cell r="R424" t="str">
            <v>NDP</v>
          </cell>
          <cell r="S424" t="str">
            <v>PET FUEL</v>
          </cell>
          <cell r="T424" t="str">
            <v>Value</v>
          </cell>
          <cell r="U424">
            <v>234.89508441999993</v>
          </cell>
          <cell r="V424">
            <v>471.86960537066511</v>
          </cell>
          <cell r="W424">
            <v>724.17523919999996</v>
          </cell>
          <cell r="X424">
            <v>1003.1053485</v>
          </cell>
          <cell r="Y424">
            <v>1240.2132378000001</v>
          </cell>
          <cell r="Z424">
            <v>1527.6651318700001</v>
          </cell>
          <cell r="AA424">
            <v>1780.81985407</v>
          </cell>
          <cell r="AB424">
            <v>2036.364010614752</v>
          </cell>
          <cell r="AC424">
            <v>2278.954010614752</v>
          </cell>
          <cell r="AD424">
            <v>2278.954010614752</v>
          </cell>
          <cell r="AE424">
            <v>2278.954010614752</v>
          </cell>
          <cell r="AF424">
            <v>2278.954010614752</v>
          </cell>
        </row>
        <row r="425">
          <cell r="R425" t="str">
            <v>NDP</v>
          </cell>
          <cell r="S425" t="str">
            <v>HSD</v>
          </cell>
          <cell r="T425" t="str">
            <v>Qty</v>
          </cell>
          <cell r="U425">
            <v>10.119999999999999</v>
          </cell>
          <cell r="V425">
            <v>29.948999999999998</v>
          </cell>
          <cell r="W425">
            <v>43.124000000000002</v>
          </cell>
          <cell r="X425">
            <v>57.728999999999999</v>
          </cell>
          <cell r="Y425">
            <v>72.153999999999996</v>
          </cell>
          <cell r="Z425">
            <v>85.673999999999992</v>
          </cell>
          <cell r="AA425">
            <v>100.999</v>
          </cell>
          <cell r="AB425">
            <v>115.884</v>
          </cell>
          <cell r="AC425">
            <v>130.32400000000001</v>
          </cell>
          <cell r="AD425">
            <v>130.32400000000001</v>
          </cell>
          <cell r="AE425">
            <v>130.32400000000001</v>
          </cell>
          <cell r="AF425">
            <v>130.32400000000001</v>
          </cell>
        </row>
        <row r="426">
          <cell r="R426" t="str">
            <v>NDP</v>
          </cell>
          <cell r="S426" t="str">
            <v>HSD</v>
          </cell>
          <cell r="T426" t="str">
            <v>Value</v>
          </cell>
          <cell r="U426">
            <v>5.4315135999999997</v>
          </cell>
          <cell r="V426">
            <v>16.073952899999998</v>
          </cell>
          <cell r="W426">
            <v>23.1445936</v>
          </cell>
          <cell r="X426">
            <v>30.981880100000001</v>
          </cell>
          <cell r="Y426">
            <v>38.722576600000004</v>
          </cell>
          <cell r="Z426">
            <v>45.975599100000004</v>
          </cell>
          <cell r="AA426">
            <v>54.121984400000002</v>
          </cell>
          <cell r="AB426">
            <v>62.006492100000003</v>
          </cell>
          <cell r="AC426">
            <v>69.655282100000008</v>
          </cell>
          <cell r="AD426">
            <v>69.655282100000008</v>
          </cell>
          <cell r="AE426">
            <v>69.655282100000008</v>
          </cell>
          <cell r="AF426">
            <v>69.655282100000008</v>
          </cell>
        </row>
        <row r="427">
          <cell r="R427" t="str">
            <v>NDP</v>
          </cell>
          <cell r="S427" t="str">
            <v>Electricity ('1000 units)</v>
          </cell>
          <cell r="T427" t="str">
            <v>Qty</v>
          </cell>
          <cell r="U427">
            <v>3874</v>
          </cell>
          <cell r="V427">
            <v>7886.8150000000005</v>
          </cell>
          <cell r="W427">
            <v>12543.815000000001</v>
          </cell>
          <cell r="X427">
            <v>17967.815000000002</v>
          </cell>
          <cell r="Y427">
            <v>22964.815000000002</v>
          </cell>
          <cell r="Z427">
            <v>27411.815000000002</v>
          </cell>
          <cell r="AA427">
            <v>32139.815000000002</v>
          </cell>
          <cell r="AB427">
            <v>36555.815000000002</v>
          </cell>
          <cell r="AC427">
            <v>41178.815000000002</v>
          </cell>
          <cell r="AD427">
            <v>41178.815000000002</v>
          </cell>
          <cell r="AE427">
            <v>41178.815000000002</v>
          </cell>
          <cell r="AF427">
            <v>41178.815000000002</v>
          </cell>
        </row>
        <row r="428">
          <cell r="R428" t="str">
            <v>NDP</v>
          </cell>
          <cell r="S428" t="str">
            <v>Electricity ('1000 units)</v>
          </cell>
          <cell r="T428" t="str">
            <v>Value</v>
          </cell>
          <cell r="U428">
            <v>247.96582126040244</v>
          </cell>
          <cell r="V428">
            <v>480.1279555842616</v>
          </cell>
          <cell r="W428">
            <v>743.24269961445566</v>
          </cell>
          <cell r="X428">
            <v>977.76989551710358</v>
          </cell>
          <cell r="Y428">
            <v>1263.6550592346371</v>
          </cell>
          <cell r="Z428">
            <v>1507.6725495838355</v>
          </cell>
          <cell r="AA428">
            <v>1782.2404202578475</v>
          </cell>
          <cell r="AB428">
            <v>2036.1104202578476</v>
          </cell>
          <cell r="AC428">
            <v>2292.8404202578477</v>
          </cell>
          <cell r="AD428">
            <v>2292.8404202578477</v>
          </cell>
          <cell r="AE428">
            <v>2292.8404202578477</v>
          </cell>
          <cell r="AF428">
            <v>2292.8404202578477</v>
          </cell>
        </row>
        <row r="429">
          <cell r="R429" t="str">
            <v>NDP</v>
          </cell>
          <cell r="S429" t="str">
            <v>FURNACE OIL</v>
          </cell>
          <cell r="T429" t="str">
            <v>Qty</v>
          </cell>
          <cell r="U429">
            <v>0</v>
          </cell>
          <cell r="V429">
            <v>0</v>
          </cell>
          <cell r="W429">
            <v>0</v>
          </cell>
          <cell r="X429">
            <v>0</v>
          </cell>
          <cell r="Y429">
            <v>205.68</v>
          </cell>
          <cell r="Z429">
            <v>205.68</v>
          </cell>
          <cell r="AA429">
            <v>378.97</v>
          </cell>
          <cell r="AB429">
            <v>431.90800000000002</v>
          </cell>
          <cell r="AC429">
            <v>431.90800000000002</v>
          </cell>
          <cell r="AD429">
            <v>431.90800000000002</v>
          </cell>
          <cell r="AE429">
            <v>431.90800000000002</v>
          </cell>
          <cell r="AF429">
            <v>431.90800000000002</v>
          </cell>
        </row>
        <row r="430">
          <cell r="R430" t="str">
            <v>NDP</v>
          </cell>
          <cell r="S430" t="str">
            <v>FURNACE OIL</v>
          </cell>
          <cell r="T430" t="str">
            <v>Value</v>
          </cell>
          <cell r="U430">
            <v>0</v>
          </cell>
          <cell r="V430">
            <v>0</v>
          </cell>
          <cell r="W430">
            <v>0</v>
          </cell>
          <cell r="X430">
            <v>0</v>
          </cell>
          <cell r="Y430">
            <v>89.667566999999991</v>
          </cell>
          <cell r="Z430">
            <v>89.667566999999991</v>
          </cell>
          <cell r="AA430">
            <v>162.71423979999997</v>
          </cell>
          <cell r="AB430">
            <v>184.40201239999996</v>
          </cell>
          <cell r="AC430">
            <v>184.40201239999996</v>
          </cell>
          <cell r="AD430">
            <v>184.40201239999996</v>
          </cell>
          <cell r="AE430">
            <v>184.40201239999996</v>
          </cell>
          <cell r="AF430">
            <v>184.40201239999996</v>
          </cell>
        </row>
        <row r="431">
          <cell r="R431" t="str">
            <v>NDP</v>
          </cell>
          <cell r="S431" t="str">
            <v>Price Difference</v>
          </cell>
          <cell r="T431" t="str">
            <v>Qty</v>
          </cell>
          <cell r="U431">
            <v>0</v>
          </cell>
          <cell r="V431">
            <v>0</v>
          </cell>
          <cell r="W431">
            <v>0</v>
          </cell>
          <cell r="X431">
            <v>0</v>
          </cell>
          <cell r="Y431">
            <v>0</v>
          </cell>
          <cell r="Z431">
            <v>0</v>
          </cell>
          <cell r="AA431">
            <v>0</v>
          </cell>
          <cell r="AB431">
            <v>0</v>
          </cell>
          <cell r="AC431">
            <v>0</v>
          </cell>
          <cell r="AD431">
            <v>0</v>
          </cell>
          <cell r="AE431">
            <v>0</v>
          </cell>
          <cell r="AF431">
            <v>0</v>
          </cell>
        </row>
        <row r="432">
          <cell r="R432" t="str">
            <v>NDP</v>
          </cell>
          <cell r="S432" t="str">
            <v>Price Difference</v>
          </cell>
          <cell r="T432" t="str">
            <v>Value</v>
          </cell>
          <cell r="U432">
            <v>0</v>
          </cell>
          <cell r="V432">
            <v>0</v>
          </cell>
          <cell r="W432">
            <v>0</v>
          </cell>
          <cell r="X432">
            <v>0</v>
          </cell>
          <cell r="Y432">
            <v>0</v>
          </cell>
          <cell r="Z432">
            <v>0</v>
          </cell>
          <cell r="AA432">
            <v>0</v>
          </cell>
          <cell r="AB432">
            <v>0</v>
          </cell>
          <cell r="AC432">
            <v>0</v>
          </cell>
          <cell r="AD432">
            <v>0</v>
          </cell>
          <cell r="AE432">
            <v>0</v>
          </cell>
          <cell r="AF432">
            <v>0</v>
          </cell>
        </row>
      </sheetData>
      <sheetData sheetId="8"/>
      <sheetData sheetId="9"/>
      <sheetData sheetId="10"/>
      <sheetData sheetId="11"/>
      <sheetData sheetId="12"/>
      <sheetData sheetId="13"/>
      <sheetData sheetId="14" refreshError="1"/>
      <sheetData sheetId="15" refreshError="1"/>
      <sheetData sheetId="16" refreshError="1"/>
      <sheetData sheetId="17"/>
      <sheetData sheetId="18" refreshError="1"/>
      <sheetData sheetId="19" refreshError="1"/>
      <sheetData sheetId="20"/>
      <sheetData sheetId="21"/>
      <sheetData sheetId="22"/>
      <sheetData sheetId="23"/>
      <sheetData sheetId="2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Pivot Table"/>
      <sheetName val="ReasonCode"/>
      <sheetName val="PO Details"/>
      <sheetName val="Sheet2"/>
      <sheetName val="Pivot Table"/>
      <sheetName val="ReasonCode1"/>
      <sheetName val="Follow closure"/>
    </sheetNames>
    <sheetDataSet>
      <sheetData sheetId="0" refreshError="1"/>
      <sheetData sheetId="1" refreshError="1">
        <row r="1">
          <cell r="N1" t="str">
            <v>Location</v>
          </cell>
        </row>
        <row r="2">
          <cell r="A2" t="str">
            <v>Store Project Requirement</v>
          </cell>
          <cell r="B2" t="str">
            <v>Accel ICIM System &amp; Services</v>
          </cell>
          <cell r="K2" t="str">
            <v>Barcode Printers</v>
          </cell>
          <cell r="L2" t="str">
            <v>No Late Delivery Charge</v>
          </cell>
          <cell r="P2" t="str">
            <v>Sonal Devang</v>
          </cell>
          <cell r="Q2" t="str">
            <v>Amit Gupta</v>
          </cell>
          <cell r="R2" t="str">
            <v xml:space="preserve">Open </v>
          </cell>
          <cell r="S2" t="str">
            <v>AMC</v>
          </cell>
          <cell r="T2" t="str">
            <v>Abhay</v>
          </cell>
          <cell r="U2" t="str">
            <v>Bill not received</v>
          </cell>
        </row>
        <row r="3">
          <cell r="A3" t="str">
            <v>Store Requirement</v>
          </cell>
          <cell r="B3" t="str">
            <v>Aikon Marketing Services</v>
          </cell>
          <cell r="K3" t="str">
            <v>Barcode Scanners</v>
          </cell>
          <cell r="L3" t="str">
            <v>0.5% for every Week</v>
          </cell>
          <cell r="P3" t="str">
            <v>Clara Parab</v>
          </cell>
          <cell r="Q3" t="str">
            <v>Anand Adukia</v>
          </cell>
          <cell r="R3" t="str">
            <v>Closed</v>
          </cell>
          <cell r="S3" t="str">
            <v>Credit Note</v>
          </cell>
          <cell r="T3" t="str">
            <v>Ajit Narvekar</v>
          </cell>
          <cell r="U3" t="str">
            <v>Not Paid</v>
          </cell>
        </row>
        <row r="4">
          <cell r="A4" t="str">
            <v>Repairs &amp; Maintenance</v>
          </cell>
          <cell r="B4" t="str">
            <v>Alcatel Business Systems (ABS India Pvt Ltd.)</v>
          </cell>
          <cell r="K4" t="str">
            <v>Data Cartridges</v>
          </cell>
          <cell r="L4" t="str">
            <v>0.5% for every 3 days</v>
          </cell>
          <cell r="P4" t="str">
            <v>Swapnali Tatkare</v>
          </cell>
          <cell r="Q4" t="str">
            <v>Anilji</v>
          </cell>
          <cell r="R4" t="str">
            <v>Cancelled</v>
          </cell>
          <cell r="S4" t="str">
            <v>Invoice</v>
          </cell>
          <cell r="T4" t="str">
            <v>Avinash Shekhar</v>
          </cell>
          <cell r="U4" t="str">
            <v xml:space="preserve">Paid </v>
          </cell>
        </row>
        <row r="5">
          <cell r="A5" t="str">
            <v>Replacement</v>
          </cell>
          <cell r="B5" t="str">
            <v>Allied Digital Services</v>
          </cell>
          <cell r="K5" t="str">
            <v>EPABX</v>
          </cell>
          <cell r="L5" t="str">
            <v>0.5% for every 4 day</v>
          </cell>
          <cell r="P5" t="str">
            <v>Vijay Singh</v>
          </cell>
          <cell r="Q5" t="str">
            <v>CPT</v>
          </cell>
          <cell r="R5" t="str">
            <v>On-Hold</v>
          </cell>
          <cell r="S5" t="str">
            <v>Proforma Invoice</v>
          </cell>
          <cell r="T5" t="str">
            <v xml:space="preserve">Ajit  </v>
          </cell>
          <cell r="U5" t="str">
            <v>Part Payment</v>
          </cell>
        </row>
        <row r="6">
          <cell r="A6" t="str">
            <v>Miscellaneous</v>
          </cell>
          <cell r="B6" t="str">
            <v>Alpha Automations</v>
          </cell>
          <cell r="K6" t="str">
            <v>Electronic Article Survelliance</v>
          </cell>
          <cell r="L6" t="str">
            <v>0.5% for every day</v>
          </cell>
          <cell r="P6" t="str">
            <v>Anand Singh</v>
          </cell>
          <cell r="Q6" t="str">
            <v>Jitendra Sarode</v>
          </cell>
          <cell r="R6" t="str">
            <v>Awaiting Approval</v>
          </cell>
          <cell r="S6" t="str">
            <v>Service Contract</v>
          </cell>
          <cell r="T6" t="str">
            <v>Amit Kasat</v>
          </cell>
          <cell r="U6" t="str">
            <v>Split Payment</v>
          </cell>
        </row>
        <row r="7">
          <cell r="A7" t="str">
            <v>Head Office Requirement</v>
          </cell>
          <cell r="B7" t="str">
            <v>Alpha Carbonless Paper Mfg</v>
          </cell>
          <cell r="K7" t="str">
            <v>Server</v>
          </cell>
          <cell r="P7" t="str">
            <v>Vaishali Barve</v>
          </cell>
          <cell r="Q7" t="str">
            <v>Kishoreji</v>
          </cell>
          <cell r="S7" t="str">
            <v>Verbal Orders</v>
          </cell>
          <cell r="T7" t="str">
            <v>Abhijit</v>
          </cell>
        </row>
        <row r="8">
          <cell r="P8" t="str">
            <v>Nitin Nivargi</v>
          </cell>
          <cell r="T8" t="str">
            <v>Niraj Chopara</v>
          </cell>
        </row>
        <row r="9">
          <cell r="A9" t="str">
            <v>Tarapur Warehouse - G6</v>
          </cell>
          <cell r="B9" t="str">
            <v>Aarkay Power Systems Pvt Ltd</v>
          </cell>
          <cell r="K9" t="str">
            <v>Laptop</v>
          </cell>
          <cell r="Q9" t="str">
            <v>Purchase for Vendor</v>
          </cell>
          <cell r="T9" t="str">
            <v>Arun Sharma</v>
          </cell>
        </row>
        <row r="10">
          <cell r="A10" t="str">
            <v>Tarapur - J72</v>
          </cell>
          <cell r="B10" t="str">
            <v>Auro Power Systems (P) Ltd</v>
          </cell>
          <cell r="K10" t="str">
            <v>LCD Monitors</v>
          </cell>
          <cell r="Q10" t="str">
            <v>Rakeshji</v>
          </cell>
          <cell r="T10" t="str">
            <v>Aashish Sonthalia</v>
          </cell>
        </row>
        <row r="11">
          <cell r="B11" t="str">
            <v>Barcode India Ltd</v>
          </cell>
          <cell r="K11" t="str">
            <v>Networking Active</v>
          </cell>
          <cell r="Q11" t="str">
            <v>Vijayji</v>
          </cell>
          <cell r="T11" t="str">
            <v>Dinesh Jain</v>
          </cell>
        </row>
        <row r="12">
          <cell r="B12" t="str">
            <v>Bartronics India Ltd</v>
          </cell>
          <cell r="K12" t="str">
            <v>Networking Passive</v>
          </cell>
          <cell r="Q12" t="str">
            <v>Yet to approve</v>
          </cell>
          <cell r="T12" t="str">
            <v>Prashant Kate</v>
          </cell>
        </row>
        <row r="13">
          <cell r="B13" t="str">
            <v>Bharat Enterprises</v>
          </cell>
          <cell r="K13" t="str">
            <v>Weigh Scales</v>
          </cell>
          <cell r="Q13" t="str">
            <v>Chinar Deshpande</v>
          </cell>
          <cell r="T13" t="str">
            <v>Girish Harsh</v>
          </cell>
        </row>
        <row r="14">
          <cell r="B14" t="str">
            <v>Bizerba South East Asia</v>
          </cell>
          <cell r="K14" t="str">
            <v>PC</v>
          </cell>
          <cell r="T14" t="str">
            <v>James John</v>
          </cell>
        </row>
        <row r="15">
          <cell r="B15" t="str">
            <v>Blue Chip Computers</v>
          </cell>
          <cell r="K15" t="str">
            <v>Peripherals</v>
          </cell>
          <cell r="T15" t="str">
            <v>Jayesh</v>
          </cell>
        </row>
        <row r="16">
          <cell r="B16" t="str">
            <v>BSES</v>
          </cell>
          <cell r="K16" t="str">
            <v>POS</v>
          </cell>
          <cell r="T16" t="str">
            <v>Moreshwar Akirde</v>
          </cell>
        </row>
        <row r="17">
          <cell r="B17" t="str">
            <v>Checkpoint</v>
          </cell>
          <cell r="K17" t="str">
            <v>Services</v>
          </cell>
          <cell r="T17" t="str">
            <v>Mukesh Sharma</v>
          </cell>
        </row>
        <row r="18">
          <cell r="B18" t="str">
            <v>Choice Solutions Limited</v>
          </cell>
          <cell r="K18" t="str">
            <v>Software</v>
          </cell>
          <cell r="T18" t="str">
            <v>Pradeep Utekar</v>
          </cell>
        </row>
        <row r="19">
          <cell r="B19" t="str">
            <v>Consul Consolidated Pvt. Ltd.</v>
          </cell>
          <cell r="K19" t="str">
            <v>Thermal Printer</v>
          </cell>
          <cell r="T19" t="str">
            <v>Shuhash</v>
          </cell>
        </row>
        <row r="20">
          <cell r="B20" t="str">
            <v>Dell India Pvt Ltd</v>
          </cell>
          <cell r="K20" t="str">
            <v>Projector</v>
          </cell>
          <cell r="T20" t="str">
            <v>Vasant Parte</v>
          </cell>
        </row>
        <row r="21">
          <cell r="B21" t="str">
            <v>Digital Hi-Ways</v>
          </cell>
          <cell r="K21" t="str">
            <v>UPS / Inverters</v>
          </cell>
          <cell r="T21" t="str">
            <v>Raghu Ghadi</v>
          </cell>
        </row>
        <row r="22">
          <cell r="B22" t="str">
            <v>DishNet DSL Ltd</v>
          </cell>
          <cell r="K22" t="str">
            <v>Printer /Scanner</v>
          </cell>
          <cell r="T22" t="str">
            <v>Reena Satra</v>
          </cell>
        </row>
        <row r="23">
          <cell r="B23" t="str">
            <v>Divya Electro Technica Pvt. Ltd.</v>
          </cell>
          <cell r="K23" t="str">
            <v>RFID</v>
          </cell>
          <cell r="T23" t="str">
            <v>Rajesh Bhakde</v>
          </cell>
        </row>
        <row r="24">
          <cell r="B24" t="str">
            <v>Divyabhi Enterprises</v>
          </cell>
          <cell r="T24" t="str">
            <v>Rajesh Kalyani</v>
          </cell>
        </row>
        <row r="25">
          <cell r="B25" t="str">
            <v>Dixit Infotech Services</v>
          </cell>
          <cell r="T25" t="str">
            <v>Ramavtar Sharma</v>
          </cell>
        </row>
        <row r="26">
          <cell r="B26" t="str">
            <v>Dhananjay Industrial Engineers Pvt Ltd</v>
          </cell>
          <cell r="T26" t="str">
            <v>Pushpendra</v>
          </cell>
        </row>
        <row r="27">
          <cell r="B27" t="str">
            <v>Enkay Telecom. (I) Pvt. Ltd.</v>
          </cell>
          <cell r="K27" t="str">
            <v>Others</v>
          </cell>
          <cell r="T27" t="str">
            <v>Vijay</v>
          </cell>
        </row>
        <row r="28">
          <cell r="B28" t="str">
            <v>E-pos International(India)</v>
          </cell>
          <cell r="T28" t="str">
            <v>Ravi Goel</v>
          </cell>
        </row>
        <row r="29">
          <cell r="B29" t="str">
            <v>Essae Technologies</v>
          </cell>
          <cell r="T29" t="str">
            <v>Pravin Sarvade</v>
          </cell>
        </row>
        <row r="30">
          <cell r="B30" t="str">
            <v>GEIS Infotech Pvt. Ltd.</v>
          </cell>
          <cell r="T30" t="str">
            <v>Sachin Sharma</v>
          </cell>
        </row>
        <row r="31">
          <cell r="T31" t="str">
            <v>Sandeep Manjrekar</v>
          </cell>
        </row>
        <row r="32">
          <cell r="B32" t="str">
            <v>Goldline</v>
          </cell>
          <cell r="T32" t="str">
            <v>Ravi kejariwal</v>
          </cell>
        </row>
        <row r="33">
          <cell r="B33" t="str">
            <v>Griffin Products Pvt. Ltd.</v>
          </cell>
          <cell r="T33" t="str">
            <v>Umesh Raut</v>
          </cell>
        </row>
        <row r="34">
          <cell r="B34" t="str">
            <v>GTL Limited</v>
          </cell>
          <cell r="T34" t="str">
            <v>Vijayji - Personal (Atul)</v>
          </cell>
        </row>
        <row r="35">
          <cell r="B35" t="str">
            <v>HCL Infosystems Ltd.</v>
          </cell>
          <cell r="T35" t="str">
            <v>Vinay</v>
          </cell>
        </row>
        <row r="36">
          <cell r="B36" t="str">
            <v>HCL Infosystems Ltd. (Frontline Div)</v>
          </cell>
          <cell r="T36" t="str">
            <v>Harshad</v>
          </cell>
        </row>
        <row r="37">
          <cell r="B37" t="str">
            <v>ICICI Infotech</v>
          </cell>
          <cell r="T37" t="str">
            <v>Satish Mandalia</v>
          </cell>
        </row>
        <row r="38">
          <cell r="B38" t="str">
            <v>IndSoft Systems Pvt. Ltd</v>
          </cell>
          <cell r="T38" t="str">
            <v>Mahesh Gattani</v>
          </cell>
        </row>
        <row r="39">
          <cell r="B39" t="str">
            <v>Infonet Network Systems</v>
          </cell>
          <cell r="T39" t="str">
            <v>Vijay Kasera</v>
          </cell>
        </row>
        <row r="40">
          <cell r="B40" t="str">
            <v>Insight Business Systems Pvt. Ltd</v>
          </cell>
        </row>
        <row r="41">
          <cell r="B41" t="str">
            <v xml:space="preserve">Interlabels Industries (P) Ltd </v>
          </cell>
        </row>
        <row r="42">
          <cell r="B42" t="str">
            <v>JK Technosoft</v>
          </cell>
        </row>
        <row r="43">
          <cell r="B43" t="str">
            <v>Kalakriti Systems</v>
          </cell>
        </row>
        <row r="44">
          <cell r="B44" t="str">
            <v>Kanal Communications and Electronics</v>
          </cell>
        </row>
        <row r="45">
          <cell r="B45" t="str">
            <v>Kay Impex</v>
          </cell>
        </row>
        <row r="46">
          <cell r="B46" t="str">
            <v>La Vision</v>
          </cell>
        </row>
        <row r="47">
          <cell r="B47" t="str">
            <v>LDS Infotech Pvt Ltd</v>
          </cell>
        </row>
        <row r="48">
          <cell r="B48" t="str">
            <v>LG Electronics (Roop Technologies)</v>
          </cell>
        </row>
        <row r="49">
          <cell r="B49" t="str">
            <v>Lipi Data Systems Ltd.</v>
          </cell>
        </row>
        <row r="50">
          <cell r="B50" t="str">
            <v>Lucky Forms Pvt. Ltd.</v>
          </cell>
        </row>
        <row r="51">
          <cell r="B51" t="str">
            <v>Matrix Solutions Pvt. Ltd.</v>
          </cell>
        </row>
        <row r="52">
          <cell r="B52" t="str">
            <v>Mechel Systems &amp; Services</v>
          </cell>
        </row>
        <row r="53">
          <cell r="B53" t="str">
            <v>Micro Clinic</v>
          </cell>
        </row>
        <row r="54">
          <cell r="B54" t="str">
            <v>Micro Mind Infotech</v>
          </cell>
        </row>
        <row r="55">
          <cell r="B55" t="str">
            <v>Mx Information Systems P Ltd</v>
          </cell>
        </row>
        <row r="56">
          <cell r="B56" t="str">
            <v>Net4 India Ltd</v>
          </cell>
        </row>
        <row r="57">
          <cell r="B57" t="str">
            <v>Neutron Electronic Systems Pvt. Ltd.</v>
          </cell>
        </row>
        <row r="58">
          <cell r="B58" t="str">
            <v>NexStep</v>
          </cell>
        </row>
        <row r="59">
          <cell r="B59" t="str">
            <v>Online Network Systems</v>
          </cell>
        </row>
        <row r="60">
          <cell r="B60" t="str">
            <v>Optimal Infotech Pvt. Ltd.</v>
          </cell>
        </row>
        <row r="61">
          <cell r="B61" t="str">
            <v>PSC Inc</v>
          </cell>
        </row>
        <row r="62">
          <cell r="B62" t="str">
            <v>Purple Infotech (P) Ltd.</v>
          </cell>
        </row>
        <row r="63">
          <cell r="B63" t="str">
            <v>Rachana Overseas Pvt. Ltd</v>
          </cell>
        </row>
        <row r="64">
          <cell r="B64" t="str">
            <v>Rajkamal Barscan Systems</v>
          </cell>
        </row>
        <row r="65">
          <cell r="B65" t="str">
            <v>Reliance Communications Infrastructure Ltd</v>
          </cell>
        </row>
        <row r="66">
          <cell r="B66" t="str">
            <v>Retail Solutions India P. Ltd.</v>
          </cell>
        </row>
        <row r="67">
          <cell r="B67" t="str">
            <v>Rishi Electronics</v>
          </cell>
        </row>
        <row r="68">
          <cell r="B68" t="str">
            <v>Roop Technologies Pvt. Ltd.</v>
          </cell>
        </row>
        <row r="69">
          <cell r="B69" t="str">
            <v>RSG Infotech (P) Ltd</v>
          </cell>
        </row>
        <row r="70">
          <cell r="B70" t="str">
            <v>Satyam Computer Services</v>
          </cell>
        </row>
        <row r="71">
          <cell r="B71" t="str">
            <v>Sejutronics</v>
          </cell>
        </row>
        <row r="72">
          <cell r="B72" t="str">
            <v>Sentronics</v>
          </cell>
        </row>
        <row r="73">
          <cell r="B73" t="str">
            <v>SETUNET</v>
          </cell>
        </row>
        <row r="74">
          <cell r="B74" t="str">
            <v>Shree Satguru Industries</v>
          </cell>
        </row>
        <row r="75">
          <cell r="B75" t="str">
            <v>Siemens Ltd</v>
          </cell>
        </row>
        <row r="76">
          <cell r="B76" t="str">
            <v>Sify Limited</v>
          </cell>
        </row>
        <row r="77">
          <cell r="B77" t="str">
            <v>Sigma Solutions (P) Ltd</v>
          </cell>
        </row>
        <row r="78">
          <cell r="B78" t="str">
            <v xml:space="preserve">Sky Infotech </v>
          </cell>
        </row>
        <row r="79">
          <cell r="B79" t="str">
            <v>Speedage Couriers</v>
          </cell>
        </row>
        <row r="80">
          <cell r="B80" t="str">
            <v>Spicenet Limited</v>
          </cell>
        </row>
        <row r="81">
          <cell r="B81" t="str">
            <v xml:space="preserve">Stallion Systems and Solutions </v>
          </cell>
        </row>
        <row r="82">
          <cell r="B82" t="str">
            <v>Swan Solutions &amp; Services P. Ltd.</v>
          </cell>
        </row>
        <row r="83">
          <cell r="B83" t="str">
            <v>Best IT World (India) Pvt Ltd</v>
          </cell>
        </row>
        <row r="84">
          <cell r="B84" t="str">
            <v>Tulip IT Services Ltd.</v>
          </cell>
        </row>
        <row r="85">
          <cell r="B85" t="str">
            <v>Unilogic Systems (India) Pvt. Ltd.</v>
          </cell>
        </row>
        <row r="86">
          <cell r="B86" t="str">
            <v>Upstronics Corporation</v>
          </cell>
        </row>
        <row r="87">
          <cell r="B87" t="str">
            <v>Vertex Solution, Zenith PC World</v>
          </cell>
        </row>
        <row r="88">
          <cell r="B88" t="str">
            <v>Videsh Shanchar Nigam Ltd</v>
          </cell>
        </row>
        <row r="89">
          <cell r="B89" t="str">
            <v>Wincor Nixdorf Pte Ltd.</v>
          </cell>
        </row>
        <row r="90">
          <cell r="B90" t="str">
            <v>Wipro Infotech</v>
          </cell>
        </row>
        <row r="91">
          <cell r="B91" t="str">
            <v>Worldwide Systems</v>
          </cell>
        </row>
        <row r="92">
          <cell r="B92" t="str">
            <v>XSIS Power Systems Pvt. Ltd.</v>
          </cell>
        </row>
        <row r="93">
          <cell r="B93" t="str">
            <v>Zenith Computers Limited</v>
          </cell>
        </row>
        <row r="94">
          <cell r="B94" t="str">
            <v>Deloitte Touche Tohmatshu</v>
          </cell>
        </row>
        <row r="95">
          <cell r="B95" t="str">
            <v>Intellicon Pvt Ltd</v>
          </cell>
        </row>
        <row r="96">
          <cell r="B96" t="str">
            <v>Sun Data Processing</v>
          </cell>
        </row>
        <row r="97">
          <cell r="B97" t="str">
            <v>PCS Industries Ltd</v>
          </cell>
        </row>
        <row r="98">
          <cell r="B98" t="str">
            <v>Web Peripherals Ltd</v>
          </cell>
        </row>
        <row r="99">
          <cell r="B99" t="str">
            <v>Saicom Data Consultancy</v>
          </cell>
        </row>
        <row r="100">
          <cell r="B100" t="str">
            <v>HCL Technologies Ltd</v>
          </cell>
        </row>
        <row r="101">
          <cell r="B101" t="str">
            <v>Asia Infotech</v>
          </cell>
        </row>
        <row r="102">
          <cell r="B102" t="str">
            <v>RC ALL-TECH POWER SYSTEMS PVT. LTD</v>
          </cell>
        </row>
        <row r="103">
          <cell r="B103" t="str">
            <v>Weigh-Biz India Pvt Ltd.</v>
          </cell>
        </row>
        <row r="104">
          <cell r="B104" t="str">
            <v>Zensar Technologies Ltd</v>
          </cell>
        </row>
        <row r="105">
          <cell r="B105" t="str">
            <v>CMS Computers Ltd</v>
          </cell>
        </row>
        <row r="106">
          <cell r="B106" t="str">
            <v>Logix Consultancy Group Pvt Ltd</v>
          </cell>
        </row>
        <row r="107">
          <cell r="B107" t="str">
            <v>Aaditya Computers</v>
          </cell>
        </row>
        <row r="108">
          <cell r="B108" t="str">
            <v>Redington India Ltd</v>
          </cell>
        </row>
        <row r="109">
          <cell r="B109" t="str">
            <v>3i Infotech Ltd</v>
          </cell>
        </row>
        <row r="110">
          <cell r="B110" t="str">
            <v>Progressive Infotech (P) Ltd</v>
          </cell>
        </row>
        <row r="111">
          <cell r="B111" t="str">
            <v>Basawa Technologies</v>
          </cell>
        </row>
        <row r="112">
          <cell r="B112" t="str">
            <v>Vinayak Electronics</v>
          </cell>
        </row>
        <row r="113">
          <cell r="B113" t="str">
            <v>HCL Infinet Ltd</v>
          </cell>
        </row>
        <row r="114">
          <cell r="B114" t="str">
            <v>Supersonic Infotech</v>
          </cell>
        </row>
        <row r="115">
          <cell r="B115" t="str">
            <v>Nirmal Datacomm Pvt Ltd.</v>
          </cell>
        </row>
        <row r="116">
          <cell r="B116" t="str">
            <v>Data Care Corporation</v>
          </cell>
        </row>
        <row r="117">
          <cell r="B117" t="str">
            <v>Mahavir Syspower Pvt Ltd</v>
          </cell>
        </row>
        <row r="118">
          <cell r="B118" t="str">
            <v>Bytes World</v>
          </cell>
        </row>
        <row r="119">
          <cell r="B119" t="str">
            <v>Mettler-Toledo India Pvt Ltd</v>
          </cell>
        </row>
        <row r="120">
          <cell r="B120" t="str">
            <v>Online Netsys (India) Pvt Ltd</v>
          </cell>
        </row>
        <row r="121">
          <cell r="B121" t="str">
            <v>Leading Network Systems Pvt Ltd</v>
          </cell>
        </row>
        <row r="122">
          <cell r="B122" t="str">
            <v>Jogani Enterprises</v>
          </cell>
        </row>
        <row r="123">
          <cell r="B123" t="str">
            <v>GES Technologies Limited (Datamini)</v>
          </cell>
        </row>
        <row r="124">
          <cell r="B124" t="str">
            <v>VITS IT SHOPPE Pvt Ltd</v>
          </cell>
        </row>
        <row r="125">
          <cell r="B125" t="str">
            <v>Fdisk (I) Pvt Ltd</v>
          </cell>
        </row>
        <row r="126">
          <cell r="B126" t="str">
            <v>BombayBiz India Pvt Ltd</v>
          </cell>
        </row>
        <row r="127">
          <cell r="B127" t="str">
            <v>Citix Automation Technologies Pvt Ltd</v>
          </cell>
        </row>
        <row r="128">
          <cell r="B128" t="str">
            <v>Lauren Information Technologies Pvt Ltd</v>
          </cell>
        </row>
        <row r="129">
          <cell r="B129" t="str">
            <v>PCS Technology Ltd</v>
          </cell>
        </row>
        <row r="130">
          <cell r="B130" t="str">
            <v>Delta Full Enterprises (P) Ltd</v>
          </cell>
        </row>
        <row r="131">
          <cell r="B131" t="str">
            <v>Swizer Tech Pvt Ltd</v>
          </cell>
        </row>
        <row r="132">
          <cell r="B132" t="str">
            <v>Interex Designs</v>
          </cell>
        </row>
        <row r="133">
          <cell r="B133" t="str">
            <v>Kalos Designs</v>
          </cell>
        </row>
        <row r="134">
          <cell r="B134" t="str">
            <v>Sunil Electricals</v>
          </cell>
        </row>
        <row r="135">
          <cell r="B135" t="str">
            <v>Plus Business Machines Ltd</v>
          </cell>
        </row>
        <row r="136">
          <cell r="B136" t="str">
            <v>Zaco Computer</v>
          </cell>
        </row>
        <row r="137">
          <cell r="B137" t="str">
            <v>Infoways Technologies</v>
          </cell>
        </row>
        <row r="138">
          <cell r="B138" t="str">
            <v>Aforeserve.com Ltd</v>
          </cell>
        </row>
        <row r="139">
          <cell r="B139" t="str">
            <v>BPE (I) Pvt Ltd</v>
          </cell>
        </row>
        <row r="140">
          <cell r="B140" t="str">
            <v>Veetrag Computers</v>
          </cell>
        </row>
        <row r="141">
          <cell r="B141" t="str">
            <v>Bhandarkar Associates</v>
          </cell>
        </row>
        <row r="142">
          <cell r="B142" t="str">
            <v>S.R. Network</v>
          </cell>
        </row>
        <row r="143">
          <cell r="B143" t="str">
            <v>N.R.Infotech</v>
          </cell>
        </row>
        <row r="144">
          <cell r="B144" t="str">
            <v>Bright Enterprises</v>
          </cell>
        </row>
        <row r="145">
          <cell r="B145" t="str">
            <v>Avishkar Interiors</v>
          </cell>
        </row>
        <row r="146">
          <cell r="B146" t="str">
            <v>Vinay Enterprises</v>
          </cell>
        </row>
        <row r="147">
          <cell r="B147" t="str">
            <v xml:space="preserve">NEcX </v>
          </cell>
        </row>
        <row r="148">
          <cell r="B148" t="str">
            <v>Epitom Networks Ltd</v>
          </cell>
        </row>
        <row r="149">
          <cell r="B149" t="str">
            <v>Bhagwati Enterprises</v>
          </cell>
        </row>
        <row r="150">
          <cell r="B150" t="str">
            <v>Neesan Technologies Private Limited</v>
          </cell>
        </row>
        <row r="151">
          <cell r="B151" t="str">
            <v>Diagraph Impex Pvt Ltd</v>
          </cell>
        </row>
        <row r="152">
          <cell r="B152" t="str">
            <v>Esskay Technologys</v>
          </cell>
        </row>
        <row r="153">
          <cell r="B153" t="str">
            <v>Ujwal Systems</v>
          </cell>
        </row>
        <row r="154">
          <cell r="B154" t="str">
            <v>Total Presentation Devices (P) Ltd</v>
          </cell>
        </row>
        <row r="155">
          <cell r="B155" t="str">
            <v>Palsona Enterprise</v>
          </cell>
        </row>
        <row r="156">
          <cell r="B156" t="str">
            <v>Syscomp Impex Pvt Ltd</v>
          </cell>
        </row>
        <row r="157">
          <cell r="B157" t="str">
            <v>Emerson Network Power (I) Pvt. Ltd</v>
          </cell>
        </row>
        <row r="158">
          <cell r="B158" t="str">
            <v>Paramount Office Systems Private Ltd.</v>
          </cell>
        </row>
        <row r="159">
          <cell r="B159" t="str">
            <v>Reliable Systems</v>
          </cell>
        </row>
        <row r="160">
          <cell r="B160" t="str">
            <v>Megahertz Systems Pvt. Ltd.</v>
          </cell>
        </row>
        <row r="161">
          <cell r="B161" t="str">
            <v>Addvantage Inc.</v>
          </cell>
        </row>
        <row r="162">
          <cell r="B162" t="str">
            <v>Ontrack Solutions Pvt Ltd</v>
          </cell>
        </row>
        <row r="163">
          <cell r="B163" t="str">
            <v>Protocol Solutions Pvt. Ltd.</v>
          </cell>
        </row>
        <row r="164">
          <cell r="B164" t="str">
            <v>Alpha Data Centre</v>
          </cell>
        </row>
        <row r="165">
          <cell r="B165" t="str">
            <v>IVL Group of Companies</v>
          </cell>
        </row>
        <row r="166">
          <cell r="B166" t="str">
            <v>Adigear International</v>
          </cell>
        </row>
        <row r="167">
          <cell r="B167" t="str">
            <v>Pearl Marketing</v>
          </cell>
        </row>
        <row r="168">
          <cell r="B168" t="str">
            <v>Surabhi Computers</v>
          </cell>
        </row>
        <row r="169">
          <cell r="B169" t="str">
            <v>Advance Computers</v>
          </cell>
        </row>
        <row r="170">
          <cell r="B170" t="str">
            <v>PC Technowledge Center Pvt Ltd</v>
          </cell>
        </row>
        <row r="171">
          <cell r="B171" t="str">
            <v>Brainpower Computers</v>
          </cell>
        </row>
        <row r="172">
          <cell r="B172" t="str">
            <v>Access 2 Future</v>
          </cell>
        </row>
        <row r="173">
          <cell r="B173" t="str">
            <v>Hutchison Max Telecom Ltd</v>
          </cell>
        </row>
        <row r="174">
          <cell r="B174" t="str">
            <v>C-MOS Systems</v>
          </cell>
        </row>
        <row r="175">
          <cell r="B175" t="str">
            <v>ABS India Pvt. Ltd.</v>
          </cell>
        </row>
        <row r="176">
          <cell r="B176" t="str">
            <v>Wysetek Systems Technologists P Ltd</v>
          </cell>
        </row>
        <row r="177">
          <cell r="B177" t="str">
            <v>Smile Infotech</v>
          </cell>
        </row>
        <row r="178">
          <cell r="B178" t="str">
            <v xml:space="preserve">Accrue Systems </v>
          </cell>
        </row>
        <row r="179">
          <cell r="B179" t="str">
            <v>Kalyx Infotech Pvt Ltd.</v>
          </cell>
        </row>
        <row r="180">
          <cell r="B180" t="str">
            <v>Accord Communications Ltd</v>
          </cell>
        </row>
        <row r="181">
          <cell r="B181" t="str">
            <v>Accel Transmatic Limited</v>
          </cell>
        </row>
        <row r="182">
          <cell r="B182" t="str">
            <v>e-Network Associates</v>
          </cell>
        </row>
        <row r="183">
          <cell r="B183" t="str">
            <v>Electronics &amp; Controls Power System</v>
          </cell>
        </row>
        <row r="184">
          <cell r="B184" t="str">
            <v>Pyramid Solutions</v>
          </cell>
        </row>
        <row r="185">
          <cell r="B185" t="str">
            <v>Shree Ram Infotech</v>
          </cell>
        </row>
        <row r="186">
          <cell r="B186" t="str">
            <v>S.V.Electronics Ltd</v>
          </cell>
        </row>
        <row r="187">
          <cell r="B187" t="str">
            <v>Groupsoft Technologies</v>
          </cell>
        </row>
        <row r="188">
          <cell r="B188" t="str">
            <v>Directi Internet Solutions Pvt Ltd.</v>
          </cell>
        </row>
        <row r="189">
          <cell r="B189" t="str">
            <v>Wondersoft Pite Ltd</v>
          </cell>
        </row>
        <row r="190">
          <cell r="B190" t="str">
            <v>Dixit Infotech Service Pvt Ltd.</v>
          </cell>
        </row>
        <row r="191">
          <cell r="B191" t="str">
            <v>Vijay Stationers</v>
          </cell>
        </row>
        <row r="192">
          <cell r="B192" t="str">
            <v>The Enigma</v>
          </cell>
        </row>
        <row r="193">
          <cell r="B193" t="str">
            <v>Avesta Infoways Pvt Ltd</v>
          </cell>
        </row>
        <row r="194">
          <cell r="B194" t="str">
            <v>Surbhi Computers</v>
          </cell>
        </row>
        <row r="195">
          <cell r="B195" t="str">
            <v>Telekonnectors Limited</v>
          </cell>
        </row>
        <row r="196">
          <cell r="B196" t="str">
            <v>Selrack Electronic Enclosures Pvt Ltd</v>
          </cell>
        </row>
        <row r="197">
          <cell r="B197" t="str">
            <v>Tata Teleservices (Maharastra ) Limited</v>
          </cell>
        </row>
        <row r="198">
          <cell r="B198" t="str">
            <v>Home Solutions Retails (India) Ltd</v>
          </cell>
        </row>
        <row r="199">
          <cell r="B199" t="str">
            <v>Milli Productions Pvt Ltd</v>
          </cell>
        </row>
        <row r="200">
          <cell r="B200" t="str">
            <v>POS Solutions Pvt Ltd</v>
          </cell>
        </row>
        <row r="201">
          <cell r="B201" t="str">
            <v>M-tech Computer Serivces</v>
          </cell>
        </row>
        <row r="202">
          <cell r="B202" t="str">
            <v>Unicorn Infosolutions Pvt Ltd</v>
          </cell>
        </row>
        <row r="203">
          <cell r="B203" t="str">
            <v>Epoch Electronica Ltd.</v>
          </cell>
        </row>
        <row r="204">
          <cell r="B204" t="str">
            <v>Komal Infotech</v>
          </cell>
        </row>
        <row r="205">
          <cell r="B205" t="str">
            <v>Intex Technologies (India) Ltd</v>
          </cell>
        </row>
        <row r="206">
          <cell r="B206" t="str">
            <v xml:space="preserve">Itizen </v>
          </cell>
        </row>
        <row r="207">
          <cell r="B207" t="str">
            <v>Bizerba India Pvt Ltd</v>
          </cell>
        </row>
        <row r="208">
          <cell r="B208" t="str">
            <v>Mantech Engineers</v>
          </cell>
        </row>
        <row r="209">
          <cell r="B209" t="str">
            <v>Bombay Trading Co.</v>
          </cell>
        </row>
        <row r="210">
          <cell r="B210" t="str">
            <v>Super Book Ho</v>
          </cell>
        </row>
        <row r="211">
          <cell r="B211" t="str">
            <v>Team Computers Pvt Ltd</v>
          </cell>
        </row>
      </sheetData>
      <sheetData sheetId="2" refreshError="1"/>
      <sheetData sheetId="3" refreshError="1"/>
      <sheetData sheetId="4" refreshError="1"/>
      <sheetData sheetId="5" refreshError="1"/>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Leadsheet"/>
      <sheetName val="Analytical"/>
      <sheetName val="FA Movement"/>
      <sheetName val="Phy Verifn"/>
      <sheetName val="Sample-PhyVer"/>
      <sheetName val="Additions"/>
      <sheetName val="Sample-Addn"/>
      <sheetName val="Depn"/>
      <sheetName val="Disposals"/>
      <sheetName val="CWIP"/>
      <sheetName val="Sample-CWIP"/>
      <sheetName val="Excess Calc"/>
      <sheetName val="Threshold Calc"/>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s Rev"/>
      <sheetName val="Land Rev"/>
      <sheetName val="Leasehold "/>
      <sheetName val="Buildings Rev"/>
      <sheetName val="LAND"/>
      <sheetName val="Technology Rev"/>
      <sheetName val="Motor Veh Rev"/>
      <sheetName val="Plant Mach Rev"/>
      <sheetName val="MOTOR VEHICLE"/>
      <sheetName val="PLANT _ MACHINERY"/>
      <sheetName val="office Euip rev"/>
      <sheetName val="OFFICE EQUIPMENTS"/>
      <sheetName val="Furn_Fix Rev"/>
      <sheetName val="FURNITURE _ FIXTURES"/>
      <sheetName val="TOOLS"/>
      <sheetName val="Misc Assets Rev"/>
      <sheetName val="Depn"/>
      <sheetName val="Depreciation"/>
      <sheetName val="BUILDINGS"/>
      <sheetName val="TECHNOLOGY"/>
      <sheetName val="IMPORTED ASSETS"/>
      <sheetName val="tools break up"/>
      <sheetName val="MISC ASSETS"/>
      <sheetName val="Rates"/>
      <sheetName val="Groupings 2004"/>
      <sheetName val="CRITERIA1"/>
      <sheetName val="BS - Sch"/>
      <sheetName val="J901"/>
      <sheetName val="Others"/>
      <sheetName val="Rates Used"/>
      <sheetName val="Corp"/>
      <sheetName val="BASE REAL"/>
      <sheetName val="Capital Structure"/>
      <sheetName val="EXPENSES"/>
      <sheetName val="UNIDADES"/>
      <sheetName val="June 2000"/>
      <sheetName val="BP-CT1"/>
      <sheetName val="BP-CT2"/>
      <sheetName val="BP-ST1"/>
      <sheetName val="Purchases-CT1"/>
      <sheetName val="FN-QMLLC"/>
      <sheetName val="Sales"/>
      <sheetName val="BST"/>
      <sheetName val="Tools_Rev"/>
      <sheetName val="Land_Rev"/>
      <sheetName val="Leasehold_"/>
      <sheetName val="Buildings_Rev"/>
      <sheetName val="Technology_Rev"/>
      <sheetName val="Motor_Veh_Rev"/>
      <sheetName val="Plant_Mach_Rev"/>
      <sheetName val="MOTOR_VEHICLE"/>
      <sheetName val="PLANT___MACHINERY"/>
      <sheetName val="office_Euip_rev"/>
      <sheetName val="OFFICE_EQUIPMENTS"/>
      <sheetName val="Furn_Fix_Rev"/>
      <sheetName val="FURNITURE___FIXTURES"/>
      <sheetName val="Misc_Assets_Rev"/>
      <sheetName val="IMPORTED_ASSETS"/>
      <sheetName val="tools_break_up"/>
      <sheetName val="MISC_ASSETS"/>
      <sheetName val="Apr 08 to Mar 09"/>
      <sheetName val="INCOME"/>
      <sheetName val="1 - B1 (KBIs)"/>
      <sheetName val="Cover"/>
      <sheetName val="Balance Sheet "/>
      <sheetName val="P&amp;L Act. 2000a"/>
      <sheetName val="DF"/>
      <sheetName val="B_U_10"/>
      <sheetName val="B_U_12"/>
      <sheetName val="B_U_3"/>
      <sheetName val="B_U_4"/>
      <sheetName val="B_U_5"/>
      <sheetName val="B_U_6"/>
      <sheetName val="B_U_7"/>
      <sheetName val="B_U_8"/>
      <sheetName val="TB Jan-Dec96"/>
      <sheetName val="Managerial Remuneration-Dec96"/>
      <sheetName val="BS&amp;PL_DEC96"/>
      <sheetName val="BTB"/>
      <sheetName val="cf"/>
      <sheetName val="orders"/>
      <sheetName val="Scenarios"/>
      <sheetName val="Input Sheet"/>
      <sheetName val="Criteria"/>
      <sheetName val="Tools_Rev1"/>
      <sheetName val="Land_Rev1"/>
      <sheetName val="Leasehold_1"/>
      <sheetName val="Buildings_Rev1"/>
      <sheetName val="Technology_Rev1"/>
      <sheetName val="Motor_Veh_Rev1"/>
      <sheetName val="Plant_Mach_Rev1"/>
      <sheetName val="MOTOR_VEHICLE1"/>
      <sheetName val="PLANT___MACHINERY1"/>
      <sheetName val="office_Euip_rev1"/>
      <sheetName val="OFFICE_EQUIPMENTS1"/>
      <sheetName val="Furn_Fix_Rev1"/>
      <sheetName val="FURNITURE___FIXTURES1"/>
      <sheetName val="Misc_Assets_Rev1"/>
      <sheetName val="IMPORTED_ASSETS1"/>
      <sheetName val="tools_break_up1"/>
      <sheetName val="MISC_ASSETS1"/>
      <sheetName val="Groupings_2004"/>
      <sheetName val="BS_-_Sch"/>
      <sheetName val="Rates_Used"/>
      <sheetName val="BASE_REAL"/>
      <sheetName val="June_2000"/>
      <sheetName val="Apr_08_to_Mar_09"/>
      <sheetName val="Capital_Structure"/>
      <sheetName val="budget"/>
      <sheetName val="spares"/>
      <sheetName val="balance"/>
      <sheetName val="TB"/>
      <sheetName val="Masters"/>
      <sheetName val="Det.Prod.Line"/>
      <sheetName val="BL-Bud"/>
      <sheetName val="BS-Bud"/>
      <sheetName val="GW-Bud"/>
      <sheetName val="Head Office-Bud"/>
      <sheetName val="MS-Bud"/>
      <sheetName val="PL-Bud"/>
      <sheetName val="TB-Bud"/>
      <sheetName val="TM-Bud"/>
      <sheetName val="YS-Bud"/>
      <sheetName val="P&amp;L February"/>
      <sheetName val="P&amp;L Feb 2001 cumulative"/>
      <sheetName val="WORKINGS"/>
      <sheetName val="SPILL OVER"/>
      <sheetName val="Pristine Budget - High"/>
      <sheetName val="Sheet3"/>
      <sheetName val="Brand"/>
      <sheetName val="PackSize"/>
      <sheetName val="PackagingType"/>
      <sheetName val="Plant"/>
      <sheetName val="ProductHierarchy"/>
      <sheetName val="PurchGroup"/>
      <sheetName val="Sub-brand"/>
      <sheetName val="UOM"/>
      <sheetName val="Variant"/>
      <sheetName val="jan'04"/>
      <sheetName val="EXCH"/>
      <sheetName val="Accounts"/>
      <sheetName val="Coversheet"/>
      <sheetName val="Computation"/>
      <sheetName val="Project Name10-11"/>
      <sheetName val="P&amp;L"/>
      <sheetName val="SCH-A,B,C"/>
      <sheetName val="Tools_Rev2"/>
      <sheetName val="Land_Rev2"/>
      <sheetName val="Leasehold_2"/>
      <sheetName val="Buildings_Rev2"/>
      <sheetName val="Technology_Rev2"/>
      <sheetName val="Motor_Veh_Rev2"/>
      <sheetName val="Plant_Mach_Rev2"/>
      <sheetName val="MOTOR_VEHICLE2"/>
      <sheetName val="PLANT___MACHINERY2"/>
      <sheetName val="office_Euip_rev2"/>
      <sheetName val="OFFICE_EQUIPMENTS2"/>
      <sheetName val="Furn_Fix_Rev2"/>
      <sheetName val="FURNITURE___FIXTURES2"/>
      <sheetName val="Misc_Assets_Rev2"/>
      <sheetName val="IMPORTED_ASSETS2"/>
      <sheetName val="tools_break_up2"/>
      <sheetName val="MISC_ASSETS2"/>
      <sheetName val="Rates_Used1"/>
      <sheetName val="Groupings_20041"/>
      <sheetName val="BS_-_Sch1"/>
      <sheetName val="BASE_REAL1"/>
      <sheetName val="June_20001"/>
      <sheetName val="Apr_08_to_Mar_091"/>
      <sheetName val="Capital_Structure1"/>
      <sheetName val="Input_Sheet"/>
      <sheetName val="P&amp;L_Act__2000a"/>
      <sheetName val="Balance_Sheet_"/>
      <sheetName val="1_-_B1_(KBIs)"/>
      <sheetName val="SPILL_OVER"/>
      <sheetName val="Pristine_Budget_-_High"/>
      <sheetName val="P&amp;L_February"/>
      <sheetName val="P&amp;L_Feb_2001_cumulative"/>
      <sheetName val="Det_Prod_Line"/>
      <sheetName val="Head_Office-Bud"/>
      <sheetName val="Tools_Rev3"/>
      <sheetName val="Land_Rev3"/>
      <sheetName val="Leasehold_3"/>
      <sheetName val="Buildings_Rev3"/>
      <sheetName val="Technology_Rev3"/>
      <sheetName val="Motor_Veh_Rev3"/>
      <sheetName val="Plant_Mach_Rev3"/>
      <sheetName val="MOTOR_VEHICLE3"/>
      <sheetName val="PLANT___MACHINERY3"/>
      <sheetName val="office_Euip_rev3"/>
      <sheetName val="OFFICE_EQUIPMENTS3"/>
      <sheetName val="Furn_Fix_Rev3"/>
      <sheetName val="FURNITURE___FIXTURES3"/>
      <sheetName val="Misc_Assets_Rev3"/>
      <sheetName val="IMPORTED_ASSETS3"/>
      <sheetName val="tools_break_up3"/>
      <sheetName val="MISC_ASSETS3"/>
      <sheetName val="Rates_Used2"/>
      <sheetName val="Groupings_20042"/>
      <sheetName val="BS_-_Sch2"/>
      <sheetName val="BASE_REAL2"/>
      <sheetName val="June_20002"/>
      <sheetName val="Apr_08_to_Mar_092"/>
      <sheetName val="Capital_Structure2"/>
      <sheetName val="Input_Sheet1"/>
      <sheetName val="P&amp;L_Act__2000a1"/>
      <sheetName val="Balance_Sheet_1"/>
      <sheetName val="1_-_B1_(KBIs)1"/>
      <sheetName val="SPILL_OVER1"/>
      <sheetName val="Pristine_Budget_-_High1"/>
      <sheetName val="P&amp;L_February1"/>
      <sheetName val="P&amp;L_Feb_2001_cumulative1"/>
      <sheetName val="Det_Prod_Line1"/>
      <sheetName val="Head_Office-Bu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Sensitivity"/>
      <sheetName val="Valuation"/>
      <sheetName val="Capitalization"/>
      <sheetName val="Key Statistics"/>
      <sheetName val="OpStmt"/>
      <sheetName val="OpStmt-M"/>
      <sheetName val="Returns"/>
      <sheetName val="Returns-M"/>
      <sheetName val="Returns-Q"/>
      <sheetName val="Partner Promote"/>
      <sheetName val="A-General"/>
      <sheetName val="A-Global"/>
      <sheetName val="A-Debt"/>
      <sheetName val="Debt"/>
      <sheetName val="A-Tax"/>
      <sheetName val="Tax"/>
      <sheetName val="A-Rentroll"/>
      <sheetName val="A-Tenancies"/>
      <sheetName val="A-LeasingTerm"/>
      <sheetName val="PrintManagerCode"/>
      <sheetName val="A-CurrMktRent"/>
      <sheetName val="A-Growth"/>
      <sheetName val="A-StepUps"/>
      <sheetName val="A-SpecificRent"/>
      <sheetName val="A-MinVac"/>
      <sheetName val="A-Expenses"/>
      <sheetName val="A-Other"/>
      <sheetName val="MktRent"/>
      <sheetName val="ReportManagerCode"/>
      <sheetName val="Occ"/>
      <sheetName val="Rent"/>
      <sheetName val="Renewal"/>
      <sheetName val="LeaseStatus"/>
      <sheetName val="StepUps"/>
      <sheetName val="Fund &amp; Investor Summary"/>
      <sheetName val="Investment Summary"/>
      <sheetName val="Class A"/>
      <sheetName val="Class B"/>
      <sheetName val="Macro"/>
      <sheetName val="A_General"/>
      <sheetName val="Case_Sensitivity"/>
      <sheetName val="Key_Statistics"/>
      <sheetName val="Partner_Promote"/>
      <sheetName val="Fund_&amp;_Investor_Summary"/>
      <sheetName val="Investment_Summary"/>
      <sheetName val="Class_A"/>
      <sheetName val="Class_B"/>
      <sheetName val="CRITERIA1"/>
    </sheetNames>
    <sheetDataSet>
      <sheetData sheetId="0"/>
      <sheetData sheetId="1"/>
      <sheetData sheetId="2"/>
      <sheetData sheetId="3"/>
      <sheetData sheetId="4"/>
      <sheetData sheetId="5"/>
      <sheetData sheetId="6"/>
      <sheetData sheetId="7"/>
      <sheetData sheetId="8"/>
      <sheetData sheetId="9"/>
      <sheetData sheetId="10" refreshError="1">
        <row r="13">
          <cell r="AJ13" t="str">
            <v>Project Victoria</v>
          </cell>
        </row>
        <row r="69">
          <cell r="AJ69">
            <v>60</v>
          </cell>
        </row>
      </sheetData>
      <sheetData sheetId="11">
        <row r="13">
          <cell r="AJ13" t="str">
            <v>Project Victoria</v>
          </cell>
        </row>
      </sheetData>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esidual Maturity_RTL"/>
      <sheetName val="Assumptions"/>
      <sheetName val="Working"/>
      <sheetName val="Financial"/>
      <sheetName val="DSCR"/>
      <sheetName val="TPCL_Level"/>
      <sheetName val="Presentation"/>
      <sheetName val="Coal_Inc"/>
      <sheetName val="Indices"/>
      <sheetName val="Domestic Coal"/>
      <sheetName val="Debt Schedule"/>
      <sheetName val="Dep&amp;WC Schedule"/>
      <sheetName val="Tax Sheet"/>
      <sheetName val="CERC Esc. rates"/>
      <sheetName val="Sheet1 (2)"/>
      <sheetName val="Hist_IndAS"/>
      <sheetName val="Historical_FS"/>
      <sheetName val="Sheet1"/>
      <sheetName val="Historical Analysis"/>
      <sheetName val="Coal SPV Debt Details"/>
      <sheetName val="Calculation"/>
      <sheetName val="Residual Maturity_ECB"/>
      <sheetName val="Assumption_Basis"/>
      <sheetName val="Residual Maturity_SPV_New"/>
      <sheetName val="Residual Maturity_SPV_Old"/>
      <sheetName val="Sheet2"/>
    </sheetNames>
    <sheetDataSet>
      <sheetData sheetId="0" refreshError="1">
        <row r="34">
          <cell r="C34">
            <v>9435.6541581280981</v>
          </cell>
        </row>
        <row r="38">
          <cell r="D38">
            <v>64.849999999999994</v>
          </cell>
        </row>
      </sheetData>
      <sheetData sheetId="1" refreshError="1"/>
      <sheetData sheetId="2" refreshError="1">
        <row r="12">
          <cell r="D12">
            <v>41355</v>
          </cell>
        </row>
        <row r="40">
          <cell r="C40">
            <v>7.8600000000000003E-2</v>
          </cell>
        </row>
        <row r="44">
          <cell r="C44">
            <v>0.92</v>
          </cell>
        </row>
        <row r="45">
          <cell r="C45">
            <v>0.9</v>
          </cell>
        </row>
        <row r="59">
          <cell r="D59">
            <v>2.18E-2</v>
          </cell>
        </row>
        <row r="60">
          <cell r="D60">
            <v>0</v>
          </cell>
        </row>
        <row r="61">
          <cell r="D61">
            <v>4.24E-2</v>
          </cell>
        </row>
        <row r="67">
          <cell r="E67">
            <v>0</v>
          </cell>
        </row>
        <row r="92">
          <cell r="C92">
            <v>0.8</v>
          </cell>
          <cell r="D92">
            <v>0</v>
          </cell>
        </row>
        <row r="241">
          <cell r="C241">
            <v>0</v>
          </cell>
        </row>
        <row r="333">
          <cell r="D333">
            <v>0.15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0">
          <cell r="I30">
            <v>149.57653631305359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Historical Data"/>
      <sheetName val="2. Forecast Drivers"/>
      <sheetName val="3. Results"/>
      <sheetName val="4. Valuation Summary"/>
      <sheetName val="5. Operating lease Calc"/>
      <sheetName val="6. Regressed Beta"/>
      <sheetName val="7. Fundamental Beta"/>
      <sheetName val="8. Market Risk Premium"/>
      <sheetName val="9. WACC"/>
      <sheetName val="10. Revenue Forecast"/>
      <sheetName val="11. Other Items Forecast"/>
      <sheetName val="12. Yen Sensitivity"/>
      <sheetName val="13. Scenario2"/>
      <sheetName val="14. Value Including Option"/>
      <sheetName val="15. Simulation"/>
      <sheetName val="16. Fair Value Investments"/>
      <sheetName val="17. Summary of Regression"/>
      <sheetName val="18. PE Regression"/>
      <sheetName val="19. EV-EBITDA Regression"/>
      <sheetName val="20. EV-Sales Regression"/>
      <sheetName val="21. Funadamental Multiples"/>
      <sheetName val="22. Implied Multiples"/>
      <sheetName val="23. Multiples Analysis"/>
      <sheetName val="24. RVG"/>
      <sheetName val="25. Sensitivity Analysis"/>
      <sheetName val="26. Optimal Capital Structure"/>
      <sheetName val="27. McKinsey Pentagon"/>
      <sheetName val="28. Phase2 Feedback Response"/>
      <sheetName val="29. Analyst Interaction"/>
    </sheetNames>
    <sheetDataSet>
      <sheetData sheetId="0" refreshError="1"/>
      <sheetData sheetId="1" refreshError="1"/>
      <sheetData sheetId="2">
        <row r="8">
          <cell r="D8" t="str">
            <v xml:space="preserve">Maruti Suzuki </v>
          </cell>
        </row>
        <row r="9">
          <cell r="D9" t="str">
            <v>Base</v>
          </cell>
        </row>
        <row r="10">
          <cell r="D10">
            <v>41364</v>
          </cell>
        </row>
        <row r="11">
          <cell r="D11">
            <v>41759</v>
          </cell>
        </row>
        <row r="12">
          <cell r="D12">
            <v>43190</v>
          </cell>
        </row>
        <row r="13">
          <cell r="D13">
            <v>47208</v>
          </cell>
        </row>
        <row r="14">
          <cell r="D14" t="str">
            <v>INR</v>
          </cell>
        </row>
        <row r="15">
          <cell r="D15">
            <v>1000000</v>
          </cell>
        </row>
        <row r="18">
          <cell r="D18">
            <v>1982.05</v>
          </cell>
        </row>
        <row r="19">
          <cell r="D19">
            <v>1904.95</v>
          </cell>
        </row>
        <row r="25">
          <cell r="E25">
            <v>90812</v>
          </cell>
          <cell r="F25">
            <v>109770</v>
          </cell>
          <cell r="G25">
            <v>120877</v>
          </cell>
          <cell r="H25">
            <v>147217</v>
          </cell>
          <cell r="I25">
            <v>180208</v>
          </cell>
          <cell r="J25">
            <v>205579</v>
          </cell>
          <cell r="K25">
            <v>293028</v>
          </cell>
          <cell r="L25">
            <v>363330</v>
          </cell>
          <cell r="M25">
            <v>351972</v>
          </cell>
          <cell r="N25">
            <v>432159</v>
          </cell>
          <cell r="O25">
            <v>440802.18</v>
          </cell>
          <cell r="P25">
            <v>496143.71666388656</v>
          </cell>
          <cell r="Q25">
            <v>583915.63763428596</v>
          </cell>
          <cell r="R25">
            <v>663869.18110177503</v>
          </cell>
          <cell r="S25">
            <v>763820.71267218166</v>
          </cell>
        </row>
        <row r="28">
          <cell r="E28">
            <v>278</v>
          </cell>
          <cell r="F28">
            <v>492</v>
          </cell>
          <cell r="G28">
            <v>555</v>
          </cell>
          <cell r="H28">
            <v>667</v>
          </cell>
          <cell r="I28">
            <v>833</v>
          </cell>
          <cell r="J28">
            <v>1043</v>
          </cell>
          <cell r="K28">
            <v>2887</v>
          </cell>
          <cell r="L28">
            <v>8228</v>
          </cell>
          <cell r="M28">
            <v>8927</v>
          </cell>
          <cell r="N28">
            <v>10885</v>
          </cell>
          <cell r="O28">
            <v>11102.7</v>
          </cell>
          <cell r="P28">
            <v>14995.937206129427</v>
          </cell>
          <cell r="Q28">
            <v>20590.316068643457</v>
          </cell>
          <cell r="R28">
            <v>30098.155691139327</v>
          </cell>
          <cell r="S28">
            <v>38477.451389126225</v>
          </cell>
        </row>
        <row r="31">
          <cell r="E31">
            <v>-70263</v>
          </cell>
          <cell r="F31">
            <v>-85674</v>
          </cell>
          <cell r="G31">
            <v>-92858</v>
          </cell>
          <cell r="H31">
            <v>-111607</v>
          </cell>
          <cell r="I31">
            <v>-137878</v>
          </cell>
          <cell r="J31">
            <v>-164166</v>
          </cell>
          <cell r="K31">
            <v>-227066</v>
          </cell>
          <cell r="L31">
            <v>-287350</v>
          </cell>
          <cell r="M31">
            <v>-284692</v>
          </cell>
          <cell r="N31">
            <v>-330070</v>
          </cell>
          <cell r="O31">
            <v>-330059.36729999998</v>
          </cell>
          <cell r="P31">
            <v>-367776.36166117032</v>
          </cell>
          <cell r="Q31">
            <v>-428459.67010432953</v>
          </cell>
          <cell r="R31">
            <v>-487127.1669991602</v>
          </cell>
          <cell r="S31">
            <v>-560468.58394867659</v>
          </cell>
        </row>
        <row r="34">
          <cell r="E34">
            <v>-2975</v>
          </cell>
          <cell r="F34">
            <v>-2021</v>
          </cell>
          <cell r="G34">
            <v>-2377</v>
          </cell>
          <cell r="H34">
            <v>-7975</v>
          </cell>
          <cell r="I34">
            <v>-9779</v>
          </cell>
          <cell r="J34">
            <v>-4813</v>
          </cell>
          <cell r="K34">
            <v>-5605</v>
          </cell>
          <cell r="L34">
            <v>-7319</v>
          </cell>
          <cell r="M34">
            <v>-8779</v>
          </cell>
          <cell r="N34">
            <v>-11202</v>
          </cell>
          <cell r="O34">
            <v>-12342.46104</v>
          </cell>
          <cell r="P34">
            <v>-14884.311499916595</v>
          </cell>
          <cell r="Q34">
            <v>-17517.469129028577</v>
          </cell>
          <cell r="R34">
            <v>-19916.075433053251</v>
          </cell>
          <cell r="S34">
            <v>-22914.621380165448</v>
          </cell>
        </row>
        <row r="37">
          <cell r="E37">
            <v>-7823</v>
          </cell>
          <cell r="F37">
            <v>-8671</v>
          </cell>
          <cell r="G37">
            <v>-10512</v>
          </cell>
          <cell r="H37">
            <v>-8990</v>
          </cell>
          <cell r="I37">
            <v>-11428</v>
          </cell>
          <cell r="J37">
            <v>-24068</v>
          </cell>
          <cell r="K37">
            <v>-28120</v>
          </cell>
          <cell r="L37">
            <v>-40077</v>
          </cell>
          <cell r="M37">
            <v>-42177</v>
          </cell>
          <cell r="N37">
            <v>-58497</v>
          </cell>
          <cell r="O37">
            <v>-57304.2834</v>
          </cell>
          <cell r="P37">
            <v>-64498.683166305258</v>
          </cell>
          <cell r="Q37">
            <v>-75909.03289245718</v>
          </cell>
          <cell r="R37">
            <v>-86302.993543230754</v>
          </cell>
          <cell r="S37">
            <v>-99296.692647383621</v>
          </cell>
        </row>
        <row r="42">
          <cell r="E42">
            <v>402</v>
          </cell>
          <cell r="F42">
            <v>853</v>
          </cell>
          <cell r="G42">
            <v>600</v>
          </cell>
          <cell r="H42">
            <v>1224</v>
          </cell>
          <cell r="I42">
            <v>3280</v>
          </cell>
          <cell r="J42">
            <v>2562</v>
          </cell>
          <cell r="K42">
            <v>1321</v>
          </cell>
          <cell r="L42">
            <v>11822</v>
          </cell>
          <cell r="M42">
            <v>7380</v>
          </cell>
          <cell r="N42">
            <v>4289</v>
          </cell>
          <cell r="O42">
            <v>7486.8244308005442</v>
          </cell>
          <cell r="P42">
            <v>9974.3024857781147</v>
          </cell>
          <cell r="Q42">
            <v>9923.6996304360437</v>
          </cell>
          <cell r="R42">
            <v>10623.21472401077</v>
          </cell>
          <cell r="S42">
            <v>13383.143709318405</v>
          </cell>
        </row>
        <row r="45">
          <cell r="E45">
            <v>4398</v>
          </cell>
          <cell r="F45">
            <v>6734</v>
          </cell>
          <cell r="G45">
            <v>8894</v>
          </cell>
          <cell r="H45">
            <v>7123</v>
          </cell>
          <cell r="I45">
            <v>10483</v>
          </cell>
          <cell r="J45">
            <v>9213</v>
          </cell>
          <cell r="K45">
            <v>12276</v>
          </cell>
          <cell r="L45">
            <v>14386</v>
          </cell>
          <cell r="M45">
            <v>18378</v>
          </cell>
          <cell r="N45">
            <v>18872</v>
          </cell>
          <cell r="O45">
            <v>19546.486584820075</v>
          </cell>
          <cell r="P45">
            <v>22304.307203318302</v>
          </cell>
          <cell r="Q45">
            <v>27032.639903068415</v>
          </cell>
          <cell r="R45">
            <v>29751.777395311536</v>
          </cell>
          <cell r="S45">
            <v>34450.128784282657</v>
          </cell>
        </row>
        <row r="48">
          <cell r="E48">
            <v>6894</v>
          </cell>
          <cell r="F48">
            <v>6161</v>
          </cell>
          <cell r="G48">
            <v>6767</v>
          </cell>
          <cell r="H48">
            <v>7767</v>
          </cell>
          <cell r="I48">
            <v>6798</v>
          </cell>
          <cell r="J48">
            <v>9788</v>
          </cell>
          <cell r="K48">
            <v>8494</v>
          </cell>
          <cell r="L48">
            <v>8813</v>
          </cell>
          <cell r="M48">
            <v>10066</v>
          </cell>
          <cell r="N48">
            <v>14892</v>
          </cell>
          <cell r="O48">
            <v>12816.4977050135</v>
          </cell>
          <cell r="P48">
            <v>14436.540098455065</v>
          </cell>
          <cell r="Q48">
            <v>17697.212530975583</v>
          </cell>
          <cell r="R48">
            <v>20404.061686781737</v>
          </cell>
          <cell r="S48">
            <v>22764.87054566207</v>
          </cell>
        </row>
        <row r="51">
          <cell r="E51">
            <v>4050</v>
          </cell>
          <cell r="F51">
            <v>4730</v>
          </cell>
          <cell r="G51">
            <v>6351</v>
          </cell>
          <cell r="H51">
            <v>9256</v>
          </cell>
          <cell r="I51">
            <v>8667</v>
          </cell>
          <cell r="J51">
            <v>25972</v>
          </cell>
          <cell r="K51">
            <v>23461</v>
          </cell>
          <cell r="L51">
            <v>26923</v>
          </cell>
          <cell r="M51">
            <v>34658</v>
          </cell>
          <cell r="N51">
            <v>42868</v>
          </cell>
          <cell r="O51">
            <v>38771.607943501258</v>
          </cell>
          <cell r="P51">
            <v>44618.284479980161</v>
          </cell>
          <cell r="Q51">
            <v>54822.397938860369</v>
          </cell>
          <cell r="R51">
            <v>61568.820899705919</v>
          </cell>
          <cell r="S51">
            <v>69606.413637226447</v>
          </cell>
        </row>
        <row r="54">
          <cell r="E54">
            <v>6495</v>
          </cell>
          <cell r="F54">
            <v>6794</v>
          </cell>
          <cell r="G54">
            <v>7033</v>
          </cell>
          <cell r="H54">
            <v>9674</v>
          </cell>
          <cell r="I54">
            <v>10904</v>
          </cell>
          <cell r="J54">
            <v>988</v>
          </cell>
          <cell r="K54">
            <v>883</v>
          </cell>
          <cell r="L54">
            <v>8989</v>
          </cell>
          <cell r="M54">
            <v>11801</v>
          </cell>
          <cell r="N54">
            <v>16875</v>
          </cell>
          <cell r="O54">
            <v>17212.5</v>
          </cell>
          <cell r="P54">
            <v>19373.483413982089</v>
          </cell>
          <cell r="Q54">
            <v>22800.812629329888</v>
          </cell>
          <cell r="R54">
            <v>25922.848838257341</v>
          </cell>
          <cell r="S54">
            <v>29825.769048759983</v>
          </cell>
        </row>
        <row r="57">
          <cell r="E57">
            <v>7576</v>
          </cell>
          <cell r="F57">
            <v>7676</v>
          </cell>
          <cell r="G57">
            <v>9858</v>
          </cell>
          <cell r="H57">
            <v>11221</v>
          </cell>
          <cell r="I57">
            <v>16302</v>
          </cell>
          <cell r="J57">
            <v>5103</v>
          </cell>
          <cell r="K57">
            <v>6153</v>
          </cell>
          <cell r="L57">
            <v>13721</v>
          </cell>
          <cell r="M57">
            <v>21175</v>
          </cell>
          <cell r="N57">
            <v>18212</v>
          </cell>
          <cell r="O57">
            <v>17749.505042984987</v>
          </cell>
          <cell r="P57">
            <v>19977.908006196722</v>
          </cell>
          <cell r="Q57">
            <v>23512.16492365703</v>
          </cell>
          <cell r="R57">
            <v>26731.604135551846</v>
          </cell>
          <cell r="S57">
            <v>30756.289797639558</v>
          </cell>
        </row>
        <row r="59">
          <cell r="E59">
            <v>6563</v>
          </cell>
          <cell r="F59">
            <v>8136</v>
          </cell>
          <cell r="G59">
            <v>7085</v>
          </cell>
          <cell r="H59">
            <v>5311</v>
          </cell>
          <cell r="I59">
            <v>6496</v>
          </cell>
          <cell r="J59">
            <v>-8524</v>
          </cell>
          <cell r="K59">
            <v>-6640</v>
          </cell>
          <cell r="L59">
            <v>3366</v>
          </cell>
          <cell r="M59">
            <v>-8208</v>
          </cell>
          <cell r="N59">
            <v>-6152</v>
          </cell>
          <cell r="O59">
            <v>541.19573414787737</v>
          </cell>
          <cell r="P59">
            <v>1492.4407153566972</v>
          </cell>
          <cell r="Q59">
            <v>-880.19816870747309</v>
          </cell>
          <cell r="R59">
            <v>-1598.5223908963817</v>
          </cell>
          <cell r="S59">
            <v>61.208653157114895</v>
          </cell>
        </row>
        <row r="60">
          <cell r="F60">
            <v>1573</v>
          </cell>
          <cell r="G60">
            <v>-1051</v>
          </cell>
          <cell r="H60">
            <v>-1774</v>
          </cell>
          <cell r="I60">
            <v>1185</v>
          </cell>
          <cell r="J60">
            <v>-15020</v>
          </cell>
          <cell r="K60">
            <v>1884</v>
          </cell>
          <cell r="L60">
            <v>10006</v>
          </cell>
          <cell r="M60">
            <v>-11574</v>
          </cell>
          <cell r="N60">
            <v>2056</v>
          </cell>
          <cell r="O60">
            <v>6693.1957341478774</v>
          </cell>
          <cell r="P60">
            <v>951.24498120881981</v>
          </cell>
          <cell r="Q60">
            <v>-2372.6388840641703</v>
          </cell>
          <cell r="R60">
            <v>-718.32422218890861</v>
          </cell>
          <cell r="S60">
            <v>1659.7310440534966</v>
          </cell>
        </row>
        <row r="66">
          <cell r="E66">
            <v>18308</v>
          </cell>
          <cell r="F66">
            <v>19085</v>
          </cell>
          <cell r="G66">
            <v>17348</v>
          </cell>
          <cell r="H66">
            <v>26996</v>
          </cell>
          <cell r="I66">
            <v>33393</v>
          </cell>
          <cell r="J66">
            <v>42163</v>
          </cell>
          <cell r="K66">
            <v>51554</v>
          </cell>
          <cell r="L66">
            <v>56261</v>
          </cell>
          <cell r="M66">
            <v>75340</v>
          </cell>
          <cell r="N66">
            <v>97977</v>
          </cell>
          <cell r="O66">
            <v>116633.67830479622</v>
          </cell>
          <cell r="P66">
            <v>135278.29984372438</v>
          </cell>
          <cell r="Q66">
            <v>157536.27893639778</v>
          </cell>
          <cell r="R66">
            <v>181224.90824737551</v>
          </cell>
          <cell r="S66">
            <v>209592.45058390609</v>
          </cell>
        </row>
        <row r="72">
          <cell r="F72">
            <v>4961</v>
          </cell>
          <cell r="G72">
            <v>4397</v>
          </cell>
          <cell r="H72">
            <v>11991</v>
          </cell>
          <cell r="I72">
            <v>17430</v>
          </cell>
          <cell r="J72">
            <v>16132</v>
          </cell>
          <cell r="K72">
            <v>18556</v>
          </cell>
          <cell r="L72">
            <v>26542</v>
          </cell>
          <cell r="M72">
            <v>32244</v>
          </cell>
          <cell r="N72">
            <v>36906</v>
          </cell>
          <cell r="O72">
            <v>39012.906845658174</v>
          </cell>
          <cell r="P72">
            <v>43140.555937822464</v>
          </cell>
          <cell r="Q72">
            <v>51225.772898417861</v>
          </cell>
          <cell r="R72">
            <v>57982.258037274638</v>
          </cell>
          <cell r="S72">
            <v>66860.252688134715</v>
          </cell>
        </row>
        <row r="75">
          <cell r="E75">
            <v>-4949</v>
          </cell>
          <cell r="F75">
            <v>-4621</v>
          </cell>
          <cell r="G75">
            <v>-2891</v>
          </cell>
          <cell r="H75">
            <v>-2755</v>
          </cell>
          <cell r="I75">
            <v>-5727</v>
          </cell>
          <cell r="J75">
            <v>-7165</v>
          </cell>
          <cell r="K75">
            <v>-8379</v>
          </cell>
          <cell r="L75">
            <v>-9980</v>
          </cell>
          <cell r="M75">
            <v>-11248</v>
          </cell>
          <cell r="N75">
            <v>-17993</v>
          </cell>
          <cell r="O75">
            <v>-20356.228540861957</v>
          </cell>
          <cell r="P75">
            <v>-24495.934398894304</v>
          </cell>
          <cell r="Q75">
            <v>-28967.793805744463</v>
          </cell>
          <cell r="R75">
            <v>-34293.628726296927</v>
          </cell>
          <cell r="S75">
            <v>-38492.710351604146</v>
          </cell>
        </row>
        <row r="78">
          <cell r="F78">
            <v>437</v>
          </cell>
          <cell r="G78">
            <v>-3243</v>
          </cell>
          <cell r="H78">
            <v>412</v>
          </cell>
          <cell r="I78">
            <v>-5306</v>
          </cell>
          <cell r="J78">
            <v>-197</v>
          </cell>
          <cell r="K78">
            <v>-786</v>
          </cell>
          <cell r="L78">
            <v>-11855</v>
          </cell>
          <cell r="M78">
            <v>-1917</v>
          </cell>
          <cell r="N78">
            <v>3724</v>
          </cell>
        </row>
        <row r="82">
          <cell r="F82">
            <v>0</v>
          </cell>
          <cell r="G82">
            <v>0</v>
          </cell>
          <cell r="H82">
            <v>0</v>
          </cell>
          <cell r="I82">
            <v>0</v>
          </cell>
          <cell r="J82">
            <v>0</v>
          </cell>
          <cell r="K82">
            <v>0</v>
          </cell>
          <cell r="L82">
            <v>0</v>
          </cell>
          <cell r="M82">
            <v>0</v>
          </cell>
          <cell r="N82">
            <v>0</v>
          </cell>
          <cell r="O82">
            <v>0</v>
          </cell>
          <cell r="P82">
            <v>0</v>
          </cell>
          <cell r="Q82">
            <v>0</v>
          </cell>
          <cell r="R82">
            <v>0</v>
          </cell>
          <cell r="S82">
            <v>0</v>
          </cell>
        </row>
        <row r="83">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row>
        <row r="85">
          <cell r="D85">
            <v>0</v>
          </cell>
        </row>
        <row r="89">
          <cell r="F89">
            <v>0</v>
          </cell>
          <cell r="G89">
            <v>0</v>
          </cell>
          <cell r="H89">
            <v>0</v>
          </cell>
          <cell r="I89">
            <v>0</v>
          </cell>
          <cell r="J89">
            <v>0</v>
          </cell>
          <cell r="K89">
            <v>194</v>
          </cell>
          <cell r="L89">
            <v>631</v>
          </cell>
          <cell r="M89">
            <v>2035</v>
          </cell>
          <cell r="N89">
            <v>1029</v>
          </cell>
          <cell r="O89">
            <v>1029</v>
          </cell>
          <cell r="P89">
            <v>3601.5</v>
          </cell>
          <cell r="Q89">
            <v>2058</v>
          </cell>
          <cell r="R89">
            <v>2058</v>
          </cell>
          <cell r="S89">
            <v>2058</v>
          </cell>
        </row>
        <row r="90">
          <cell r="E90">
            <v>0</v>
          </cell>
          <cell r="F90">
            <v>0</v>
          </cell>
          <cell r="G90">
            <v>0</v>
          </cell>
          <cell r="H90">
            <v>0</v>
          </cell>
          <cell r="I90">
            <v>0</v>
          </cell>
          <cell r="J90">
            <v>0</v>
          </cell>
          <cell r="K90">
            <v>-35</v>
          </cell>
          <cell r="L90">
            <v>-333</v>
          </cell>
          <cell r="M90">
            <v>-377</v>
          </cell>
          <cell r="N90">
            <v>-904</v>
          </cell>
          <cell r="O90">
            <v>-817.25</v>
          </cell>
          <cell r="P90">
            <v>-1513.3125</v>
          </cell>
          <cell r="Q90">
            <v>-1649.484375</v>
          </cell>
          <cell r="R90">
            <v>-1751.61328125</v>
          </cell>
          <cell r="S90">
            <v>-1828.2099609375</v>
          </cell>
        </row>
        <row r="91">
          <cell r="E91">
            <v>0</v>
          </cell>
          <cell r="F91">
            <v>0</v>
          </cell>
          <cell r="G91">
            <v>0</v>
          </cell>
          <cell r="H91">
            <v>0</v>
          </cell>
          <cell r="I91">
            <v>0</v>
          </cell>
          <cell r="J91">
            <v>0</v>
          </cell>
          <cell r="K91">
            <v>159</v>
          </cell>
          <cell r="L91">
            <v>457</v>
          </cell>
          <cell r="M91">
            <v>2115</v>
          </cell>
          <cell r="N91">
            <v>2240</v>
          </cell>
          <cell r="O91">
            <v>2451.75</v>
          </cell>
          <cell r="P91">
            <v>4539.9375</v>
          </cell>
          <cell r="Q91">
            <v>4948.453125</v>
          </cell>
          <cell r="R91">
            <v>5254.83984375</v>
          </cell>
          <cell r="S91">
            <v>5484.6298828125</v>
          </cell>
        </row>
        <row r="92">
          <cell r="D92">
            <v>0</v>
          </cell>
        </row>
        <row r="96">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101">
          <cell r="F101">
            <v>0</v>
          </cell>
          <cell r="G101">
            <v>0</v>
          </cell>
          <cell r="H101">
            <v>0</v>
          </cell>
          <cell r="I101">
            <v>0</v>
          </cell>
          <cell r="J101">
            <v>0</v>
          </cell>
          <cell r="K101">
            <v>0</v>
          </cell>
          <cell r="L101">
            <v>1051</v>
          </cell>
          <cell r="M101">
            <v>-23</v>
          </cell>
          <cell r="N101">
            <v>93</v>
          </cell>
          <cell r="O101">
            <v>112.10000000000001</v>
          </cell>
          <cell r="P101">
            <v>123.31</v>
          </cell>
          <cell r="Q101">
            <v>135.64099999999999</v>
          </cell>
          <cell r="R101">
            <v>149.20509999999999</v>
          </cell>
          <cell r="S101">
            <v>164.12560999999999</v>
          </cell>
        </row>
        <row r="102">
          <cell r="E102">
            <v>0</v>
          </cell>
          <cell r="F102">
            <v>0</v>
          </cell>
          <cell r="G102">
            <v>0</v>
          </cell>
          <cell r="H102">
            <v>0</v>
          </cell>
          <cell r="I102">
            <v>0</v>
          </cell>
          <cell r="J102">
            <v>0</v>
          </cell>
          <cell r="K102">
            <v>0</v>
          </cell>
          <cell r="L102">
            <v>1051</v>
          </cell>
          <cell r="M102">
            <v>1028</v>
          </cell>
          <cell r="N102">
            <v>1121</v>
          </cell>
          <cell r="O102">
            <v>1233.0999999999999</v>
          </cell>
          <cell r="P102">
            <v>1356.4099999999999</v>
          </cell>
          <cell r="Q102">
            <v>1492.0509999999999</v>
          </cell>
          <cell r="R102">
            <v>1641.2560999999998</v>
          </cell>
          <cell r="S102">
            <v>1805.3817099999999</v>
          </cell>
        </row>
        <row r="106">
          <cell r="F106">
            <v>-458</v>
          </cell>
          <cell r="G106">
            <v>2689</v>
          </cell>
          <cell r="H106">
            <v>-609</v>
          </cell>
          <cell r="I106">
            <v>5212</v>
          </cell>
          <cell r="J106">
            <v>928</v>
          </cell>
          <cell r="K106">
            <v>-4752</v>
          </cell>
          <cell r="L106">
            <v>5414</v>
          </cell>
          <cell r="M106">
            <v>414</v>
          </cell>
          <cell r="N106">
            <v>18875</v>
          </cell>
          <cell r="O106">
            <v>-11450</v>
          </cell>
          <cell r="P106">
            <v>1717.5</v>
          </cell>
          <cell r="Q106">
            <v>1889.25</v>
          </cell>
          <cell r="R106">
            <v>2078.1750000000002</v>
          </cell>
          <cell r="S106">
            <v>2285.9924999999998</v>
          </cell>
        </row>
        <row r="107">
          <cell r="E107">
            <v>912</v>
          </cell>
          <cell r="F107">
            <v>454</v>
          </cell>
          <cell r="G107">
            <v>3143</v>
          </cell>
          <cell r="H107">
            <v>2534</v>
          </cell>
          <cell r="I107">
            <v>7746</v>
          </cell>
          <cell r="J107">
            <v>8674</v>
          </cell>
          <cell r="K107">
            <v>3922</v>
          </cell>
          <cell r="L107">
            <v>9336</v>
          </cell>
          <cell r="M107">
            <v>9750</v>
          </cell>
          <cell r="N107">
            <v>28625</v>
          </cell>
          <cell r="O107">
            <v>17175</v>
          </cell>
          <cell r="P107">
            <v>18892.5</v>
          </cell>
          <cell r="Q107">
            <v>20781.75</v>
          </cell>
          <cell r="R107">
            <v>22859.924999999999</v>
          </cell>
          <cell r="S107">
            <v>25145.9175</v>
          </cell>
        </row>
        <row r="111">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row>
        <row r="112">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row>
        <row r="115">
          <cell r="F115">
            <v>0</v>
          </cell>
          <cell r="G115">
            <v>0</v>
          </cell>
          <cell r="H115">
            <v>0</v>
          </cell>
          <cell r="I115">
            <v>0</v>
          </cell>
          <cell r="J115">
            <v>0</v>
          </cell>
          <cell r="K115">
            <v>0</v>
          </cell>
          <cell r="L115">
            <v>35</v>
          </cell>
          <cell r="M115">
            <v>0</v>
          </cell>
          <cell r="N115">
            <v>7</v>
          </cell>
          <cell r="O115">
            <v>0</v>
          </cell>
          <cell r="P115">
            <v>0</v>
          </cell>
          <cell r="Q115">
            <v>0</v>
          </cell>
          <cell r="R115">
            <v>0</v>
          </cell>
          <cell r="S115">
            <v>0</v>
          </cell>
        </row>
        <row r="116">
          <cell r="E116">
            <v>0</v>
          </cell>
          <cell r="F116">
            <v>0</v>
          </cell>
          <cell r="G116">
            <v>0</v>
          </cell>
          <cell r="H116">
            <v>0</v>
          </cell>
          <cell r="I116">
            <v>0</v>
          </cell>
          <cell r="J116">
            <v>0</v>
          </cell>
          <cell r="K116">
            <v>0</v>
          </cell>
          <cell r="L116">
            <v>35</v>
          </cell>
          <cell r="M116">
            <v>35</v>
          </cell>
          <cell r="N116">
            <v>42</v>
          </cell>
          <cell r="O116">
            <v>42</v>
          </cell>
          <cell r="P116">
            <v>42</v>
          </cell>
          <cell r="Q116">
            <v>42</v>
          </cell>
          <cell r="R116">
            <v>42</v>
          </cell>
          <cell r="S116">
            <v>42</v>
          </cell>
        </row>
        <row r="118">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row>
        <row r="122">
          <cell r="F122">
            <v>-940</v>
          </cell>
          <cell r="G122">
            <v>5314</v>
          </cell>
          <cell r="H122">
            <v>13999</v>
          </cell>
          <cell r="I122">
            <v>17503</v>
          </cell>
          <cell r="J122">
            <v>-3329</v>
          </cell>
          <cell r="K122">
            <v>40600</v>
          </cell>
          <cell r="L122">
            <v>-62375</v>
          </cell>
          <cell r="M122">
            <v>3822</v>
          </cell>
          <cell r="N122">
            <v>2958</v>
          </cell>
          <cell r="O122">
            <v>-6865</v>
          </cell>
          <cell r="P122">
            <v>3295.2</v>
          </cell>
          <cell r="Q122">
            <v>3690.6239999999998</v>
          </cell>
          <cell r="R122">
            <v>4133.4988800000001</v>
          </cell>
          <cell r="S122">
            <v>4629.5187455999994</v>
          </cell>
        </row>
        <row r="123">
          <cell r="E123">
            <v>16773</v>
          </cell>
          <cell r="F123">
            <v>15833</v>
          </cell>
          <cell r="G123">
            <v>21147</v>
          </cell>
          <cell r="H123">
            <v>35146</v>
          </cell>
          <cell r="I123">
            <v>52649</v>
          </cell>
          <cell r="J123">
            <v>49320</v>
          </cell>
          <cell r="K123">
            <v>89920</v>
          </cell>
          <cell r="L123">
            <v>27545</v>
          </cell>
          <cell r="M123">
            <v>31367</v>
          </cell>
          <cell r="N123">
            <v>34325</v>
          </cell>
          <cell r="O123">
            <v>27460</v>
          </cell>
          <cell r="P123">
            <v>30755.200000000001</v>
          </cell>
          <cell r="Q123">
            <v>34445.824000000001</v>
          </cell>
          <cell r="R123">
            <v>38579.32288</v>
          </cell>
          <cell r="S123">
            <v>43208.841625599998</v>
          </cell>
        </row>
        <row r="128">
          <cell r="E128">
            <v>0</v>
          </cell>
          <cell r="F128">
            <v>0</v>
          </cell>
          <cell r="G128">
            <v>0</v>
          </cell>
          <cell r="H128">
            <v>0</v>
          </cell>
          <cell r="I128">
            <v>0</v>
          </cell>
          <cell r="J128">
            <v>745.03965817416508</v>
          </cell>
          <cell r="K128">
            <v>596.10357338297342</v>
          </cell>
          <cell r="L128">
            <v>584.76349262665212</v>
          </cell>
          <cell r="M128">
            <v>581.64752475781916</v>
          </cell>
          <cell r="N128">
            <v>586.47326255859548</v>
          </cell>
          <cell r="O128">
            <v>568.42407355343744</v>
          </cell>
          <cell r="P128">
            <v>546.51846926226312</v>
          </cell>
          <cell r="Q128">
            <v>523.27005142803978</v>
          </cell>
          <cell r="R128">
            <v>498.59650558057854</v>
          </cell>
          <cell r="S128">
            <v>472.41047137266798</v>
          </cell>
        </row>
        <row r="129">
          <cell r="F129">
            <v>0</v>
          </cell>
          <cell r="G129">
            <v>0</v>
          </cell>
          <cell r="H129">
            <v>0</v>
          </cell>
          <cell r="I129">
            <v>0</v>
          </cell>
          <cell r="J129">
            <v>745.03965817416508</v>
          </cell>
          <cell r="K129">
            <v>-148.93608479119166</v>
          </cell>
          <cell r="L129">
            <v>-11.340080756321299</v>
          </cell>
          <cell r="M129">
            <v>-3.1159678688329677</v>
          </cell>
          <cell r="N129">
            <v>4.8257378007763236</v>
          </cell>
          <cell r="O129">
            <v>-18.049189005158041</v>
          </cell>
          <cell r="P129">
            <v>-21.905604291174313</v>
          </cell>
          <cell r="Q129">
            <v>-23.248417834223346</v>
          </cell>
          <cell r="R129">
            <v>-24.673545847461241</v>
          </cell>
          <cell r="S129">
            <v>-26.186034207910552</v>
          </cell>
        </row>
        <row r="131">
          <cell r="F131">
            <v>0</v>
          </cell>
          <cell r="G131">
            <v>0</v>
          </cell>
          <cell r="H131">
            <v>0</v>
          </cell>
          <cell r="I131">
            <v>0</v>
          </cell>
          <cell r="J131">
            <v>61.458321402786872</v>
          </cell>
          <cell r="K131">
            <v>54.03678892716654</v>
          </cell>
          <cell r="L131">
            <v>53.944432194808655</v>
          </cell>
          <cell r="M131">
            <v>57.164318733198463</v>
          </cell>
          <cell r="N131">
            <v>53.955540155390786</v>
          </cell>
          <cell r="O131">
            <v>52.295014766916246</v>
          </cell>
          <cell r="P131">
            <v>50.279699172128204</v>
          </cell>
          <cell r="Q131">
            <v>48.140844731379659</v>
          </cell>
          <cell r="R131">
            <v>45.870878513413224</v>
          </cell>
          <cell r="S131">
            <v>43.461763366285453</v>
          </cell>
        </row>
        <row r="135">
          <cell r="D135">
            <v>56613</v>
          </cell>
        </row>
        <row r="136">
          <cell r="D136">
            <v>88314.722117604673</v>
          </cell>
        </row>
        <row r="138">
          <cell r="D138">
            <v>15688</v>
          </cell>
        </row>
        <row r="139">
          <cell r="D139">
            <v>586.47326255859548</v>
          </cell>
        </row>
        <row r="140">
          <cell r="D140">
            <v>42</v>
          </cell>
        </row>
        <row r="141">
          <cell r="D141">
            <v>0</v>
          </cell>
        </row>
        <row r="142">
          <cell r="D142">
            <v>106</v>
          </cell>
        </row>
        <row r="143">
          <cell r="D143">
            <v>0</v>
          </cell>
        </row>
        <row r="144">
          <cell r="D144">
            <v>2217</v>
          </cell>
        </row>
        <row r="145">
          <cell r="D145">
            <v>0</v>
          </cell>
        </row>
        <row r="146">
          <cell r="D146">
            <v>0</v>
          </cell>
        </row>
        <row r="153">
          <cell r="E153">
            <v>3776</v>
          </cell>
          <cell r="F153">
            <v>4011</v>
          </cell>
          <cell r="G153">
            <v>4259</v>
          </cell>
          <cell r="H153">
            <v>5901</v>
          </cell>
          <cell r="I153">
            <v>8760</v>
          </cell>
          <cell r="J153">
            <v>8692</v>
          </cell>
          <cell r="K153">
            <v>8931</v>
          </cell>
          <cell r="L153">
            <v>3815</v>
          </cell>
          <cell r="M153">
            <v>4875</v>
          </cell>
          <cell r="N153">
            <v>5385</v>
          </cell>
          <cell r="O153">
            <v>6414.7896360520208</v>
          </cell>
          <cell r="P153">
            <v>7641.50902039005</v>
          </cell>
          <cell r="Q153">
            <v>9102.817617046634</v>
          </cell>
          <cell r="R153">
            <v>10843.576621857475</v>
          </cell>
          <cell r="S153">
            <v>12917.226171147135</v>
          </cell>
        </row>
        <row r="155">
          <cell r="E155">
            <v>-724</v>
          </cell>
          <cell r="F155">
            <v>-163</v>
          </cell>
          <cell r="G155">
            <v>0</v>
          </cell>
          <cell r="H155">
            <v>0</v>
          </cell>
          <cell r="I155">
            <v>0</v>
          </cell>
          <cell r="J155">
            <v>0</v>
          </cell>
          <cell r="K155">
            <v>0</v>
          </cell>
          <cell r="L155">
            <v>0</v>
          </cell>
          <cell r="M155">
            <v>0</v>
          </cell>
          <cell r="N155">
            <v>0</v>
          </cell>
          <cell r="O155">
            <v>0</v>
          </cell>
          <cell r="P155">
            <v>0</v>
          </cell>
          <cell r="Q155">
            <v>0</v>
          </cell>
          <cell r="R155">
            <v>0</v>
          </cell>
          <cell r="S155">
            <v>0</v>
          </cell>
        </row>
        <row r="157">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row>
        <row r="161">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row>
        <row r="166">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row>
        <row r="172">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row>
        <row r="176">
          <cell r="F176">
            <v>254.01311999999996</v>
          </cell>
          <cell r="G176">
            <v>337.94219999999996</v>
          </cell>
          <cell r="H176">
            <v>429.87857999999994</v>
          </cell>
          <cell r="I176">
            <v>428.02724999999998</v>
          </cell>
          <cell r="J176">
            <v>282.94069999999999</v>
          </cell>
          <cell r="K176">
            <v>322.26074999999997</v>
          </cell>
          <cell r="L176">
            <v>572.31899999999996</v>
          </cell>
          <cell r="M176">
            <v>134.15219999999999</v>
          </cell>
          <cell r="N176">
            <v>152.536</v>
          </cell>
          <cell r="O176">
            <v>203.964</v>
          </cell>
          <cell r="P176">
            <v>263.21199999999999</v>
          </cell>
          <cell r="Q176">
            <v>186.32300000000001</v>
          </cell>
          <cell r="R176">
            <v>201.50874999999999</v>
          </cell>
          <cell r="S176">
            <v>213.7519375</v>
          </cell>
        </row>
        <row r="179">
          <cell r="E179">
            <v>3204</v>
          </cell>
          <cell r="F179">
            <v>3849</v>
          </cell>
          <cell r="G179">
            <v>4666</v>
          </cell>
          <cell r="H179">
            <v>4655</v>
          </cell>
          <cell r="I179">
            <v>3430</v>
          </cell>
          <cell r="J179">
            <v>3555</v>
          </cell>
          <cell r="K179">
            <v>6204</v>
          </cell>
          <cell r="L179">
            <v>1365</v>
          </cell>
          <cell r="M179">
            <v>1658</v>
          </cell>
          <cell r="N179">
            <v>2217</v>
          </cell>
          <cell r="O179">
            <v>2861</v>
          </cell>
          <cell r="P179">
            <v>2025.25</v>
          </cell>
          <cell r="Q179">
            <v>2190.3125</v>
          </cell>
          <cell r="R179">
            <v>2323.390625</v>
          </cell>
          <cell r="S179">
            <v>2349.98828125</v>
          </cell>
        </row>
        <row r="180">
          <cell r="F180">
            <v>645</v>
          </cell>
          <cell r="G180">
            <v>817</v>
          </cell>
          <cell r="H180">
            <v>-11</v>
          </cell>
          <cell r="I180">
            <v>-1225</v>
          </cell>
          <cell r="J180">
            <v>125</v>
          </cell>
          <cell r="K180">
            <v>2649</v>
          </cell>
          <cell r="L180">
            <v>-4839</v>
          </cell>
          <cell r="M180">
            <v>293</v>
          </cell>
          <cell r="N180">
            <v>559</v>
          </cell>
          <cell r="O180">
            <v>644</v>
          </cell>
          <cell r="P180">
            <v>-835.75</v>
          </cell>
          <cell r="Q180">
            <v>165.0625</v>
          </cell>
          <cell r="R180">
            <v>133.078125</v>
          </cell>
          <cell r="S180">
            <v>26.59765625</v>
          </cell>
        </row>
        <row r="184">
          <cell r="E184">
            <v>0</v>
          </cell>
          <cell r="F184">
            <v>0</v>
          </cell>
          <cell r="G184">
            <v>-25</v>
          </cell>
          <cell r="H184">
            <v>0</v>
          </cell>
          <cell r="I184">
            <v>0</v>
          </cell>
          <cell r="J184">
            <v>0</v>
          </cell>
          <cell r="K184">
            <v>0</v>
          </cell>
          <cell r="L184">
            <v>0</v>
          </cell>
          <cell r="M184">
            <v>0</v>
          </cell>
          <cell r="N184">
            <v>13</v>
          </cell>
          <cell r="O184">
            <v>0</v>
          </cell>
          <cell r="P184">
            <v>0</v>
          </cell>
          <cell r="Q184">
            <v>0</v>
          </cell>
          <cell r="R184">
            <v>0</v>
          </cell>
          <cell r="S184">
            <v>0</v>
          </cell>
        </row>
        <row r="185">
          <cell r="F185">
            <v>0</v>
          </cell>
          <cell r="G185">
            <v>120</v>
          </cell>
          <cell r="H185">
            <v>-95</v>
          </cell>
          <cell r="I185">
            <v>0</v>
          </cell>
          <cell r="J185">
            <v>0</v>
          </cell>
          <cell r="K185">
            <v>0</v>
          </cell>
          <cell r="L185">
            <v>0</v>
          </cell>
          <cell r="M185">
            <v>0</v>
          </cell>
          <cell r="N185">
            <v>93</v>
          </cell>
          <cell r="O185">
            <v>0</v>
          </cell>
          <cell r="P185">
            <v>0</v>
          </cell>
          <cell r="Q185">
            <v>0</v>
          </cell>
          <cell r="R185">
            <v>0</v>
          </cell>
          <cell r="S185">
            <v>0</v>
          </cell>
        </row>
        <row r="186">
          <cell r="E186">
            <v>0</v>
          </cell>
          <cell r="F186">
            <v>0</v>
          </cell>
          <cell r="G186">
            <v>95</v>
          </cell>
          <cell r="H186">
            <v>0</v>
          </cell>
          <cell r="I186">
            <v>0</v>
          </cell>
          <cell r="J186">
            <v>0</v>
          </cell>
          <cell r="K186">
            <v>0</v>
          </cell>
          <cell r="L186">
            <v>0</v>
          </cell>
          <cell r="M186">
            <v>0</v>
          </cell>
          <cell r="N186">
            <v>106</v>
          </cell>
          <cell r="O186">
            <v>106</v>
          </cell>
          <cell r="P186">
            <v>106</v>
          </cell>
          <cell r="Q186">
            <v>106</v>
          </cell>
          <cell r="R186">
            <v>106</v>
          </cell>
          <cell r="S186">
            <v>106</v>
          </cell>
        </row>
        <row r="199">
          <cell r="E199">
            <v>2000</v>
          </cell>
          <cell r="F199">
            <v>9500</v>
          </cell>
          <cell r="G199">
            <v>19274</v>
          </cell>
          <cell r="H199">
            <v>13150</v>
          </cell>
          <cell r="I199">
            <v>556</v>
          </cell>
          <cell r="J199">
            <v>17306</v>
          </cell>
          <cell r="K199">
            <v>306</v>
          </cell>
          <cell r="L199">
            <v>53454</v>
          </cell>
          <cell r="M199">
            <v>64795</v>
          </cell>
          <cell r="N199">
            <v>56613</v>
          </cell>
          <cell r="O199">
            <v>78674.859341240386</v>
          </cell>
          <cell r="P199">
            <v>86872.864933215547</v>
          </cell>
          <cell r="Q199">
            <v>108457.70801387064</v>
          </cell>
          <cell r="R199">
            <v>137764.60108447957</v>
          </cell>
          <cell r="S199">
            <v>172922.68031251468</v>
          </cell>
        </row>
        <row r="200">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row>
        <row r="202">
          <cell r="E202">
            <v>488</v>
          </cell>
          <cell r="F202">
            <v>0</v>
          </cell>
          <cell r="G202">
            <v>0</v>
          </cell>
          <cell r="H202">
            <v>0</v>
          </cell>
          <cell r="I202">
            <v>0</v>
          </cell>
          <cell r="J202">
            <v>545</v>
          </cell>
          <cell r="K202">
            <v>675</v>
          </cell>
          <cell r="L202">
            <v>403</v>
          </cell>
          <cell r="M202">
            <v>10924</v>
          </cell>
          <cell r="N202">
            <v>8639</v>
          </cell>
          <cell r="O202">
            <v>6911.2</v>
          </cell>
          <cell r="P202">
            <v>5183.3999999999996</v>
          </cell>
          <cell r="Q202">
            <v>3455.5999999999995</v>
          </cell>
          <cell r="R202">
            <v>1727.7999999999995</v>
          </cell>
          <cell r="S202">
            <v>0</v>
          </cell>
        </row>
        <row r="205">
          <cell r="E205">
            <v>3119</v>
          </cell>
          <cell r="F205">
            <v>3344</v>
          </cell>
          <cell r="G205">
            <v>6696</v>
          </cell>
          <cell r="H205">
            <v>6705</v>
          </cell>
          <cell r="I205">
            <v>9395</v>
          </cell>
          <cell r="J205">
            <v>7588</v>
          </cell>
          <cell r="K205">
            <v>9055</v>
          </cell>
          <cell r="L205">
            <v>2747</v>
          </cell>
          <cell r="M205">
            <v>1698</v>
          </cell>
          <cell r="N205">
            <v>7049</v>
          </cell>
          <cell r="O205">
            <v>10560.161616109235</v>
          </cell>
          <cell r="P205">
            <v>14442.811650513257</v>
          </cell>
          <cell r="Q205">
            <v>19053.131211370863</v>
          </cell>
          <cell r="R205">
            <v>24271.534434725581</v>
          </cell>
          <cell r="S205">
            <v>30288.957176657706</v>
          </cell>
        </row>
        <row r="208">
          <cell r="F208">
            <v>-488</v>
          </cell>
          <cell r="G208">
            <v>0</v>
          </cell>
          <cell r="H208">
            <v>0</v>
          </cell>
          <cell r="I208">
            <v>0</v>
          </cell>
          <cell r="J208">
            <v>545</v>
          </cell>
          <cell r="K208">
            <v>130</v>
          </cell>
          <cell r="L208">
            <v>-272</v>
          </cell>
          <cell r="M208">
            <v>10521</v>
          </cell>
          <cell r="N208">
            <v>-2285</v>
          </cell>
          <cell r="O208">
            <v>-1727.8</v>
          </cell>
          <cell r="P208">
            <v>-1727.8</v>
          </cell>
          <cell r="Q208">
            <v>-1727.8</v>
          </cell>
          <cell r="R208">
            <v>-1727.8</v>
          </cell>
          <cell r="S208">
            <v>-1727.8</v>
          </cell>
        </row>
        <row r="211">
          <cell r="F211">
            <v>225</v>
          </cell>
          <cell r="G211">
            <v>3352</v>
          </cell>
          <cell r="H211">
            <v>9</v>
          </cell>
          <cell r="I211">
            <v>2690</v>
          </cell>
          <cell r="J211">
            <v>-1807</v>
          </cell>
          <cell r="K211">
            <v>1467</v>
          </cell>
          <cell r="L211">
            <v>-6308</v>
          </cell>
          <cell r="M211">
            <v>-1049</v>
          </cell>
          <cell r="N211">
            <v>5351</v>
          </cell>
          <cell r="O211">
            <v>3511.1616161092356</v>
          </cell>
          <cell r="P211">
            <v>3882.6500344040214</v>
          </cell>
          <cell r="Q211">
            <v>4610.319560857607</v>
          </cell>
          <cell r="R211">
            <v>5218.4032233547168</v>
          </cell>
          <cell r="S211">
            <v>6017.4227419321242</v>
          </cell>
        </row>
        <row r="214">
          <cell r="E214">
            <v>0</v>
          </cell>
          <cell r="F214">
            <v>635</v>
          </cell>
          <cell r="G214">
            <v>1076</v>
          </cell>
          <cell r="H214">
            <v>1109</v>
          </cell>
          <cell r="I214">
            <v>1413</v>
          </cell>
          <cell r="J214">
            <v>2454</v>
          </cell>
          <cell r="K214">
            <v>2199</v>
          </cell>
          <cell r="L214">
            <v>2083</v>
          </cell>
          <cell r="M214">
            <v>4042</v>
          </cell>
          <cell r="N214">
            <v>3135</v>
          </cell>
          <cell r="O214">
            <v>4770.7775099999999</v>
          </cell>
          <cell r="P214">
            <v>6629.9303966863272</v>
          </cell>
          <cell r="Q214">
            <v>7320.7763279220744</v>
          </cell>
          <cell r="R214">
            <v>9139.7310543288786</v>
          </cell>
          <cell r="S214">
            <v>11609.422933389093</v>
          </cell>
        </row>
        <row r="219">
          <cell r="E219">
            <v>-434</v>
          </cell>
          <cell r="F219">
            <v>-377</v>
          </cell>
          <cell r="G219">
            <v>-223</v>
          </cell>
          <cell r="H219">
            <v>-404</v>
          </cell>
          <cell r="I219">
            <v>-625</v>
          </cell>
          <cell r="J219">
            <v>-545</v>
          </cell>
          <cell r="K219">
            <v>-374</v>
          </cell>
          <cell r="L219">
            <v>-294</v>
          </cell>
          <cell r="M219">
            <v>-616</v>
          </cell>
          <cell r="N219">
            <v>-1978</v>
          </cell>
          <cell r="O219">
            <v>-1525.330634341025</v>
          </cell>
          <cell r="P219">
            <v>-1706.4883702646346</v>
          </cell>
          <cell r="Q219">
            <v>-1938.2073716466696</v>
          </cell>
          <cell r="R219">
            <v>-2231.3710197204364</v>
          </cell>
          <cell r="S219">
            <v>-2589.2614141236309</v>
          </cell>
        </row>
        <row r="223">
          <cell r="F223">
            <v>9.6100000000000005E-2</v>
          </cell>
          <cell r="G223">
            <v>8.7499999999999994E-2</v>
          </cell>
          <cell r="H223">
            <v>8.5400000000000004E-2</v>
          </cell>
          <cell r="I223">
            <v>0.1028</v>
          </cell>
          <cell r="J223">
            <v>0.1205</v>
          </cell>
          <cell r="K223">
            <v>0.1051</v>
          </cell>
          <cell r="L223">
            <v>0.11849999999999999</v>
          </cell>
          <cell r="M223">
            <v>0.1069</v>
          </cell>
          <cell r="N223">
            <v>9.8299999999999998E-2</v>
          </cell>
          <cell r="O223">
            <v>0.12879711674235023</v>
          </cell>
          <cell r="P223">
            <v>0.12879711674235023</v>
          </cell>
          <cell r="Q223">
            <v>0.12879711674235023</v>
          </cell>
          <cell r="R223">
            <v>0.12879711674235023</v>
          </cell>
          <cell r="S223">
            <v>0.12879711674235023</v>
          </cell>
          <cell r="T223">
            <v>0.12879711674235023</v>
          </cell>
          <cell r="U223">
            <v>0.12879711674235023</v>
          </cell>
          <cell r="V223">
            <v>0.12879711674235023</v>
          </cell>
          <cell r="W223">
            <v>0.12879711674235023</v>
          </cell>
          <cell r="X223">
            <v>0.13492319864551749</v>
          </cell>
          <cell r="Y223">
            <v>0.13492319864551749</v>
          </cell>
          <cell r="Z223">
            <v>0.13492319864551749</v>
          </cell>
          <cell r="AA223">
            <v>0.13492319864551749</v>
          </cell>
          <cell r="AB223">
            <v>0.13492319864551749</v>
          </cell>
          <cell r="AC223">
            <v>0.13492319864551749</v>
          </cell>
          <cell r="AD223">
            <v>0.13492319864551749</v>
          </cell>
        </row>
        <row r="230">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3">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8">
          <cell r="F238">
            <v>100</v>
          </cell>
          <cell r="G238">
            <v>44692</v>
          </cell>
          <cell r="H238">
            <v>55730</v>
          </cell>
          <cell r="I238">
            <v>70065</v>
          </cell>
          <cell r="J238">
            <v>86271</v>
          </cell>
          <cell r="K238">
            <v>95653</v>
          </cell>
          <cell r="L238">
            <v>121826</v>
          </cell>
          <cell r="M238">
            <v>143088</v>
          </cell>
          <cell r="N238">
            <v>156747</v>
          </cell>
          <cell r="O238">
            <v>190278</v>
          </cell>
          <cell r="P238">
            <v>217882.22176407522</v>
          </cell>
          <cell r="Q238">
            <v>252169.77134178337</v>
          </cell>
          <cell r="R238">
            <v>297280.32119519007</v>
          </cell>
          <cell r="S238">
            <v>353137.89350498311</v>
          </cell>
        </row>
        <row r="241">
          <cell r="E241">
            <v>-433</v>
          </cell>
          <cell r="F241">
            <v>-578</v>
          </cell>
          <cell r="G241">
            <v>-1010</v>
          </cell>
          <cell r="H241">
            <v>-1300</v>
          </cell>
          <cell r="I241">
            <v>-1445</v>
          </cell>
          <cell r="J241">
            <v>-1011</v>
          </cell>
          <cell r="K241">
            <v>-1733</v>
          </cell>
          <cell r="L241">
            <v>-2167</v>
          </cell>
          <cell r="M241">
            <v>-2167</v>
          </cell>
          <cell r="N241">
            <v>-2417</v>
          </cell>
          <cell r="O241">
            <v>-2995.259439002014</v>
          </cell>
          <cell r="P241">
            <v>-3720.4492628202261</v>
          </cell>
          <cell r="Q241">
            <v>-4894.8237484033234</v>
          </cell>
          <cell r="R241">
            <v>-6060.954086319628</v>
          </cell>
          <cell r="S241">
            <v>-7452.87867826198</v>
          </cell>
        </row>
        <row r="242">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row>
        <row r="243">
          <cell r="F243">
            <v>0</v>
          </cell>
          <cell r="G243">
            <v>0</v>
          </cell>
          <cell r="H243">
            <v>0</v>
          </cell>
          <cell r="I243">
            <v>0</v>
          </cell>
          <cell r="J243">
            <v>0</v>
          </cell>
          <cell r="K243">
            <v>0</v>
          </cell>
          <cell r="L243">
            <v>0</v>
          </cell>
          <cell r="M243">
            <v>0</v>
          </cell>
          <cell r="N243">
            <v>65</v>
          </cell>
          <cell r="O243">
            <v>0</v>
          </cell>
          <cell r="P243">
            <v>0</v>
          </cell>
          <cell r="Q243">
            <v>0</v>
          </cell>
          <cell r="R243">
            <v>0</v>
          </cell>
          <cell r="S243">
            <v>0</v>
          </cell>
        </row>
        <row r="244">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row>
        <row r="245">
          <cell r="F245">
            <v>557</v>
          </cell>
          <cell r="G245">
            <v>-143</v>
          </cell>
          <cell r="H245">
            <v>-248</v>
          </cell>
          <cell r="I245">
            <v>-248</v>
          </cell>
          <cell r="J245">
            <v>-1881</v>
          </cell>
          <cell r="K245">
            <v>1659</v>
          </cell>
          <cell r="L245">
            <v>-395</v>
          </cell>
          <cell r="M245">
            <v>-986</v>
          </cell>
          <cell r="N245">
            <v>11191</v>
          </cell>
          <cell r="O245">
            <v>0</v>
          </cell>
          <cell r="P245">
            <v>0</v>
          </cell>
          <cell r="Q245">
            <v>0</v>
          </cell>
          <cell r="R245">
            <v>0</v>
          </cell>
          <cell r="S245">
            <v>0</v>
          </cell>
        </row>
        <row r="246">
          <cell r="E246">
            <v>35912</v>
          </cell>
          <cell r="F246">
            <v>44692</v>
          </cell>
          <cell r="G246">
            <v>55730</v>
          </cell>
          <cell r="H246">
            <v>70065</v>
          </cell>
          <cell r="I246">
            <v>86271</v>
          </cell>
          <cell r="J246">
            <v>95653</v>
          </cell>
          <cell r="K246">
            <v>121826</v>
          </cell>
          <cell r="L246">
            <v>143088</v>
          </cell>
          <cell r="M246">
            <v>156747</v>
          </cell>
          <cell r="N246">
            <v>190278</v>
          </cell>
          <cell r="O246">
            <v>217882.22176407522</v>
          </cell>
          <cell r="P246">
            <v>252169.77134178337</v>
          </cell>
          <cell r="Q246">
            <v>297280.32119519007</v>
          </cell>
          <cell r="R246">
            <v>353137.89350498311</v>
          </cell>
          <cell r="S246">
            <v>421823.40139008267</v>
          </cell>
        </row>
        <row r="250">
          <cell r="E250">
            <v>288910.06</v>
          </cell>
          <cell r="F250">
            <v>288910.06</v>
          </cell>
          <cell r="G250">
            <v>288910.06</v>
          </cell>
          <cell r="H250">
            <v>288910.06</v>
          </cell>
          <cell r="I250">
            <v>288910.06</v>
          </cell>
          <cell r="J250">
            <v>288910.06</v>
          </cell>
          <cell r="K250">
            <v>288910.06</v>
          </cell>
          <cell r="L250">
            <v>288910.06</v>
          </cell>
          <cell r="M250">
            <v>288910.06</v>
          </cell>
          <cell r="N250">
            <v>302080.06</v>
          </cell>
          <cell r="O250">
            <v>302080.06</v>
          </cell>
          <cell r="P250">
            <v>302080.06</v>
          </cell>
          <cell r="Q250">
            <v>302080.06</v>
          </cell>
          <cell r="R250">
            <v>302080.06</v>
          </cell>
          <cell r="S250">
            <v>302080.06</v>
          </cell>
        </row>
        <row r="252">
          <cell r="N252">
            <v>302080.06</v>
          </cell>
        </row>
        <row r="255">
          <cell r="E255">
            <v>288910.06</v>
          </cell>
          <cell r="F255">
            <v>288910.06</v>
          </cell>
          <cell r="G255">
            <v>288910.06</v>
          </cell>
          <cell r="H255">
            <v>288910.06</v>
          </cell>
          <cell r="I255">
            <v>288910.06</v>
          </cell>
          <cell r="J255">
            <v>288910.06</v>
          </cell>
          <cell r="K255">
            <v>288910.06</v>
          </cell>
          <cell r="L255">
            <v>288910.06</v>
          </cell>
          <cell r="M255">
            <v>288910.06</v>
          </cell>
          <cell r="N255">
            <v>302080.06</v>
          </cell>
          <cell r="O255">
            <v>302080.06</v>
          </cell>
          <cell r="P255">
            <v>302080.06</v>
          </cell>
          <cell r="Q255">
            <v>302080.06</v>
          </cell>
          <cell r="R255">
            <v>302080.06</v>
          </cell>
          <cell r="S255">
            <v>302080.06</v>
          </cell>
        </row>
        <row r="261">
          <cell r="F261">
            <v>-578</v>
          </cell>
          <cell r="G261">
            <v>-1010</v>
          </cell>
          <cell r="H261">
            <v>-1300</v>
          </cell>
          <cell r="I261">
            <v>-1445</v>
          </cell>
          <cell r="J261">
            <v>-1011</v>
          </cell>
          <cell r="K261">
            <v>-1733</v>
          </cell>
          <cell r="L261">
            <v>-2167</v>
          </cell>
          <cell r="M261">
            <v>-2167</v>
          </cell>
          <cell r="N261">
            <v>-2417</v>
          </cell>
          <cell r="O261">
            <v>-2995.259439002014</v>
          </cell>
          <cell r="P261">
            <v>-3720.4492628202261</v>
          </cell>
          <cell r="Q261">
            <v>-4894.8237484033234</v>
          </cell>
          <cell r="R261">
            <v>-6060.954086319628</v>
          </cell>
          <cell r="S261">
            <v>-7452.87867826198</v>
          </cell>
        </row>
        <row r="262">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9">
          <cell r="E269">
            <v>-2277</v>
          </cell>
          <cell r="F269">
            <v>-4580</v>
          </cell>
          <cell r="G269">
            <v>-5740</v>
          </cell>
          <cell r="H269">
            <v>-7280</v>
          </cell>
          <cell r="I269">
            <v>-7878</v>
          </cell>
          <cell r="J269">
            <v>-4737</v>
          </cell>
          <cell r="K269">
            <v>-11219</v>
          </cell>
          <cell r="L269">
            <v>-8279</v>
          </cell>
          <cell r="M269">
            <v>-5115</v>
          </cell>
          <cell r="N269">
            <v>-6215</v>
          </cell>
          <cell r="O269">
            <v>-10086.045027771819</v>
          </cell>
          <cell r="P269">
            <v>-12528.002850012901</v>
          </cell>
          <cell r="Q269">
            <v>-16482.516367881668</v>
          </cell>
          <cell r="R269">
            <v>-20409.269070276441</v>
          </cell>
          <cell r="S269">
            <v>-25096.346899591663</v>
          </cell>
        </row>
        <row r="273">
          <cell r="F273">
            <v>-5290</v>
          </cell>
          <cell r="G273">
            <v>-6053</v>
          </cell>
          <cell r="H273">
            <v>-6378</v>
          </cell>
          <cell r="I273">
            <v>-7846</v>
          </cell>
          <cell r="J273">
            <v>-4883</v>
          </cell>
          <cell r="K273">
            <v>-11356</v>
          </cell>
          <cell r="L273">
            <v>-8010</v>
          </cell>
          <cell r="M273">
            <v>-3776</v>
          </cell>
          <cell r="N273">
            <v>-5108</v>
          </cell>
          <cell r="O273">
            <v>-10921.24502777182</v>
          </cell>
          <cell r="P273">
            <v>-13363.202850012902</v>
          </cell>
          <cell r="Q273">
            <v>-17317.716367881669</v>
          </cell>
          <cell r="R273">
            <v>-21244.469070276442</v>
          </cell>
          <cell r="S273">
            <v>-25931.546899591664</v>
          </cell>
        </row>
        <row r="274">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83">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6">
          <cell r="F286">
            <v>-710</v>
          </cell>
          <cell r="G286">
            <v>-313</v>
          </cell>
          <cell r="H286">
            <v>902</v>
          </cell>
          <cell r="I286">
            <v>32</v>
          </cell>
          <cell r="J286">
            <v>-146</v>
          </cell>
          <cell r="K286">
            <v>-137</v>
          </cell>
          <cell r="L286">
            <v>269</v>
          </cell>
          <cell r="M286">
            <v>1339</v>
          </cell>
          <cell r="N286">
            <v>1107</v>
          </cell>
          <cell r="O286">
            <v>-835.2</v>
          </cell>
          <cell r="P286">
            <v>-835.2</v>
          </cell>
          <cell r="Q286">
            <v>-835.2</v>
          </cell>
          <cell r="R286">
            <v>-835.2</v>
          </cell>
          <cell r="S286">
            <v>-835.2</v>
          </cell>
        </row>
        <row r="287">
          <cell r="E287">
            <v>1833</v>
          </cell>
          <cell r="F287">
            <v>1123</v>
          </cell>
          <cell r="G287">
            <v>810</v>
          </cell>
          <cell r="H287">
            <v>1712</v>
          </cell>
          <cell r="I287">
            <v>1744</v>
          </cell>
          <cell r="J287">
            <v>1598</v>
          </cell>
          <cell r="K287">
            <v>1461</v>
          </cell>
          <cell r="L287">
            <v>1730</v>
          </cell>
          <cell r="M287">
            <v>3069</v>
          </cell>
          <cell r="N287">
            <v>4176</v>
          </cell>
          <cell r="O287">
            <v>3340.8</v>
          </cell>
          <cell r="P287">
            <v>2505.6000000000004</v>
          </cell>
          <cell r="Q287">
            <v>1670.4000000000003</v>
          </cell>
          <cell r="R287">
            <v>835.20000000000027</v>
          </cell>
          <cell r="S287">
            <v>0</v>
          </cell>
        </row>
        <row r="294">
          <cell r="T294">
            <v>878820.85464304371</v>
          </cell>
          <cell r="U294">
            <v>1002347.1033693627</v>
          </cell>
          <cell r="V294">
            <v>1133212.6166454467</v>
          </cell>
          <cell r="W294">
            <v>1269831.6844613357</v>
          </cell>
          <cell r="X294">
            <v>1410223.1042344945</v>
          </cell>
          <cell r="Y294">
            <v>1552033.8388419054</v>
          </cell>
          <cell r="Z294">
            <v>1692584.5917303548</v>
          </cell>
          <cell r="AA294">
            <v>1833169.1067219167</v>
          </cell>
          <cell r="AB294">
            <v>1971681.6735566338</v>
          </cell>
          <cell r="AC294">
            <v>2105872.5096291909</v>
          </cell>
          <cell r="AD294">
            <v>2211166.1351106507</v>
          </cell>
        </row>
        <row r="297">
          <cell r="T297">
            <v>93635.684134954572</v>
          </cell>
          <cell r="U297">
            <v>106067.8829527778</v>
          </cell>
          <cell r="V297">
            <v>119091.6646352142</v>
          </cell>
          <cell r="W297">
            <v>132525.52052928085</v>
          </cell>
          <cell r="X297">
            <v>146151.56827122741</v>
          </cell>
          <cell r="Y297">
            <v>159719.42491287197</v>
          </cell>
          <cell r="Z297">
            <v>172952.21632710239</v>
          </cell>
          <cell r="AA297">
            <v>185983.94881636152</v>
          </cell>
          <cell r="AB297">
            <v>198602.44589883051</v>
          </cell>
          <cell r="AC297">
            <v>210587.25096291909</v>
          </cell>
          <cell r="AD297">
            <v>221116.61351106508</v>
          </cell>
        </row>
        <row r="299">
          <cell r="T299">
            <v>0.25426525310583414</v>
          </cell>
          <cell r="U299">
            <v>0.26368022498296367</v>
          </cell>
          <cell r="V299">
            <v>0.2730951968600932</v>
          </cell>
          <cell r="W299">
            <v>0.28251016873722273</v>
          </cell>
          <cell r="X299">
            <v>0.29192514061435226</v>
          </cell>
          <cell r="Y299">
            <v>0.30134011249148179</v>
          </cell>
          <cell r="Z299">
            <v>0.31075508436861132</v>
          </cell>
          <cell r="AA299">
            <v>0.32017005624574085</v>
          </cell>
          <cell r="AB299">
            <v>0.32958502812287038</v>
          </cell>
          <cell r="AC299">
            <v>0.33899999999999991</v>
          </cell>
          <cell r="AD299">
            <v>0.33900000000000002</v>
          </cell>
        </row>
        <row r="300">
          <cell r="T300">
            <v>69827.383208642408</v>
          </cell>
          <cell r="U300">
            <v>78099.879712322683</v>
          </cell>
          <cell r="V300">
            <v>86568.303037264181</v>
          </cell>
          <cell r="W300">
            <v>95085.713362565453</v>
          </cell>
          <cell r="X300">
            <v>103486.25115264124</v>
          </cell>
          <cell r="Y300">
            <v>111589.55544255234</v>
          </cell>
          <cell r="Z300">
            <v>119206.43575063537</v>
          </cell>
          <cell r="AA300">
            <v>126437.45746302207</v>
          </cell>
          <cell r="AB300">
            <v>133146.0531819936</v>
          </cell>
          <cell r="AC300">
            <v>139198.17288648951</v>
          </cell>
          <cell r="AD300">
            <v>146158.08153081403</v>
          </cell>
        </row>
        <row r="307">
          <cell r="O307">
            <v>116510.19811249754</v>
          </cell>
          <cell r="P307">
            <v>135960.84902834333</v>
          </cell>
          <cell r="Q307">
            <v>155687.29981911834</v>
          </cell>
          <cell r="R307">
            <v>178483.7262620597</v>
          </cell>
          <cell r="S307">
            <v>208320.68799843587</v>
          </cell>
          <cell r="T307">
            <v>241148.49662100113</v>
          </cell>
          <cell r="U307">
            <v>279565.79917501746</v>
          </cell>
          <cell r="V307">
            <v>321177.69232488959</v>
          </cell>
          <cell r="W307">
            <v>365626.92179961695</v>
          </cell>
          <cell r="X307">
            <v>412411.96049621369</v>
          </cell>
          <cell r="Y307">
            <v>460885.11332325416</v>
          </cell>
          <cell r="Z307">
            <v>510257.86965647253</v>
          </cell>
          <cell r="AA307">
            <v>560909.03464652272</v>
          </cell>
          <cell r="AB307">
            <v>612185.26555316639</v>
          </cell>
          <cell r="AC307">
            <v>663349.84053319506</v>
          </cell>
          <cell r="AD307">
            <v>696517.33255985496</v>
          </cell>
        </row>
        <row r="310">
          <cell r="T310">
            <v>253205.9214520512</v>
          </cell>
          <cell r="U310">
            <v>293544.08913376834</v>
          </cell>
          <cell r="V310">
            <v>337236.57694113406</v>
          </cell>
          <cell r="W310">
            <v>383908.2678895978</v>
          </cell>
          <cell r="X310">
            <v>433032.55852102436</v>
          </cell>
          <cell r="Y310">
            <v>483929.36898941686</v>
          </cell>
          <cell r="Z310">
            <v>535770.76313929621</v>
          </cell>
          <cell r="AA310">
            <v>588954.4863788489</v>
          </cell>
          <cell r="AB310">
            <v>642794.52883082465</v>
          </cell>
          <cell r="AC310">
            <v>696517.33255985484</v>
          </cell>
          <cell r="AD310">
            <v>731343.19918784767</v>
          </cell>
        </row>
        <row r="311">
          <cell r="T311">
            <v>30191.733453615336</v>
          </cell>
          <cell r="U311">
            <v>40338.167681717139</v>
          </cell>
          <cell r="V311">
            <v>43692.487807365716</v>
          </cell>
          <cell r="W311">
            <v>46671.690948463744</v>
          </cell>
          <cell r="X311">
            <v>49124.290631426557</v>
          </cell>
          <cell r="Y311">
            <v>50896.810468392505</v>
          </cell>
          <cell r="Z311">
            <v>51841.394149879343</v>
          </cell>
          <cell r="AA311">
            <v>53183.723239552695</v>
          </cell>
          <cell r="AB311">
            <v>53840.042451975751</v>
          </cell>
          <cell r="AC311">
            <v>53722.803729030187</v>
          </cell>
          <cell r="AD311">
            <v>34825.866627992829</v>
          </cell>
        </row>
        <row r="321">
          <cell r="D321">
            <v>0.17</v>
          </cell>
        </row>
        <row r="329">
          <cell r="D329">
            <v>12</v>
          </cell>
        </row>
        <row r="330">
          <cell r="D330">
            <v>1</v>
          </cell>
        </row>
        <row r="336">
          <cell r="E336">
            <v>38077</v>
          </cell>
          <cell r="F336">
            <v>38442</v>
          </cell>
          <cell r="G336">
            <v>38807</v>
          </cell>
          <cell r="H336">
            <v>39172</v>
          </cell>
          <cell r="I336">
            <v>39538</v>
          </cell>
          <cell r="J336">
            <v>39903</v>
          </cell>
          <cell r="K336">
            <v>40268</v>
          </cell>
          <cell r="L336">
            <v>40633</v>
          </cell>
          <cell r="M336">
            <v>40999</v>
          </cell>
          <cell r="N336">
            <v>41364</v>
          </cell>
          <cell r="O336">
            <v>41729</v>
          </cell>
          <cell r="P336">
            <v>42094</v>
          </cell>
          <cell r="Q336">
            <v>42460</v>
          </cell>
          <cell r="R336">
            <v>42825</v>
          </cell>
          <cell r="S336">
            <v>43190</v>
          </cell>
          <cell r="T336">
            <v>43555</v>
          </cell>
          <cell r="U336">
            <v>43921</v>
          </cell>
          <cell r="V336">
            <v>44286</v>
          </cell>
          <cell r="W336">
            <v>44651</v>
          </cell>
          <cell r="X336">
            <v>45016</v>
          </cell>
          <cell r="Y336">
            <v>45382</v>
          </cell>
          <cell r="Z336">
            <v>45747</v>
          </cell>
          <cell r="AA336">
            <v>46112</v>
          </cell>
          <cell r="AB336">
            <v>46477</v>
          </cell>
          <cell r="AC336">
            <v>46843</v>
          </cell>
          <cell r="AD336">
            <v>47208</v>
          </cell>
        </row>
        <row r="337">
          <cell r="E337">
            <v>-9</v>
          </cell>
          <cell r="F337">
            <v>-8</v>
          </cell>
          <cell r="G337">
            <v>-7</v>
          </cell>
          <cell r="H337">
            <v>-6</v>
          </cell>
          <cell r="I337">
            <v>-5</v>
          </cell>
          <cell r="J337">
            <v>-4</v>
          </cell>
          <cell r="K337">
            <v>-3</v>
          </cell>
          <cell r="L337">
            <v>-2</v>
          </cell>
          <cell r="M337">
            <v>-1</v>
          </cell>
          <cell r="N337">
            <v>0</v>
          </cell>
          <cell r="O337">
            <v>1</v>
          </cell>
          <cell r="P337">
            <v>2</v>
          </cell>
          <cell r="Q337">
            <v>3</v>
          </cell>
          <cell r="R337">
            <v>4</v>
          </cell>
          <cell r="S337">
            <v>5</v>
          </cell>
          <cell r="T337">
            <v>6</v>
          </cell>
          <cell r="U337">
            <v>7</v>
          </cell>
          <cell r="V337">
            <v>8</v>
          </cell>
          <cell r="W337">
            <v>9</v>
          </cell>
          <cell r="X337">
            <v>10</v>
          </cell>
          <cell r="Y337">
            <v>11</v>
          </cell>
          <cell r="Z337">
            <v>12</v>
          </cell>
          <cell r="AA337">
            <v>13</v>
          </cell>
          <cell r="AB337">
            <v>14</v>
          </cell>
          <cell r="AC337">
            <v>15</v>
          </cell>
          <cell r="AD337">
            <v>16</v>
          </cell>
        </row>
        <row r="338">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1</v>
          </cell>
        </row>
        <row r="340">
          <cell r="E340">
            <v>1</v>
          </cell>
        </row>
        <row r="341">
          <cell r="D341">
            <v>12.986301369863</v>
          </cell>
        </row>
      </sheetData>
      <sheetData sheetId="3">
        <row r="133">
          <cell r="F133">
            <v>9500</v>
          </cell>
          <cell r="G133">
            <v>19274</v>
          </cell>
          <cell r="H133">
            <v>13150</v>
          </cell>
          <cell r="I133">
            <v>556</v>
          </cell>
          <cell r="J133">
            <v>17306</v>
          </cell>
          <cell r="K133">
            <v>306</v>
          </cell>
          <cell r="L133">
            <v>53454</v>
          </cell>
          <cell r="M133">
            <v>64795</v>
          </cell>
          <cell r="N133">
            <v>56613</v>
          </cell>
          <cell r="O133">
            <v>78674.859341240386</v>
          </cell>
          <cell r="P133">
            <v>86872.864933215547</v>
          </cell>
          <cell r="Q133">
            <v>108457.70801387064</v>
          </cell>
          <cell r="R133">
            <v>137764.60108447957</v>
          </cell>
          <cell r="S133">
            <v>172922.68031251468</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42">
          <cell r="F142">
            <v>9529.0131199999996</v>
          </cell>
          <cell r="G142">
            <v>13131.9422</v>
          </cell>
          <cell r="H142">
            <v>16986.878580000001</v>
          </cell>
          <cell r="I142">
            <v>16657.027249999999</v>
          </cell>
          <cell r="J142">
            <v>6754.3990214027872</v>
          </cell>
          <cell r="K142">
            <v>27121.297538927167</v>
          </cell>
          <cell r="L142">
            <v>27458.26343219481</v>
          </cell>
          <cell r="M142">
            <v>14194.3165187332</v>
          </cell>
          <cell r="N142">
            <v>25488.491540155392</v>
          </cell>
          <cell r="O142">
            <v>32098.798733904994</v>
          </cell>
          <cell r="P142">
            <v>39797.854842901637</v>
          </cell>
          <cell r="Q142">
            <v>53886.45161610104</v>
          </cell>
          <cell r="R142">
            <v>66574.851719686572</v>
          </cell>
          <cell r="S142">
            <v>81382.769434344373</v>
          </cell>
          <cell r="T142">
            <v>93635.684134954572</v>
          </cell>
          <cell r="U142">
            <v>106067.8829527778</v>
          </cell>
          <cell r="V142">
            <v>119091.6646352142</v>
          </cell>
          <cell r="W142">
            <v>132525.52052928085</v>
          </cell>
          <cell r="X142">
            <v>146151.56827122741</v>
          </cell>
          <cell r="Y142">
            <v>159719.42491287197</v>
          </cell>
          <cell r="Z142">
            <v>172952.21632710239</v>
          </cell>
          <cell r="AA142">
            <v>185983.94881636152</v>
          </cell>
          <cell r="AB142">
            <v>198602.44589883051</v>
          </cell>
          <cell r="AC142">
            <v>210587.25096291909</v>
          </cell>
          <cell r="AD142">
            <v>221116.61351106508</v>
          </cell>
        </row>
        <row r="145">
          <cell r="F145">
            <v>5700.1909094028842</v>
          </cell>
          <cell r="G145">
            <v>8717.6599482408128</v>
          </cell>
          <cell r="H145">
            <v>12685.10704781505</v>
          </cell>
          <cell r="I145">
            <v>11729.099329761026</v>
          </cell>
          <cell r="J145">
            <v>4823.4263566564459</v>
          </cell>
          <cell r="K145">
            <v>18986.126130183238</v>
          </cell>
          <cell r="L145">
            <v>20893.471543586267</v>
          </cell>
          <cell r="M145">
            <v>12188.724372064709</v>
          </cell>
          <cell r="N145">
            <v>20735.450466416711</v>
          </cell>
          <cell r="O145">
            <v>23572.350811206998</v>
          </cell>
          <cell r="P145">
            <v>29549.53519019148</v>
          </cell>
          <cell r="Q145">
            <v>40159.699277890191</v>
          </cell>
          <cell r="R145">
            <v>49731.132720365567</v>
          </cell>
          <cell r="S145">
            <v>60889.556520695391</v>
          </cell>
          <cell r="T145">
            <v>69827.383208642408</v>
          </cell>
          <cell r="U145">
            <v>78099.879712322683</v>
          </cell>
          <cell r="V145">
            <v>86568.303037264181</v>
          </cell>
          <cell r="W145">
            <v>95085.713362565453</v>
          </cell>
          <cell r="X145">
            <v>103486.25115264124</v>
          </cell>
          <cell r="Y145">
            <v>111589.55544255234</v>
          </cell>
          <cell r="Z145">
            <v>119206.43575063537</v>
          </cell>
          <cell r="AA145">
            <v>126437.45746302207</v>
          </cell>
          <cell r="AB145">
            <v>133146.0531819936</v>
          </cell>
          <cell r="AC145">
            <v>139198.17288648951</v>
          </cell>
          <cell r="AD145">
            <v>146158.08153081403</v>
          </cell>
        </row>
        <row r="181">
          <cell r="E181">
            <v>0</v>
          </cell>
          <cell r="F181">
            <v>0</v>
          </cell>
          <cell r="G181">
            <v>0</v>
          </cell>
          <cell r="H181">
            <v>0</v>
          </cell>
          <cell r="I181">
            <v>0</v>
          </cell>
          <cell r="J181">
            <v>0</v>
          </cell>
          <cell r="K181">
            <v>35</v>
          </cell>
          <cell r="L181">
            <v>368</v>
          </cell>
          <cell r="M181">
            <v>745</v>
          </cell>
          <cell r="N181">
            <v>1649</v>
          </cell>
          <cell r="O181">
            <v>2466.25</v>
          </cell>
          <cell r="P181">
            <v>3979.5625</v>
          </cell>
          <cell r="Q181">
            <v>5629.046875</v>
          </cell>
          <cell r="R181">
            <v>7380.66015625</v>
          </cell>
          <cell r="S181">
            <v>9208.8701171875</v>
          </cell>
        </row>
        <row r="182">
          <cell r="E182">
            <v>24871</v>
          </cell>
          <cell r="F182">
            <v>27221</v>
          </cell>
          <cell r="G182">
            <v>24433</v>
          </cell>
          <cell r="H182">
            <v>32307</v>
          </cell>
          <cell r="I182">
            <v>39889</v>
          </cell>
          <cell r="J182">
            <v>34384.039658174166</v>
          </cell>
          <cell r="K182">
            <v>45704.10357338297</v>
          </cell>
          <cell r="L182">
            <v>59985.763492626655</v>
          </cell>
          <cell r="M182">
            <v>69545.64752475782</v>
          </cell>
          <cell r="N182">
            <v>95179.473262558589</v>
          </cell>
          <cell r="O182">
            <v>121428.19811249754</v>
          </cell>
          <cell r="P182">
            <v>144480.34902834333</v>
          </cell>
          <cell r="Q182">
            <v>166264.79981911834</v>
          </cell>
          <cell r="R182">
            <v>191119.2262620597</v>
          </cell>
          <cell r="S182">
            <v>223014.18799843587</v>
          </cell>
          <cell r="T182">
            <v>253205.9214520512</v>
          </cell>
          <cell r="U182">
            <v>293544.08913376834</v>
          </cell>
          <cell r="V182">
            <v>337236.57694113406</v>
          </cell>
          <cell r="W182">
            <v>383908.2678895978</v>
          </cell>
          <cell r="X182">
            <v>433032.55852102436</v>
          </cell>
          <cell r="Y182">
            <v>483929.36898941686</v>
          </cell>
          <cell r="Z182">
            <v>535770.76313929621</v>
          </cell>
          <cell r="AA182">
            <v>588954.4863788489</v>
          </cell>
          <cell r="AB182">
            <v>642794.52883082465</v>
          </cell>
          <cell r="AC182">
            <v>696517.33255985484</v>
          </cell>
          <cell r="AD182">
            <v>731343.19918784767</v>
          </cell>
        </row>
        <row r="218">
          <cell r="F218">
            <v>3350.1909094028852</v>
          </cell>
          <cell r="G218">
            <v>11505.659948240813</v>
          </cell>
          <cell r="H218">
            <v>4811.1070478150505</v>
          </cell>
          <cell r="I218">
            <v>4147.0993297610257</v>
          </cell>
          <cell r="J218">
            <v>10328.386698482282</v>
          </cell>
          <cell r="K218">
            <v>7666.0622149744304</v>
          </cell>
          <cell r="L218">
            <v>6611.8116243425902</v>
          </cell>
          <cell r="M218">
            <v>2628.8403399335439</v>
          </cell>
          <cell r="N218">
            <v>-4898.3752713840659</v>
          </cell>
          <cell r="O218">
            <v>-2676.3740387319413</v>
          </cell>
          <cell r="P218">
            <v>6497.3842743456698</v>
          </cell>
          <cell r="Q218">
            <v>18375.248487115176</v>
          </cell>
          <cell r="R218">
            <v>24876.706277424222</v>
          </cell>
          <cell r="S218">
            <v>28994.594784319255</v>
          </cell>
          <cell r="T218">
            <v>39635.649755027072</v>
          </cell>
          <cell r="U218">
            <v>37761.712030605544</v>
          </cell>
          <cell r="V218">
            <v>42875.815229898464</v>
          </cell>
          <cell r="W218">
            <v>48414.02241410171</v>
          </cell>
          <cell r="X218">
            <v>54361.960521214685</v>
          </cell>
          <cell r="Y218">
            <v>60692.744974159839</v>
          </cell>
          <cell r="Z218">
            <v>67365.041600756027</v>
          </cell>
          <cell r="AA218">
            <v>73253.734223469379</v>
          </cell>
          <cell r="AB218">
            <v>79306.01073001785</v>
          </cell>
          <cell r="AC218">
            <v>85475.369157459325</v>
          </cell>
          <cell r="AD218">
            <v>111332.2149028212</v>
          </cell>
        </row>
        <row r="268">
          <cell r="F268">
            <v>3310.087809402884</v>
          </cell>
          <cell r="G268">
            <v>6335.8224482408132</v>
          </cell>
          <cell r="H268">
            <v>10598.528847815051</v>
          </cell>
          <cell r="I268">
            <v>8407.9397297610267</v>
          </cell>
          <cell r="J268">
            <v>16.801856656446034</v>
          </cell>
          <cell r="K268">
            <v>15372.363562109134</v>
          </cell>
          <cell r="L268">
            <v>15477.535270140386</v>
          </cell>
          <cell r="M268">
            <v>5776.2462547029199</v>
          </cell>
          <cell r="N268">
            <v>13899.113314733018</v>
          </cell>
          <cell r="O268">
            <v>11313.509081933837</v>
          </cell>
          <cell r="P268">
            <v>13909.933382082903</v>
          </cell>
          <cell r="Q268">
            <v>21551.046897111148</v>
          </cell>
          <cell r="R268">
            <v>28316.705887919092</v>
          </cell>
          <cell r="S268">
            <v>36273.95122411324</v>
          </cell>
          <cell r="T268">
            <v>41103.798801807425</v>
          </cell>
          <cell r="U268">
            <v>45487.687087208484</v>
          </cell>
          <cell r="V268">
            <v>48760.670720075359</v>
          </cell>
          <cell r="W268">
            <v>51650.614592487633</v>
          </cell>
          <cell r="X268">
            <v>51688.119662516488</v>
          </cell>
          <cell r="Y268">
            <v>53163.417529243496</v>
          </cell>
          <cell r="Z268">
            <v>53913.137368076343</v>
          </cell>
          <cell r="AA268">
            <v>54149.552359518304</v>
          </cell>
          <cell r="AB268">
            <v>53682.430023131441</v>
          </cell>
          <cell r="AC268">
            <v>52470.278984796329</v>
          </cell>
          <cell r="AD268">
            <v>52181.735109794769</v>
          </cell>
        </row>
      </sheetData>
      <sheetData sheetId="4" refreshError="1"/>
      <sheetData sheetId="5" refreshError="1"/>
      <sheetData sheetId="6" refreshError="1"/>
      <sheetData sheetId="7"/>
      <sheetData sheetId="8"/>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 val="A 3_7"/>
      <sheetName val="04REL"/>
      <sheetName val="data"/>
      <sheetName val="Data base Feb 09"/>
      <sheetName val="grid"/>
      <sheetName val="132kv DCDS"/>
      <sheetName val=""/>
      <sheetName val="PACK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v>0</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v>0</v>
          </cell>
        </row>
        <row r="173">
          <cell r="I173">
            <v>0</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v>0</v>
          </cell>
        </row>
        <row r="186">
          <cell r="I186">
            <v>0</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v>0</v>
          </cell>
        </row>
        <row r="198">
          <cell r="A198">
            <v>0</v>
          </cell>
          <cell r="B198" t="str">
            <v xml:space="preserve">Foundation work of </v>
          </cell>
          <cell r="C198">
            <v>0</v>
          </cell>
          <cell r="D198">
            <v>0</v>
          </cell>
          <cell r="E198">
            <v>0</v>
          </cell>
          <cell r="F198">
            <v>0</v>
          </cell>
          <cell r="G198">
            <v>0</v>
          </cell>
          <cell r="H198">
            <v>0</v>
          </cell>
          <cell r="I198">
            <v>0</v>
          </cell>
        </row>
        <row r="199">
          <cell r="I199">
            <v>0</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v>0</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y"/>
      <sheetName val="SBI CRA"/>
      <sheetName val="SBI"/>
      <sheetName val="Avg Maturity"/>
      <sheetName val="VALUATION"/>
      <sheetName val="Ratios"/>
      <sheetName val="Summary"/>
      <sheetName val="Snapshot"/>
      <sheetName val="IRR"/>
      <sheetName val="Report"/>
      <sheetName val="ppt"/>
      <sheetName val="FUNDING REQT_11.2"/>
      <sheetName val="DEBT SCHEDULE"/>
      <sheetName val="CFS + HMPL"/>
      <sheetName val="CFS"/>
      <sheetName val="BS"/>
      <sheetName val="P&amp;L"/>
      <sheetName val="INPUT"/>
      <sheetName val="INPUT LCE"/>
      <sheetName val="LCE"/>
      <sheetName val="DIST PLAN"/>
      <sheetName val="CALC"/>
      <sheetName val="PROD SALES"/>
      <sheetName val="PRODPRIC"/>
      <sheetName val="IPP"/>
      <sheetName val="EPP"/>
      <sheetName val="OPEX"/>
      <sheetName val="DEPR"/>
      <sheetName val="Tax Calc"/>
      <sheetName val="PRICES"/>
      <sheetName val="DIST PLAN INPUT"/>
      <sheetName val="REV"/>
      <sheetName val="WC"/>
      <sheetName val="HMPL"/>
      <sheetName val="TRANSP COST"/>
      <sheetName val="FREIGHT TABLE"/>
      <sheetName val="EXCISE"/>
      <sheetName val="PRICE HISTORY"/>
      <sheetName val="SALES TAX"/>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ReportManagerCode"/>
      <sheetName val="AdditionalPrintCode"/>
      <sheetName val="MainPrintCode"/>
      <sheetName val="Module2"/>
      <sheetName val="__FDSCACHE__"/>
      <sheetName val="Assumptions"/>
      <sheetName val="G to N"/>
      <sheetName val="Sheet1"/>
      <sheetName val="LCIP"/>
      <sheetName val="LCIP Output"/>
      <sheetName val="Aggregate"/>
      <sheetName val="1"/>
      <sheetName val="2"/>
      <sheetName val="3"/>
      <sheetName val="4"/>
      <sheetName val="5"/>
      <sheetName val="6"/>
      <sheetName val="7"/>
      <sheetName val="8"/>
      <sheetName val="9"/>
      <sheetName val="10"/>
      <sheetName val="11"/>
      <sheetName val="12"/>
      <sheetName val="13"/>
      <sheetName val="14"/>
      <sheetName val="15"/>
      <sheetName val="16"/>
      <sheetName val="Crossover"/>
      <sheetName val="CJ Analysis"/>
      <sheetName val="IV Sen"/>
      <sheetName val="G to N Sens"/>
      <sheetName val="PWM Case"/>
      <sheetName val="Comp Cases"/>
      <sheetName val="Comp Sens"/>
      <sheetName val="MS Comp"/>
      <sheetName val="German"/>
      <sheetName val="Draper"/>
      <sheetName val="Scenario Analysis"/>
      <sheetName val="Tim's Proposal"/>
      <sheetName val="Hugh's Analysis"/>
      <sheetName val="Gross to Net- Majors"/>
      <sheetName val="Gross to Net-No Majors"/>
      <sheetName val="Comp Sens WSIB"/>
      <sheetName val="Non-Major"/>
      <sheetName val="CalPERS"/>
      <sheetName val="G to N CalPERS"/>
      <sheetName val="GM"/>
      <sheetName val="G to N for GM"/>
      <sheetName val="German Output"/>
      <sheetName val="German Sens"/>
      <sheetName val="CalSTRS"/>
      <sheetName val="US_Analysis Breakout"/>
      <sheetName val="US_Analysis"/>
      <sheetName val="Revised U.S. Fund"/>
      <sheetName val="U.S. Fund"/>
    </sheetNames>
    <sheetDataSet>
      <sheetData sheetId="0" refreshError="1"/>
      <sheetData sheetId="1" refreshError="1"/>
      <sheetData sheetId="2" refreshError="1"/>
      <sheetData sheetId="3" refreshError="1"/>
      <sheetData sheetId="4" refreshError="1"/>
      <sheetData sheetId="5" refreshError="1"/>
      <sheetData sheetId="6" refreshError="1">
        <row r="5">
          <cell r="J5">
            <v>0</v>
          </cell>
        </row>
        <row r="22">
          <cell r="C22">
            <v>0.01</v>
          </cell>
        </row>
        <row r="23">
          <cell r="C23">
            <v>0.05</v>
          </cell>
        </row>
        <row r="26">
          <cell r="C26">
            <v>1.4999999999999999E-2</v>
          </cell>
        </row>
        <row r="29">
          <cell r="C29">
            <v>0</v>
          </cell>
        </row>
        <row r="54">
          <cell r="C54">
            <v>0.6</v>
          </cell>
        </row>
        <row r="55">
          <cell r="C55">
            <v>0.19999999999999996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Phasing and IDC (2)"/>
      <sheetName val="Consultancy proposal"/>
      <sheetName val="Consultants"/>
      <sheetName val="Energy Charge (2)"/>
      <sheetName val="Energy Charge"/>
      <sheetName val="Staffing"/>
      <sheetName val="Land Lease"/>
      <sheetName val="Assumptions and Cost Input"/>
      <sheetName val="Cost information Sheet"/>
      <sheetName val="Capex Phasing and IDC"/>
      <sheetName val="Debt-Schedule-DSR-Ops Factor"/>
      <sheetName val="Currency wise break-up"/>
      <sheetName val="Cost Breakup Depreciation&amp; Tax"/>
      <sheetName val="DTA "/>
      <sheetName val="DTA Tax working"/>
      <sheetName val="Assum"/>
      <sheetName val="Statements"/>
      <sheetName val="Cashflow"/>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107"/>
      <sheetName val="YE-107A"/>
      <sheetName val="YE-107S"/>
      <sheetName val="YE-107S1"/>
      <sheetName val="YE-107SW"/>
      <sheetName val="YE-SW2"/>
      <sheetName val="YE_SW2"/>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ol charac"/>
      <sheetName val="Pool"/>
      <sheetName val="Cashflow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2000-01"/>
      <sheetName val="04REL"/>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harts"/>
      <sheetName val="Recon {pbc}"/>
      <sheetName val="Allow {pbc}"/>
      <sheetName val="Statistics {pbc}"/>
      <sheetName val="Tickmarks"/>
      <sheetName val="modRollFWD"/>
      <sheetName val="Confirm"/>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 Calculations"/>
      <sheetName val="Duty Stucture"/>
      <sheetName val="EVA_M, PBT"/>
      <sheetName val="I9, PO67,40,33"/>
      <sheetName val="I12,PO67,40,33"/>
      <sheetName val="I15,PO67,40,33"/>
      <sheetName val="I18,PO67,40,33"/>
      <sheetName val="I18,PO67,50,33"/>
      <sheetName val="I15,PO67,50,33"/>
      <sheetName val="I12,PO67,50,33"/>
      <sheetName val="I9, PO67,50,33"/>
      <sheetName val="PBT"/>
      <sheetName val="EVA"/>
      <sheetName val="Presentation"/>
      <sheetName val="Sharing"/>
      <sheetName val="29May ICP meet, v4"/>
      <sheetName val="Data"/>
      <sheetName val="PARTY MASTER"/>
      <sheetName val="NW RTU"/>
      <sheetName val="NOVAGE"/>
      <sheetName val="EVA_Calculations"/>
      <sheetName val="Duty_Stucture"/>
      <sheetName val="EVA_M,_PBT"/>
      <sheetName val="I9,_PO67,40,33"/>
      <sheetName val="I9,_PO67,50,33"/>
      <sheetName val="29May_ICP_meet,_v4"/>
      <sheetName val="PARTY_MASTER"/>
      <sheetName val="NW_RTU"/>
      <sheetName val="Revenue_Contribution"/>
      <sheetName val="LIST"/>
      <sheetName val="DIV"/>
      <sheetName val="FORM-16"/>
      <sheetName val="Main Equ. List"/>
      <sheetName val="tbc"/>
      <sheetName val="ALL"/>
      <sheetName val="共機J"/>
      <sheetName val="Mgmt Pres - Forecasted"/>
      <sheetName val="Mgmt Pres - Historicals"/>
      <sheetName val="Dashboard"/>
      <sheetName val="COGS"/>
      <sheetName val="EVA_Calculations1"/>
      <sheetName val="Duty_Stucture1"/>
      <sheetName val="EVA_M,_PBT1"/>
      <sheetName val="I9,_PO67,40,331"/>
      <sheetName val="I9,_PO67,50,331"/>
      <sheetName val="29May_ICP_meet,_v41"/>
      <sheetName val="PARTY_MASTER1"/>
      <sheetName val="NW_RTU1"/>
      <sheetName val="Mgmt_Pres_-_Forecasted"/>
      <sheetName val="Mgmt_Pres_-_Historicals"/>
      <sheetName val="Main_Equ__List"/>
      <sheetName val="1999"/>
      <sheetName val="2000"/>
      <sheetName val="Budget"/>
      <sheetName val="Update"/>
      <sheetName val="Title"/>
      <sheetName val="CRUD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関係会社貸付金データ"/>
      <sheetName val="単ﾗﾀﾞｰ金"/>
    </sheetNames>
    <sheetDataSet>
      <sheetData sheetId="0" refreshError="1"/>
      <sheetData sheetId="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ﾏﾁｭﾘﾃｨﾗﾀﾞｰ（月次ベース）"/>
      <sheetName val="ﾏﾁｭﾘﾃｨﾗﾀﾞｰ（四半期ベース）"/>
      <sheetName val="末残計画(四半期ベース)"/>
      <sheetName val="全社連結用（月次ベース）"/>
      <sheetName val="全社連結用（四半期ベース）"/>
      <sheetName val="全社連結用（末残計画）"/>
      <sheetName val="マクロ管理"/>
      <sheetName val="修正事項"/>
      <sheetName val="ﾏﾁｭﾘﾃｨﾗﾀﾞｰ_月次ベース_"/>
      <sheetName val="ﾏﾁｭﾘﾃｨﾗﾀﾞｰ_四半期ベース_"/>
      <sheetName val="末残計画_四半期ベース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関係会社貸付金データ"/>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L"/>
      <sheetName val="B S"/>
      <sheetName val="MISPL"/>
      <sheetName val="MISBS"/>
      <sheetName val="Bal"/>
      <sheetName val="prof"/>
      <sheetName val="Keyratios"/>
      <sheetName val="Capad"/>
      <sheetName val="Cash Flow"/>
      <sheetName val="ASUM"/>
      <sheetName val="BRAN"/>
      <sheetName val="sum"/>
      <sheetName val="Presentation"/>
      <sheetName val="MISDOC"/>
      <sheetName val="NFF 2002"/>
      <sheetName val="BOD PL NEW"/>
      <sheetName val="BOD BS"/>
      <sheetName val="estMAR"/>
      <sheetName val="sprreco"/>
      <sheetName val="Break"/>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ol charac"/>
      <sheetName val="Initial Tenor"/>
      <sheetName val="Pool details"/>
      <sheetName val="Cashflows"/>
      <sheetName val="without prepayment"/>
      <sheetName val="prin -int"/>
      <sheetName val="with prepayment"/>
      <sheetName val="with prepayment (2)"/>
    </sheetNames>
    <sheetDataSet>
      <sheetData sheetId="0"/>
      <sheetData sheetId="1"/>
      <sheetData sheetId="2" refreshError="1"/>
      <sheetData sheetId="3"/>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Assumptions"/>
      <sheetName val="Room Revenues"/>
      <sheetName val="F&amp;B"/>
      <sheetName val="Rental Revenues"/>
      <sheetName val="Other Revenues"/>
      <sheetName val="Departmental Costs"/>
      <sheetName val="Departmentwise Profits"/>
      <sheetName val="Undistributed Costs"/>
      <sheetName val="IDC macro"/>
      <sheetName val="P&amp;L"/>
      <sheetName val="P&amp;L-IT"/>
      <sheetName val="Cashflows"/>
      <sheetName val="DSCR"/>
      <sheetName val="IRR &amp; ROE"/>
      <sheetName val="Bal. Sheet "/>
      <sheetName val="Working Capital"/>
      <sheetName val="Ratios"/>
      <sheetName val="Ratios_Print"/>
      <sheetName val="Breakeven Analysis"/>
      <sheetName val="Loan workings"/>
      <sheetName val="Quasi Equity"/>
      <sheetName val="Fund util. schedule "/>
      <sheetName val="Capex"/>
      <sheetName val="Project Costing Summary"/>
      <sheetName val="HVAC"/>
      <sheetName val="Plumbing"/>
      <sheetName val="Electrical"/>
      <sheetName val="Low Voltage Systems"/>
      <sheetName val="Elevators"/>
      <sheetName val="Kitchen"/>
      <sheetName val="MODFNB"/>
      <sheetName val="man power"/>
      <sheetName val="are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CC"/>
      <sheetName val="exchange ratio"/>
      <sheetName val="Workings-JVSL"/>
      <sheetName val="Workings-JSWPL"/>
      <sheetName val="Workings-Euro Coke"/>
      <sheetName val="Workings-Euro Ikon"/>
    </sheetNames>
    <sheetDataSet>
      <sheetData sheetId="0"/>
      <sheetData sheetId="1"/>
      <sheetData sheetId="2"/>
      <sheetData sheetId="3"/>
      <sheetData sheetId="4"/>
      <sheetData sheetId="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s"/>
      <sheetName val="Comp"/>
      <sheetName val="Ack"/>
      <sheetName val="Ack (2)"/>
      <sheetName val="Page1"/>
      <sheetName val="Page2"/>
      <sheetName val="Page3"/>
      <sheetName val="Page4"/>
      <sheetName val="Page5"/>
      <sheetName val="Page6"/>
      <sheetName val="Page7"/>
      <sheetName val="Page8"/>
      <sheetName val="Page9"/>
      <sheetName val="Page10"/>
      <sheetName val="Ack "/>
      <sheetName val="Page8 "/>
      <sheetName val="Page10 "/>
      <sheetName val="Actual Input"/>
      <sheetName val="PECVD"/>
      <sheetName val="Bus Mgmt"/>
      <sheetName val="commit"/>
      <sheetName val="Disruptive "/>
      <sheetName val="ELK"/>
      <sheetName val="ECURE"/>
      <sheetName val="HDP"/>
      <sheetName val="HQ"/>
      <sheetName val="LowK"/>
      <sheetName val="Module"/>
      <sheetName val="Ops"/>
      <sheetName val="Support"/>
      <sheetName val="T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x-M"/>
      <sheetName val="Anx-N"/>
      <sheetName val="Anx_M"/>
    </sheetNames>
    <sheetDataSet>
      <sheetData sheetId="0"/>
      <sheetData sheetId="1"/>
      <sheetData sheetId="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TZ MORT 94"/>
      <sheetName val="FINAL"/>
      <sheetName val="FITZ_MORT_94"/>
      <sheetName val="ASS"/>
      <sheetName val="Cases"/>
      <sheetName val="MASTER_RATE ANALYSIS"/>
      <sheetName val="Assumptions"/>
      <sheetName val="Sheet1"/>
      <sheetName val="PrintManagerCode"/>
      <sheetName val="__FDSCACHE__"/>
      <sheetName val="Hotel"/>
      <sheetName val="Hotel Room Comps"/>
      <sheetName val="PrintSum"/>
      <sheetName val="Tax Sum"/>
      <sheetName val="Summary&amp;Sen"/>
      <sheetName val="Ret-Q 100%"/>
      <sheetName val="Ret-Trust"/>
      <sheetName val="CB"/>
      <sheetName val="Inv Ass"/>
      <sheetName val="DevProp Ass"/>
      <sheetName val="InvProp Ass"/>
      <sheetName val="HotProp Ass"/>
      <sheetName val="Module1"/>
      <sheetName val="Hilton"/>
      <sheetName val="Hilton (2)"/>
      <sheetName val="Price Perf"/>
      <sheetName val="WACC"/>
      <sheetName val="unused&gt;"/>
      <sheetName val="Financial"/>
      <sheetName val="DDM"/>
      <sheetName val="SSFIII S"/>
      <sheetName val="Output"/>
      <sheetName val="IDCCALHYD-GOO"/>
      <sheetName val="PARAMETRES"/>
      <sheetName val="Introduction"/>
      <sheetName val="IDC macro"/>
      <sheetName val="MA"/>
      <sheetName val="sheet6"/>
      <sheetName val="Template"/>
      <sheetName val="Total Haryana POs AMC Sheet 3%"/>
      <sheetName val="delhi 03-04AMC @ 3%"/>
      <sheetName val="itemsdetails"/>
      <sheetName val="NW RTU"/>
      <sheetName val="Stock"/>
      <sheetName val="Operating Summary"/>
      <sheetName val="CMA"/>
      <sheetName val="P1"/>
    </sheetNames>
    <sheetDataSet>
      <sheetData sheetId="0" refreshError="1">
        <row r="7">
          <cell r="C7">
            <v>0.06</v>
          </cell>
        </row>
        <row r="8">
          <cell r="C8">
            <v>30</v>
          </cell>
        </row>
        <row r="9">
          <cell r="C9">
            <v>12</v>
          </cell>
        </row>
        <row r="10">
          <cell r="C10">
            <v>34335</v>
          </cell>
        </row>
        <row r="15">
          <cell r="C15">
            <v>479.64042012220716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JISCO"/>
      <sheetName val="DHS"/>
      <sheetName val="combined-2"/>
      <sheetName val="Balancesheet"/>
      <sheetName val="P&amp;Lmerged"/>
      <sheetName val="Summary-JVSL"/>
      <sheetName val="Cashflow"/>
      <sheetName val="wcap"/>
      <sheetName val="P&amp;L-marginal"/>
      <sheetName val="P&amp;L-ind"/>
      <sheetName val="Ratio"/>
      <sheetName val="Sensitivity"/>
      <sheetName val="Assumptions"/>
      <sheetName val="Prices"/>
      <sheetName val="Sheet1"/>
      <sheetName val="COP"/>
      <sheetName val="expansion"/>
      <sheetName val="Prepayment"/>
      <sheetName val="Loans"/>
      <sheetName val="FX Loan-details"/>
      <sheetName val="Depreciation"/>
      <sheetName val="Tax-WDV"/>
      <sheetName val="DCFValuation"/>
      <sheetName val="DCF"/>
      <sheetName val="WA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Phasing+ Int"/>
      <sheetName val="UPERC Tariff Calc"/>
      <sheetName val="Depreciation"/>
      <sheetName val="Working Capital"/>
      <sheetName val="PFSBU"/>
      <sheetName val="Financials"/>
      <sheetName val="Table"/>
      <sheetName val="Ratios"/>
      <sheetName val="Sensitivity"/>
      <sheetName val="Project Cost_New"/>
    </sheetNames>
    <sheetDataSet>
      <sheetData sheetId="0"/>
      <sheetData sheetId="1"/>
      <sheetData sheetId="2"/>
      <sheetData sheetId="3" refreshError="1"/>
      <sheetData sheetId="4"/>
      <sheetData sheetId="5" refreshError="1"/>
      <sheetData sheetId="6"/>
      <sheetData sheetId="7" refreshError="1"/>
      <sheetData sheetId="8" refreshError="1"/>
      <sheetData sheetId="9"/>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Queries"/>
      <sheetName val="Inventories_Leadsheet"/>
      <sheetName val="Stockchange_Leadsheet"/>
      <sheetName val="Finished Goods"/>
      <sheetName val="Stock in Process"/>
      <sheetName val="Excise Duty"/>
      <sheetName val="Sheet2"/>
      <sheetName val="FG Variance"/>
      <sheetName val="Components"/>
      <sheetName val="Valuation"/>
      <sheetName val="Stock-Process"/>
      <sheetName val="ByeProduct_Gain"/>
      <sheetName val="Allocation{PBC}"/>
      <sheetName val="Stock-RM"/>
      <sheetName val="SALT{PBC}"/>
      <sheetName val="FUEL{PBC}"/>
      <sheetName val="CHEM{PBC}"/>
      <sheetName val="Gross Profit Analysis"/>
      <sheetName val="Cost Allocation {PBC}"/>
      <sheetName val="Note"/>
      <sheetName val="XREF"/>
      <sheetName val="Tickmarks"/>
    </sheetNames>
    <sheetDataSet>
      <sheetData sheetId="0" refreshError="1"/>
      <sheetData sheetId="1"/>
      <sheetData sheetId="2"/>
      <sheetData sheetId="3"/>
      <sheetData sheetId="4" refreshError="1"/>
      <sheetData sheetId="5" refreshError="1"/>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ice"/>
      <sheetName val="PPT Inputs"/>
      <sheetName val="Reco"/>
      <sheetName val="Consol Summary -&gt;"/>
      <sheetName val="Core Assumptions"/>
      <sheetName val="ATL Consol Financials (USD)"/>
      <sheetName val="ATL"/>
      <sheetName val="ATL-Standalone"/>
      <sheetName val="Ratios"/>
      <sheetName val="Ratios-XNPV"/>
      <sheetName val="NEW SPV"/>
      <sheetName val="Debt Workings"/>
      <sheetName val="ICD Mechanics"/>
      <sheetName val="Financials -&gt;"/>
      <sheetName val="CHECKs"/>
      <sheetName val="ATL Standalone"/>
      <sheetName val="ATIL"/>
      <sheetName val="MEGPTCL"/>
      <sheetName val="ATL (Original OG)"/>
      <sheetName val="Summary Financials RN "/>
      <sheetName val="Old Summary Sheet"/>
      <sheetName val="Financial_ATL RA submtd obligor"/>
      <sheetName val="ATL Consol Financials"/>
      <sheetName val="Tariff Workings -&gt;"/>
      <sheetName val="Tariff_M2M"/>
      <sheetName val="Tariff_M2D"/>
      <sheetName val="Tariff_T2W"/>
      <sheetName val="Tariff_T2A"/>
      <sheetName val="Tariff Summary"/>
      <sheetName val="Tariff_Aravali"/>
      <sheetName val="Tariff_Maru"/>
      <sheetName val="Tariff_WRTM"/>
      <sheetName val="Tariff_WRTG"/>
      <sheetName val="Tariff_PKTCL"/>
      <sheetName val="Tx Line Configuration -&gt;"/>
      <sheetName val="Mundra-Mohindergarh"/>
      <sheetName val="Mundra-Dahegam"/>
      <sheetName val="Tiroda-Aurangabad"/>
      <sheetName val="Tiroda-Warora"/>
      <sheetName val="Aravali"/>
      <sheetName val="Maru"/>
      <sheetName val="WRTM"/>
      <sheetName val="WRTG"/>
      <sheetName val="PKTCL Configuration"/>
      <sheetName val="Tx Line Financials -&gt;"/>
      <sheetName val="Financials_M2M"/>
      <sheetName val="Financials_M2D"/>
      <sheetName val="Financials_T2W"/>
      <sheetName val="Financials_T2A"/>
      <sheetName val="New Lines (Combine Accts)"/>
      <sheetName val="Financials_Aravali"/>
      <sheetName val="Financials_Maru"/>
      <sheetName val="Financials_WRTM"/>
      <sheetName val="Financials_WRTG"/>
      <sheetName val="Financials_PKTCL"/>
      <sheetName val="Tx Line_MoF -&gt;"/>
      <sheetName val="MoF_M2M"/>
      <sheetName val="MoF_M2D"/>
      <sheetName val="MoF_T2W"/>
      <sheetName val="MoF_T2A"/>
      <sheetName val="MoF_Aravali"/>
      <sheetName val="MoF_Maru"/>
      <sheetName val="MoF_WRTM"/>
      <sheetName val="MoF_WRTG"/>
      <sheetName val="MoF_PKTCL"/>
      <sheetName val="Tariff_CWR"/>
      <sheetName val="C_WR"/>
      <sheetName val="Tariff_RRW"/>
      <sheetName val="RR_W"/>
      <sheetName val="Tariff_SBR"/>
      <sheetName val="S_BR"/>
      <sheetName val="Tariff_NKTL "/>
      <sheetName val="NK_TL"/>
      <sheetName val="Tariff_ATRL"/>
      <sheetName val="AT_RL"/>
    </sheetNames>
    <sheetDataSet>
      <sheetData sheetId="0"/>
      <sheetData sheetId="1">
        <row r="1">
          <cell r="C1">
            <v>66.5</v>
          </cell>
        </row>
        <row r="27">
          <cell r="C27">
            <v>0.995</v>
          </cell>
        </row>
        <row r="28">
          <cell r="C28">
            <v>0.995</v>
          </cell>
        </row>
        <row r="35">
          <cell r="C35">
            <v>9.2999999999999999E-2</v>
          </cell>
        </row>
      </sheetData>
      <sheetData sheetId="2"/>
      <sheetData sheetId="3"/>
      <sheetData sheetId="4">
        <row r="51">
          <cell r="D51">
            <v>0.21341600000000002</v>
          </cell>
          <cell r="E51">
            <v>0.34608000000000005</v>
          </cell>
        </row>
        <row r="139">
          <cell r="H139">
            <v>41729</v>
          </cell>
          <cell r="I139">
            <v>42094</v>
          </cell>
          <cell r="J139">
            <v>42460</v>
          </cell>
          <cell r="K139">
            <v>42825</v>
          </cell>
          <cell r="L139">
            <v>0</v>
          </cell>
          <cell r="M139">
            <v>43190</v>
          </cell>
          <cell r="N139">
            <v>43555</v>
          </cell>
          <cell r="O139">
            <v>43921</v>
          </cell>
          <cell r="P139">
            <v>44286</v>
          </cell>
          <cell r="Q139">
            <v>44651</v>
          </cell>
          <cell r="R139">
            <v>45016</v>
          </cell>
          <cell r="S139">
            <v>45382</v>
          </cell>
          <cell r="T139">
            <v>45747</v>
          </cell>
          <cell r="U139">
            <v>46112</v>
          </cell>
          <cell r="V139">
            <v>46477</v>
          </cell>
          <cell r="W139">
            <v>46843</v>
          </cell>
          <cell r="X139">
            <v>47208</v>
          </cell>
          <cell r="Y139">
            <v>47573</v>
          </cell>
          <cell r="Z139">
            <v>47938</v>
          </cell>
          <cell r="AA139">
            <v>48304</v>
          </cell>
          <cell r="AB139">
            <v>48669</v>
          </cell>
          <cell r="AC139">
            <v>49034</v>
          </cell>
          <cell r="AD139">
            <v>49399</v>
          </cell>
          <cell r="AE139">
            <v>49765</v>
          </cell>
          <cell r="AF139">
            <v>50130</v>
          </cell>
          <cell r="AG139">
            <v>50495</v>
          </cell>
          <cell r="AH139">
            <v>50860</v>
          </cell>
          <cell r="AI139">
            <v>51226</v>
          </cell>
          <cell r="AJ139">
            <v>51591</v>
          </cell>
          <cell r="AK139">
            <v>51956</v>
          </cell>
          <cell r="AL139">
            <v>52321</v>
          </cell>
          <cell r="AM139">
            <v>52687</v>
          </cell>
          <cell r="AN139">
            <v>53052</v>
          </cell>
          <cell r="AO139">
            <v>53417</v>
          </cell>
          <cell r="AP139">
            <v>53782</v>
          </cell>
          <cell r="AQ139">
            <v>54148</v>
          </cell>
          <cell r="AR139">
            <v>54513</v>
          </cell>
          <cell r="AS139">
            <v>54878</v>
          </cell>
        </row>
        <row r="140">
          <cell r="H140">
            <v>7</v>
          </cell>
          <cell r="I140">
            <v>8</v>
          </cell>
          <cell r="J140">
            <v>9</v>
          </cell>
          <cell r="K140">
            <v>10</v>
          </cell>
          <cell r="L140">
            <v>0</v>
          </cell>
          <cell r="M140">
            <v>11</v>
          </cell>
          <cell r="N140">
            <v>12</v>
          </cell>
          <cell r="O140">
            <v>13</v>
          </cell>
          <cell r="P140">
            <v>14</v>
          </cell>
          <cell r="Q140">
            <v>15</v>
          </cell>
          <cell r="R140">
            <v>16</v>
          </cell>
          <cell r="S140">
            <v>17</v>
          </cell>
          <cell r="T140">
            <v>18</v>
          </cell>
          <cell r="U140">
            <v>19</v>
          </cell>
          <cell r="V140">
            <v>20</v>
          </cell>
          <cell r="W140">
            <v>21</v>
          </cell>
          <cell r="X140">
            <v>22</v>
          </cell>
          <cell r="Y140">
            <v>23</v>
          </cell>
          <cell r="Z140">
            <v>24</v>
          </cell>
          <cell r="AA140">
            <v>25</v>
          </cell>
          <cell r="AB140">
            <v>26</v>
          </cell>
          <cell r="AC140">
            <v>27</v>
          </cell>
          <cell r="AD140">
            <v>28</v>
          </cell>
          <cell r="AE140">
            <v>29</v>
          </cell>
          <cell r="AF140">
            <v>30</v>
          </cell>
          <cell r="AG140">
            <v>31</v>
          </cell>
          <cell r="AH140">
            <v>32</v>
          </cell>
          <cell r="AI140">
            <v>33</v>
          </cell>
          <cell r="AJ140">
            <v>34</v>
          </cell>
          <cell r="AK140">
            <v>35</v>
          </cell>
          <cell r="AL140">
            <v>36</v>
          </cell>
          <cell r="AM140">
            <v>37</v>
          </cell>
          <cell r="AN140">
            <v>38</v>
          </cell>
          <cell r="AO140">
            <v>39</v>
          </cell>
          <cell r="AP140">
            <v>40</v>
          </cell>
          <cell r="AQ140">
            <v>41</v>
          </cell>
          <cell r="AR140">
            <v>42</v>
          </cell>
          <cell r="AS140">
            <v>43</v>
          </cell>
        </row>
        <row r="141">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row>
        <row r="142">
          <cell r="C142" t="str">
            <v>400KV</v>
          </cell>
          <cell r="D142">
            <v>1</v>
          </cell>
          <cell r="E142">
            <v>4</v>
          </cell>
          <cell r="H142">
            <v>65.459999999999994</v>
          </cell>
          <cell r="I142">
            <v>60.3</v>
          </cell>
          <cell r="J142">
            <v>62.3</v>
          </cell>
          <cell r="K142">
            <v>64.37</v>
          </cell>
          <cell r="L142">
            <v>0</v>
          </cell>
          <cell r="M142">
            <v>66.510000000000005</v>
          </cell>
          <cell r="N142">
            <v>68.709999999999994</v>
          </cell>
          <cell r="O142">
            <v>70.991171999999992</v>
          </cell>
          <cell r="P142">
            <v>73.348078910399991</v>
          </cell>
          <cell r="Q142">
            <v>75.783235130225265</v>
          </cell>
          <cell r="R142">
            <v>78.299238536548742</v>
          </cell>
          <cell r="S142">
            <v>80.898773255962155</v>
          </cell>
          <cell r="T142">
            <v>83.584612528060092</v>
          </cell>
          <cell r="U142">
            <v>86.359621663991675</v>
          </cell>
          <cell r="V142">
            <v>89.226761103236186</v>
          </cell>
          <cell r="W142">
            <v>92.189089571863619</v>
          </cell>
          <cell r="X142">
            <v>95.249767345649488</v>
          </cell>
          <cell r="Y142">
            <v>98.412059621525046</v>
          </cell>
          <cell r="Z142">
            <v>101.67934000095967</v>
          </cell>
          <cell r="AA142">
            <v>105.05509408899152</v>
          </cell>
          <cell r="AB142">
            <v>108.54292321274603</v>
          </cell>
          <cell r="AC142">
            <v>112.14654826340919</v>
          </cell>
          <cell r="AD142">
            <v>115.86981366575436</v>
          </cell>
          <cell r="AE142">
            <v>119.7166914794574</v>
          </cell>
          <cell r="AF142">
            <v>123.69128563657537</v>
          </cell>
          <cell r="AG142">
            <v>127.79783631970966</v>
          </cell>
          <cell r="AH142">
            <v>132.04072448552401</v>
          </cell>
          <cell r="AI142">
            <v>136.4244765384434</v>
          </cell>
          <cell r="AJ142">
            <v>140.95376915951971</v>
          </cell>
          <cell r="AK142">
            <v>145.63343429561576</v>
          </cell>
          <cell r="AL142">
            <v>150.46846431423018</v>
          </cell>
          <cell r="AM142">
            <v>155.46401732946259</v>
          </cell>
          <cell r="AN142">
            <v>160.62542270480074</v>
          </cell>
          <cell r="AO142">
            <v>165.95818673860012</v>
          </cell>
          <cell r="AP142">
            <v>171.46799853832164</v>
          </cell>
          <cell r="AQ142">
            <v>177.16073608979389</v>
          </cell>
          <cell r="AR142">
            <v>183.04247252797504</v>
          </cell>
          <cell r="AS142">
            <v>189.11948261590379</v>
          </cell>
        </row>
        <row r="143">
          <cell r="C143" t="str">
            <v>765KV</v>
          </cell>
          <cell r="D143">
            <v>1.4</v>
          </cell>
          <cell r="E143">
            <v>5</v>
          </cell>
          <cell r="H143">
            <v>91.643999999999991</v>
          </cell>
          <cell r="I143">
            <v>84.419999999999987</v>
          </cell>
          <cell r="J143">
            <v>87.219999999999985</v>
          </cell>
          <cell r="K143">
            <v>90.117999999999995</v>
          </cell>
          <cell r="L143">
            <v>0</v>
          </cell>
          <cell r="M143">
            <v>93.114000000000004</v>
          </cell>
          <cell r="N143">
            <v>96.193999999999988</v>
          </cell>
          <cell r="O143">
            <v>99.387640799999986</v>
          </cell>
          <cell r="P143">
            <v>102.68731047455998</v>
          </cell>
          <cell r="Q143">
            <v>106.09652918231536</v>
          </cell>
          <cell r="R143">
            <v>109.61893395116823</v>
          </cell>
          <cell r="S143">
            <v>113.25828255834701</v>
          </cell>
          <cell r="T143">
            <v>117.01845753928411</v>
          </cell>
          <cell r="U143">
            <v>120.90347032958833</v>
          </cell>
          <cell r="V143">
            <v>124.91746554453066</v>
          </cell>
          <cell r="W143">
            <v>129.06472540060906</v>
          </cell>
          <cell r="X143">
            <v>133.34967428390928</v>
          </cell>
          <cell r="Y143">
            <v>137.77688347013506</v>
          </cell>
          <cell r="Z143">
            <v>142.35107600134353</v>
          </cell>
          <cell r="AA143">
            <v>147.07713172458813</v>
          </cell>
          <cell r="AB143">
            <v>151.96009249784444</v>
          </cell>
          <cell r="AC143">
            <v>157.00516756877286</v>
          </cell>
          <cell r="AD143">
            <v>162.2177391320561</v>
          </cell>
          <cell r="AE143">
            <v>167.60336807124034</v>
          </cell>
          <cell r="AF143">
            <v>173.1677998912055</v>
          </cell>
          <cell r="AG143">
            <v>178.91697084759352</v>
          </cell>
          <cell r="AH143">
            <v>184.85701427973359</v>
          </cell>
          <cell r="AI143">
            <v>190.99426715382074</v>
          </cell>
          <cell r="AJ143">
            <v>197.33527682332758</v>
          </cell>
          <cell r="AK143">
            <v>203.88680801386204</v>
          </cell>
          <cell r="AL143">
            <v>210.65585003992223</v>
          </cell>
          <cell r="AM143">
            <v>217.64962426124762</v>
          </cell>
          <cell r="AN143">
            <v>224.87559178672103</v>
          </cell>
          <cell r="AO143">
            <v>232.34146143404016</v>
          </cell>
          <cell r="AP143">
            <v>240.05519795365026</v>
          </cell>
          <cell r="AQ143">
            <v>248.02503052571143</v>
          </cell>
          <cell r="AR143">
            <v>256.25946153916504</v>
          </cell>
          <cell r="AS143">
            <v>264.76727566226532</v>
          </cell>
        </row>
        <row r="144">
          <cell r="C144" t="str">
            <v>220KV</v>
          </cell>
          <cell r="D144">
            <v>0.7</v>
          </cell>
          <cell r="E144">
            <v>6</v>
          </cell>
          <cell r="H144">
            <v>45.821999999999996</v>
          </cell>
          <cell r="I144">
            <v>42.209999999999994</v>
          </cell>
          <cell r="J144">
            <v>43.609999999999992</v>
          </cell>
          <cell r="K144">
            <v>45.058999999999997</v>
          </cell>
          <cell r="L144">
            <v>0</v>
          </cell>
          <cell r="M144">
            <v>46.557000000000002</v>
          </cell>
          <cell r="N144">
            <v>48.096999999999994</v>
          </cell>
          <cell r="O144">
            <v>49.693820399999993</v>
          </cell>
          <cell r="P144">
            <v>51.343655237279989</v>
          </cell>
          <cell r="Q144">
            <v>53.048264591157682</v>
          </cell>
          <cell r="R144">
            <v>54.809466975584115</v>
          </cell>
          <cell r="S144">
            <v>56.629141279173503</v>
          </cell>
          <cell r="T144">
            <v>58.509228769642057</v>
          </cell>
          <cell r="U144">
            <v>60.451735164794165</v>
          </cell>
          <cell r="V144">
            <v>62.458732772265328</v>
          </cell>
          <cell r="W144">
            <v>64.532362700304532</v>
          </cell>
          <cell r="X144">
            <v>66.67483714195464</v>
          </cell>
          <cell r="Y144">
            <v>68.888441735067531</v>
          </cell>
          <cell r="Z144">
            <v>71.175538000671764</v>
          </cell>
          <cell r="AA144">
            <v>73.538565862294064</v>
          </cell>
          <cell r="AB144">
            <v>75.980046248922221</v>
          </cell>
          <cell r="AC144">
            <v>78.502583784386431</v>
          </cell>
          <cell r="AD144">
            <v>81.108869566028048</v>
          </cell>
          <cell r="AE144">
            <v>83.80168403562017</v>
          </cell>
          <cell r="AF144">
            <v>86.583899945602752</v>
          </cell>
          <cell r="AG144">
            <v>89.458485423796759</v>
          </cell>
          <cell r="AH144">
            <v>92.428507139866795</v>
          </cell>
          <cell r="AI144">
            <v>95.497133576910372</v>
          </cell>
          <cell r="AJ144">
            <v>98.667638411663788</v>
          </cell>
          <cell r="AK144">
            <v>101.94340400693102</v>
          </cell>
          <cell r="AL144">
            <v>105.32792501996111</v>
          </cell>
          <cell r="AM144">
            <v>108.82481213062381</v>
          </cell>
          <cell r="AN144">
            <v>112.43779589336052</v>
          </cell>
          <cell r="AO144">
            <v>116.17073071702008</v>
          </cell>
          <cell r="AP144">
            <v>120.02759897682513</v>
          </cell>
          <cell r="AQ144">
            <v>124.01251526285571</v>
          </cell>
          <cell r="AR144">
            <v>128.12973076958252</v>
          </cell>
          <cell r="AS144">
            <v>132.38363783113266</v>
          </cell>
        </row>
        <row r="145">
          <cell r="C145" t="str">
            <v>132KV</v>
          </cell>
          <cell r="D145">
            <v>0.5</v>
          </cell>
          <cell r="E145">
            <v>7</v>
          </cell>
          <cell r="H145">
            <v>32.729999999999997</v>
          </cell>
          <cell r="I145">
            <v>30.15</v>
          </cell>
          <cell r="J145">
            <v>31.15</v>
          </cell>
          <cell r="K145">
            <v>32.185000000000002</v>
          </cell>
          <cell r="L145">
            <v>0</v>
          </cell>
          <cell r="M145">
            <v>33.255000000000003</v>
          </cell>
          <cell r="N145">
            <v>34.354999999999997</v>
          </cell>
          <cell r="O145">
            <v>35.495585999999996</v>
          </cell>
          <cell r="P145">
            <v>36.674039455199996</v>
          </cell>
          <cell r="Q145">
            <v>37.891617565112632</v>
          </cell>
          <cell r="R145">
            <v>39.149619268274371</v>
          </cell>
          <cell r="S145">
            <v>40.449386627981077</v>
          </cell>
          <cell r="T145">
            <v>41.792306264030046</v>
          </cell>
          <cell r="U145">
            <v>43.179810831995837</v>
          </cell>
          <cell r="V145">
            <v>44.613380551618093</v>
          </cell>
          <cell r="W145">
            <v>46.094544785931809</v>
          </cell>
          <cell r="X145">
            <v>47.624883672824744</v>
          </cell>
          <cell r="Y145">
            <v>49.206029810762523</v>
          </cell>
          <cell r="Z145">
            <v>50.839670000479835</v>
          </cell>
          <cell r="AA145">
            <v>52.527547044495762</v>
          </cell>
          <cell r="AB145">
            <v>54.271461606373016</v>
          </cell>
          <cell r="AC145">
            <v>56.073274131704594</v>
          </cell>
          <cell r="AD145">
            <v>57.934906832877182</v>
          </cell>
          <cell r="AE145">
            <v>59.858345739728698</v>
          </cell>
          <cell r="AF145">
            <v>61.845642818287686</v>
          </cell>
          <cell r="AG145">
            <v>63.89891815985483</v>
          </cell>
          <cell r="AH145">
            <v>66.020362242762005</v>
          </cell>
          <cell r="AI145">
            <v>68.2122382692217</v>
          </cell>
          <cell r="AJ145">
            <v>70.476884579759854</v>
          </cell>
          <cell r="AK145">
            <v>72.816717147807879</v>
          </cell>
          <cell r="AL145">
            <v>75.234232157115088</v>
          </cell>
          <cell r="AM145">
            <v>77.732008664731296</v>
          </cell>
          <cell r="AN145">
            <v>80.31271135240037</v>
          </cell>
          <cell r="AO145">
            <v>82.97909336930006</v>
          </cell>
          <cell r="AP145">
            <v>85.733999269160819</v>
          </cell>
          <cell r="AQ145">
            <v>88.580368044896943</v>
          </cell>
          <cell r="AR145">
            <v>91.521236263987518</v>
          </cell>
          <cell r="AS145">
            <v>94.559741307951896</v>
          </cell>
        </row>
        <row r="146">
          <cell r="C146">
            <v>0</v>
          </cell>
          <cell r="D146">
            <v>0</v>
          </cell>
          <cell r="E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row>
        <row r="147">
          <cell r="C147" t="str">
            <v>Single Ckt (Single)</v>
          </cell>
          <cell r="D147">
            <v>0.5</v>
          </cell>
          <cell r="E147">
            <v>9</v>
          </cell>
          <cell r="H147">
            <v>0.2235</v>
          </cell>
          <cell r="I147">
            <v>0.20200000000000001</v>
          </cell>
          <cell r="J147">
            <v>0.20899999999999999</v>
          </cell>
          <cell r="K147">
            <v>0.216</v>
          </cell>
          <cell r="L147">
            <v>0</v>
          </cell>
          <cell r="M147">
            <v>0.223</v>
          </cell>
          <cell r="N147">
            <v>0.23050000000000001</v>
          </cell>
          <cell r="O147">
            <v>0.23815259999999999</v>
          </cell>
          <cell r="P147">
            <v>0.24605926631999997</v>
          </cell>
          <cell r="Q147">
            <v>0.25422843396182393</v>
          </cell>
          <cell r="R147">
            <v>0.26266881796935648</v>
          </cell>
          <cell r="S147">
            <v>0.27138942272593908</v>
          </cell>
          <cell r="T147">
            <v>0.28039955156044022</v>
          </cell>
          <cell r="U147">
            <v>0.28970881667224679</v>
          </cell>
          <cell r="V147">
            <v>0.29932714938576538</v>
          </cell>
          <cell r="W147">
            <v>0.30926481074537276</v>
          </cell>
          <cell r="X147">
            <v>0.31953240246211911</v>
          </cell>
          <cell r="Y147">
            <v>0.33014087822386146</v>
          </cell>
          <cell r="Z147">
            <v>0.3411015553808936</v>
          </cell>
          <cell r="AA147">
            <v>0.35242612701953924</v>
          </cell>
          <cell r="AB147">
            <v>0.36412667443658792</v>
          </cell>
          <cell r="AC147">
            <v>0.37621568002788258</v>
          </cell>
          <cell r="AD147">
            <v>0.38870604060480823</v>
          </cell>
          <cell r="AE147">
            <v>0.40161108115288785</v>
          </cell>
          <cell r="AF147">
            <v>0.4149445690471637</v>
          </cell>
          <cell r="AG147">
            <v>0.42872072873952949</v>
          </cell>
          <cell r="AH147">
            <v>0.44295425693368184</v>
          </cell>
          <cell r="AI147">
            <v>0.45766033826388003</v>
          </cell>
          <cell r="AJ147">
            <v>0.47285466149424082</v>
          </cell>
          <cell r="AK147">
            <v>0.48855343625584957</v>
          </cell>
          <cell r="AL147">
            <v>0.5047734103395437</v>
          </cell>
          <cell r="AM147">
            <v>0.52153188756281654</v>
          </cell>
          <cell r="AN147">
            <v>0.53884674622990203</v>
          </cell>
          <cell r="AO147">
            <v>0.55673645820473472</v>
          </cell>
          <cell r="AP147">
            <v>0.57522010861713191</v>
          </cell>
          <cell r="AQ147">
            <v>0.59431741622322065</v>
          </cell>
          <cell r="AR147">
            <v>0.61404875444183149</v>
          </cell>
          <cell r="AS147">
            <v>0.6344351730893002</v>
          </cell>
        </row>
        <row r="148">
          <cell r="C148" t="str">
            <v>Single Ckt (Twin)</v>
          </cell>
          <cell r="D148">
            <v>1</v>
          </cell>
          <cell r="E148">
            <v>10</v>
          </cell>
          <cell r="H148">
            <v>0.44700000000000001</v>
          </cell>
          <cell r="I148">
            <v>0.40400000000000003</v>
          </cell>
          <cell r="J148">
            <v>0.41799999999999998</v>
          </cell>
          <cell r="K148">
            <v>0.432</v>
          </cell>
          <cell r="L148">
            <v>0</v>
          </cell>
          <cell r="M148">
            <v>0.44600000000000001</v>
          </cell>
          <cell r="N148">
            <v>0.46100000000000002</v>
          </cell>
          <cell r="O148">
            <v>0.47630519999999998</v>
          </cell>
          <cell r="P148">
            <v>0.49211853263999994</v>
          </cell>
          <cell r="Q148">
            <v>0.50845686792364786</v>
          </cell>
          <cell r="R148">
            <v>0.52533763593871297</v>
          </cell>
          <cell r="S148">
            <v>0.54277884545187816</v>
          </cell>
          <cell r="T148">
            <v>0.56079910312088044</v>
          </cell>
          <cell r="U148">
            <v>0.57941763334449359</v>
          </cell>
          <cell r="V148">
            <v>0.59865429877153076</v>
          </cell>
          <cell r="W148">
            <v>0.61852962149074553</v>
          </cell>
          <cell r="X148">
            <v>0.63906480492423823</v>
          </cell>
          <cell r="Y148">
            <v>0.66028175644772291</v>
          </cell>
          <cell r="Z148">
            <v>0.68220311076178719</v>
          </cell>
          <cell r="AA148">
            <v>0.70485225403907847</v>
          </cell>
          <cell r="AB148">
            <v>0.72825334887317583</v>
          </cell>
          <cell r="AC148">
            <v>0.75243136005576516</v>
          </cell>
          <cell r="AD148">
            <v>0.77741208120961647</v>
          </cell>
          <cell r="AE148">
            <v>0.8032221623057757</v>
          </cell>
          <cell r="AF148">
            <v>0.82988913809432741</v>
          </cell>
          <cell r="AG148">
            <v>0.85744145747905898</v>
          </cell>
          <cell r="AH148">
            <v>0.88590851386736369</v>
          </cell>
          <cell r="AI148">
            <v>0.91532067652776006</v>
          </cell>
          <cell r="AJ148">
            <v>0.94570932298848165</v>
          </cell>
          <cell r="AK148">
            <v>0.97710687251169914</v>
          </cell>
          <cell r="AL148">
            <v>1.0095468206790874</v>
          </cell>
          <cell r="AM148">
            <v>1.0430637751256331</v>
          </cell>
          <cell r="AN148">
            <v>1.0776934924598041</v>
          </cell>
          <cell r="AO148">
            <v>1.1134729164094694</v>
          </cell>
          <cell r="AP148">
            <v>1.1504402172342638</v>
          </cell>
          <cell r="AQ148">
            <v>1.1886348324464413</v>
          </cell>
          <cell r="AR148">
            <v>1.228097508883663</v>
          </cell>
          <cell r="AS148">
            <v>1.2688703461786004</v>
          </cell>
        </row>
        <row r="149">
          <cell r="C149" t="str">
            <v>Single Ckt (Triple)</v>
          </cell>
          <cell r="D149">
            <v>1</v>
          </cell>
          <cell r="E149">
            <v>11</v>
          </cell>
          <cell r="H149">
            <v>0.44700000000000001</v>
          </cell>
          <cell r="I149">
            <v>0.40400000000000003</v>
          </cell>
          <cell r="J149">
            <v>0.41799999999999998</v>
          </cell>
          <cell r="K149">
            <v>0.432</v>
          </cell>
          <cell r="L149">
            <v>0</v>
          </cell>
          <cell r="M149">
            <v>0.44600000000000001</v>
          </cell>
          <cell r="N149">
            <v>0.46100000000000002</v>
          </cell>
          <cell r="O149">
            <v>0.47630519999999998</v>
          </cell>
          <cell r="P149">
            <v>0.49211853263999994</v>
          </cell>
          <cell r="Q149">
            <v>0.50845686792364786</v>
          </cell>
          <cell r="R149">
            <v>0.52533763593871297</v>
          </cell>
          <cell r="S149">
            <v>0.54277884545187816</v>
          </cell>
          <cell r="T149">
            <v>0.56079910312088044</v>
          </cell>
          <cell r="U149">
            <v>0.57941763334449359</v>
          </cell>
          <cell r="V149">
            <v>0.59865429877153076</v>
          </cell>
          <cell r="W149">
            <v>0.61852962149074553</v>
          </cell>
          <cell r="X149">
            <v>0.63906480492423823</v>
          </cell>
          <cell r="Y149">
            <v>0.66028175644772291</v>
          </cell>
          <cell r="Z149">
            <v>0.68220311076178719</v>
          </cell>
          <cell r="AA149">
            <v>0.70485225403907847</v>
          </cell>
          <cell r="AB149">
            <v>0.72825334887317583</v>
          </cell>
          <cell r="AC149">
            <v>0.75243136005576516</v>
          </cell>
          <cell r="AD149">
            <v>0.77741208120961647</v>
          </cell>
          <cell r="AE149">
            <v>0.8032221623057757</v>
          </cell>
          <cell r="AF149">
            <v>0.82988913809432741</v>
          </cell>
          <cell r="AG149">
            <v>0.85744145747905898</v>
          </cell>
          <cell r="AH149">
            <v>0.88590851386736369</v>
          </cell>
          <cell r="AI149">
            <v>0.91532067652776006</v>
          </cell>
          <cell r="AJ149">
            <v>0.94570932298848165</v>
          </cell>
          <cell r="AK149">
            <v>0.97710687251169914</v>
          </cell>
          <cell r="AL149">
            <v>1.0095468206790874</v>
          </cell>
          <cell r="AM149">
            <v>1.0430637751256331</v>
          </cell>
          <cell r="AN149">
            <v>1.0776934924598041</v>
          </cell>
          <cell r="AO149">
            <v>1.1134729164094694</v>
          </cell>
          <cell r="AP149">
            <v>1.1504402172342638</v>
          </cell>
          <cell r="AQ149">
            <v>1.1886348324464413</v>
          </cell>
          <cell r="AR149">
            <v>1.228097508883663</v>
          </cell>
          <cell r="AS149">
            <v>1.2688703461786004</v>
          </cell>
        </row>
        <row r="150">
          <cell r="C150" t="str">
            <v>Single Ckt (Quad)</v>
          </cell>
          <cell r="D150">
            <v>1.5</v>
          </cell>
          <cell r="E150">
            <v>12</v>
          </cell>
          <cell r="H150">
            <v>0.67049999999999998</v>
          </cell>
          <cell r="I150">
            <v>0.60600000000000009</v>
          </cell>
          <cell r="J150">
            <v>0.627</v>
          </cell>
          <cell r="K150">
            <v>0.64800000000000002</v>
          </cell>
          <cell r="L150">
            <v>0</v>
          </cell>
          <cell r="M150">
            <v>0.66900000000000004</v>
          </cell>
          <cell r="N150">
            <v>0.6915</v>
          </cell>
          <cell r="O150">
            <v>0.71445779999999992</v>
          </cell>
          <cell r="P150">
            <v>0.73817779895999991</v>
          </cell>
          <cell r="Q150">
            <v>0.76268530188547179</v>
          </cell>
          <cell r="R150">
            <v>0.78800645390806945</v>
          </cell>
          <cell r="S150">
            <v>0.81416826817781729</v>
          </cell>
          <cell r="T150">
            <v>0.8411986546813206</v>
          </cell>
          <cell r="U150">
            <v>0.86912645001674038</v>
          </cell>
          <cell r="V150">
            <v>0.89798144815729608</v>
          </cell>
          <cell r="W150">
            <v>0.92779443223611824</v>
          </cell>
          <cell r="X150">
            <v>0.95859720738635734</v>
          </cell>
          <cell r="Y150">
            <v>0.99042263467158431</v>
          </cell>
          <cell r="Z150">
            <v>1.0233046661426808</v>
          </cell>
          <cell r="AA150">
            <v>1.0572783810586177</v>
          </cell>
          <cell r="AB150">
            <v>1.0923800233097638</v>
          </cell>
          <cell r="AC150">
            <v>1.1286470400836477</v>
          </cell>
          <cell r="AD150">
            <v>1.1661181218144248</v>
          </cell>
          <cell r="AE150">
            <v>1.2048332434586635</v>
          </cell>
          <cell r="AF150">
            <v>1.244833707141491</v>
          </cell>
          <cell r="AG150">
            <v>1.2861621862185886</v>
          </cell>
          <cell r="AH150">
            <v>1.3288627708010456</v>
          </cell>
          <cell r="AI150">
            <v>1.3729810147916401</v>
          </cell>
          <cell r="AJ150">
            <v>1.4185639844827225</v>
          </cell>
          <cell r="AK150">
            <v>1.4656603087675486</v>
          </cell>
          <cell r="AL150">
            <v>1.514320231018631</v>
          </cell>
          <cell r="AM150">
            <v>1.5645956626884496</v>
          </cell>
          <cell r="AN150">
            <v>1.6165402386897061</v>
          </cell>
          <cell r="AO150">
            <v>1.6702093746142042</v>
          </cell>
          <cell r="AP150">
            <v>1.7256603258513956</v>
          </cell>
          <cell r="AQ150">
            <v>1.7829522486696621</v>
          </cell>
          <cell r="AR150">
            <v>1.8421462633254944</v>
          </cell>
          <cell r="AS150">
            <v>1.9033055192679007</v>
          </cell>
        </row>
        <row r="151">
          <cell r="C151" t="str">
            <v>Double Ckt (Single)</v>
          </cell>
          <cell r="D151">
            <v>0.75</v>
          </cell>
          <cell r="E151">
            <v>13</v>
          </cell>
          <cell r="H151">
            <v>0.33524999999999999</v>
          </cell>
          <cell r="I151">
            <v>0.30300000000000005</v>
          </cell>
          <cell r="J151">
            <v>0.3135</v>
          </cell>
          <cell r="K151">
            <v>0.32400000000000001</v>
          </cell>
          <cell r="L151">
            <v>0</v>
          </cell>
          <cell r="M151">
            <v>0.33450000000000002</v>
          </cell>
          <cell r="N151">
            <v>0.34575</v>
          </cell>
          <cell r="O151">
            <v>0.35722889999999996</v>
          </cell>
          <cell r="P151">
            <v>0.36908889947999995</v>
          </cell>
          <cell r="Q151">
            <v>0.38134265094273589</v>
          </cell>
          <cell r="R151">
            <v>0.39400322695403472</v>
          </cell>
          <cell r="S151">
            <v>0.40708413408890864</v>
          </cell>
          <cell r="T151">
            <v>0.4205993273406603</v>
          </cell>
          <cell r="U151">
            <v>0.43456322500837019</v>
          </cell>
          <cell r="V151">
            <v>0.44899072407864804</v>
          </cell>
          <cell r="W151">
            <v>0.46389721611805912</v>
          </cell>
          <cell r="X151">
            <v>0.47929860369317867</v>
          </cell>
          <cell r="Y151">
            <v>0.49521131733579216</v>
          </cell>
          <cell r="Z151">
            <v>0.51165233307134039</v>
          </cell>
          <cell r="AA151">
            <v>0.52863919052930886</v>
          </cell>
          <cell r="AB151">
            <v>0.5461900116548819</v>
          </cell>
          <cell r="AC151">
            <v>0.56432352004182385</v>
          </cell>
          <cell r="AD151">
            <v>0.58305906090721238</v>
          </cell>
          <cell r="AE151">
            <v>0.60241662172933175</v>
          </cell>
          <cell r="AF151">
            <v>0.6224168535707455</v>
          </cell>
          <cell r="AG151">
            <v>0.64308109310929429</v>
          </cell>
          <cell r="AH151">
            <v>0.66443138540052282</v>
          </cell>
          <cell r="AI151">
            <v>0.68649050739582007</v>
          </cell>
          <cell r="AJ151">
            <v>0.70928199224136124</v>
          </cell>
          <cell r="AK151">
            <v>0.7328301543837743</v>
          </cell>
          <cell r="AL151">
            <v>0.7571601155093155</v>
          </cell>
          <cell r="AM151">
            <v>0.78229783134422481</v>
          </cell>
          <cell r="AN151">
            <v>0.80827011934485304</v>
          </cell>
          <cell r="AO151">
            <v>0.83510468730710208</v>
          </cell>
          <cell r="AP151">
            <v>0.86283016292569781</v>
          </cell>
          <cell r="AQ151">
            <v>0.89147612433483103</v>
          </cell>
          <cell r="AR151">
            <v>0.92107313166274718</v>
          </cell>
          <cell r="AS151">
            <v>0.95165275963395035</v>
          </cell>
        </row>
        <row r="152">
          <cell r="C152" t="str">
            <v>Double Ckt (Twin)</v>
          </cell>
          <cell r="D152">
            <v>1.75</v>
          </cell>
          <cell r="E152">
            <v>14</v>
          </cell>
          <cell r="H152">
            <v>0.78225</v>
          </cell>
          <cell r="I152">
            <v>0.70700000000000007</v>
          </cell>
          <cell r="J152">
            <v>0.73149999999999993</v>
          </cell>
          <cell r="K152">
            <v>0.75600000000000001</v>
          </cell>
          <cell r="L152">
            <v>0</v>
          </cell>
          <cell r="M152">
            <v>0.78049999999999997</v>
          </cell>
          <cell r="N152">
            <v>0.80675000000000008</v>
          </cell>
          <cell r="O152">
            <v>0.83353409999999994</v>
          </cell>
          <cell r="P152">
            <v>0.86120743211999984</v>
          </cell>
          <cell r="Q152">
            <v>0.88979951886638375</v>
          </cell>
          <cell r="R152">
            <v>0.91934086289274775</v>
          </cell>
          <cell r="S152">
            <v>0.9498629795407868</v>
          </cell>
          <cell r="T152">
            <v>0.98139843046154074</v>
          </cell>
          <cell r="U152">
            <v>1.0139808583528638</v>
          </cell>
          <cell r="V152">
            <v>1.0476450228501788</v>
          </cell>
          <cell r="W152">
            <v>1.0824268376088046</v>
          </cell>
          <cell r="X152">
            <v>1.1183634086174168</v>
          </cell>
          <cell r="Y152">
            <v>1.1554930737835152</v>
          </cell>
          <cell r="Z152">
            <v>1.1938554438331277</v>
          </cell>
          <cell r="AA152">
            <v>1.2334914445683873</v>
          </cell>
          <cell r="AB152">
            <v>1.2744433605280576</v>
          </cell>
          <cell r="AC152">
            <v>1.316754880097589</v>
          </cell>
          <cell r="AD152">
            <v>1.3604711421168287</v>
          </cell>
          <cell r="AE152">
            <v>1.4056387840351074</v>
          </cell>
          <cell r="AF152">
            <v>1.4523059916650729</v>
          </cell>
          <cell r="AG152">
            <v>1.5005225505883533</v>
          </cell>
          <cell r="AH152">
            <v>1.5503398992678865</v>
          </cell>
          <cell r="AI152">
            <v>1.60181118392358</v>
          </cell>
          <cell r="AJ152">
            <v>1.654991315229843</v>
          </cell>
          <cell r="AK152">
            <v>1.7099370268954734</v>
          </cell>
          <cell r="AL152">
            <v>1.7667069361884029</v>
          </cell>
          <cell r="AM152">
            <v>1.8253616064698579</v>
          </cell>
          <cell r="AN152">
            <v>1.885963611804657</v>
          </cell>
          <cell r="AO152">
            <v>1.9485776037165716</v>
          </cell>
          <cell r="AP152">
            <v>2.0132703801599616</v>
          </cell>
          <cell r="AQ152">
            <v>2.0801109567812723</v>
          </cell>
          <cell r="AR152">
            <v>2.1491706405464104</v>
          </cell>
          <cell r="AS152">
            <v>2.2205231058125507</v>
          </cell>
        </row>
        <row r="153">
          <cell r="C153" t="str">
            <v>Double Ckt (Triple)</v>
          </cell>
          <cell r="D153">
            <v>1.75</v>
          </cell>
          <cell r="E153">
            <v>15</v>
          </cell>
          <cell r="H153">
            <v>0.78225</v>
          </cell>
          <cell r="I153">
            <v>0.70700000000000007</v>
          </cell>
          <cell r="J153">
            <v>0.73149999999999993</v>
          </cell>
          <cell r="K153">
            <v>0.75600000000000001</v>
          </cell>
          <cell r="L153">
            <v>0</v>
          </cell>
          <cell r="M153">
            <v>0.78049999999999997</v>
          </cell>
          <cell r="N153">
            <v>0.80675000000000008</v>
          </cell>
          <cell r="O153">
            <v>0.83353409999999994</v>
          </cell>
          <cell r="P153">
            <v>0.86120743211999984</v>
          </cell>
          <cell r="Q153">
            <v>0.88979951886638375</v>
          </cell>
          <cell r="R153">
            <v>0.91934086289274775</v>
          </cell>
          <cell r="S153">
            <v>0.9498629795407868</v>
          </cell>
          <cell r="T153">
            <v>0.98139843046154074</v>
          </cell>
          <cell r="U153">
            <v>1.0139808583528638</v>
          </cell>
          <cell r="V153">
            <v>1.0476450228501788</v>
          </cell>
          <cell r="W153">
            <v>1.0824268376088046</v>
          </cell>
          <cell r="X153">
            <v>1.1183634086174168</v>
          </cell>
          <cell r="Y153">
            <v>1.1554930737835152</v>
          </cell>
          <cell r="Z153">
            <v>1.1938554438331277</v>
          </cell>
          <cell r="AA153">
            <v>1.2334914445683873</v>
          </cell>
          <cell r="AB153">
            <v>1.2744433605280576</v>
          </cell>
          <cell r="AC153">
            <v>1.316754880097589</v>
          </cell>
          <cell r="AD153">
            <v>1.3604711421168287</v>
          </cell>
          <cell r="AE153">
            <v>1.4056387840351074</v>
          </cell>
          <cell r="AF153">
            <v>1.4523059916650729</v>
          </cell>
          <cell r="AG153">
            <v>1.5005225505883533</v>
          </cell>
          <cell r="AH153">
            <v>1.5503398992678865</v>
          </cell>
          <cell r="AI153">
            <v>1.60181118392358</v>
          </cell>
          <cell r="AJ153">
            <v>1.654991315229843</v>
          </cell>
          <cell r="AK153">
            <v>1.7099370268954734</v>
          </cell>
          <cell r="AL153">
            <v>1.7667069361884029</v>
          </cell>
          <cell r="AM153">
            <v>1.8253616064698579</v>
          </cell>
          <cell r="AN153">
            <v>1.885963611804657</v>
          </cell>
          <cell r="AO153">
            <v>1.9485776037165716</v>
          </cell>
          <cell r="AP153">
            <v>2.0132703801599616</v>
          </cell>
          <cell r="AQ153">
            <v>2.0801109567812723</v>
          </cell>
          <cell r="AR153">
            <v>2.1491706405464104</v>
          </cell>
          <cell r="AS153">
            <v>2.2205231058125507</v>
          </cell>
        </row>
        <row r="154">
          <cell r="C154" t="str">
            <v>Double Ckt (Quad)</v>
          </cell>
          <cell r="D154">
            <v>2.6286259999999997</v>
          </cell>
          <cell r="E154">
            <v>16</v>
          </cell>
          <cell r="H154">
            <v>1.1749958219999999</v>
          </cell>
          <cell r="I154">
            <v>1.0619649039999999</v>
          </cell>
          <cell r="J154">
            <v>1.0987656679999998</v>
          </cell>
          <cell r="K154">
            <v>1.1355664319999998</v>
          </cell>
          <cell r="L154">
            <v>0</v>
          </cell>
          <cell r="M154">
            <v>1.1723671959999999</v>
          </cell>
          <cell r="N154">
            <v>1.211796586</v>
          </cell>
          <cell r="O154">
            <v>1.2520282326551999</v>
          </cell>
          <cell r="P154">
            <v>1.2935955699793524</v>
          </cell>
          <cell r="Q154">
            <v>1.3365429429026665</v>
          </cell>
          <cell r="R154">
            <v>1.380916168607035</v>
          </cell>
          <cell r="S154">
            <v>1.4267625854047885</v>
          </cell>
          <cell r="T154">
            <v>1.4741311032402273</v>
          </cell>
          <cell r="U154">
            <v>1.5230722558678027</v>
          </cell>
          <cell r="V154">
            <v>1.5736382547626135</v>
          </cell>
          <cell r="W154">
            <v>1.6258830448207322</v>
          </cell>
          <cell r="X154">
            <v>1.6798623619087805</v>
          </cell>
          <cell r="Y154">
            <v>1.7356337923241518</v>
          </cell>
          <cell r="Z154">
            <v>1.7932568342293134</v>
          </cell>
          <cell r="AA154">
            <v>1.8527929611257266</v>
          </cell>
          <cell r="AB154">
            <v>1.9143056874351005</v>
          </cell>
          <cell r="AC154">
            <v>1.9778606362579456</v>
          </cell>
          <cell r="AD154">
            <v>2.0435256093817089</v>
          </cell>
          <cell r="AE154">
            <v>2.1113706596131818</v>
          </cell>
          <cell r="AF154">
            <v>2.1814681655123391</v>
          </cell>
          <cell r="AG154">
            <v>2.2538929086073485</v>
          </cell>
          <cell r="AH154">
            <v>2.3287221531731124</v>
          </cell>
          <cell r="AI154">
            <v>2.4060357286584595</v>
          </cell>
          <cell r="AJ154">
            <v>2.4859161148499203</v>
          </cell>
          <cell r="AK154">
            <v>2.5684485298629371</v>
          </cell>
          <cell r="AL154">
            <v>2.6537210210543867</v>
          </cell>
          <cell r="AM154">
            <v>2.7418245589533923</v>
          </cell>
          <cell r="AN154">
            <v>2.8328531343106444</v>
          </cell>
          <cell r="AO154">
            <v>2.9269038583697577</v>
          </cell>
          <cell r="AP154">
            <v>3.0240770664676337</v>
          </cell>
          <cell r="AQ154">
            <v>3.1244764250743589</v>
          </cell>
          <cell r="AR154">
            <v>3.228209042386827</v>
          </cell>
          <cell r="AS154">
            <v>3.335385582594069</v>
          </cell>
        </row>
        <row r="155">
          <cell r="C155" t="str">
            <v>500MW HVDC BTB</v>
          </cell>
          <cell r="D155">
            <v>0</v>
          </cell>
          <cell r="E155">
            <v>17</v>
          </cell>
          <cell r="H155">
            <v>553</v>
          </cell>
          <cell r="I155">
            <v>578</v>
          </cell>
          <cell r="J155">
            <v>627</v>
          </cell>
          <cell r="K155">
            <v>679</v>
          </cell>
          <cell r="L155">
            <v>0</v>
          </cell>
          <cell r="M155">
            <v>736</v>
          </cell>
          <cell r="N155">
            <v>797</v>
          </cell>
          <cell r="O155">
            <v>823.46039999999994</v>
          </cell>
          <cell r="P155">
            <v>850.79928527999982</v>
          </cell>
          <cell r="Q155">
            <v>879.04582155129572</v>
          </cell>
          <cell r="R155">
            <v>908.23014282679867</v>
          </cell>
          <cell r="S155">
            <v>938.38338356864824</v>
          </cell>
          <cell r="T155">
            <v>969.53771190312727</v>
          </cell>
          <cell r="U155">
            <v>1001.726363938311</v>
          </cell>
          <cell r="V155">
            <v>1034.9836792210629</v>
          </cell>
          <cell r="W155">
            <v>1069.3451373712021</v>
          </cell>
          <cell r="X155">
            <v>1104.8473959319258</v>
          </cell>
          <cell r="Y155">
            <v>1141.5283294768656</v>
          </cell>
          <cell r="Z155">
            <v>1179.4270700154973</v>
          </cell>
          <cell r="AA155">
            <v>1218.5840487400117</v>
          </cell>
          <cell r="AB155">
            <v>1259.04103915818</v>
          </cell>
          <cell r="AC155">
            <v>1300.8412016582315</v>
          </cell>
          <cell r="AD155">
            <v>1344.0291295532847</v>
          </cell>
          <cell r="AE155">
            <v>1388.6508966544536</v>
          </cell>
          <cell r="AF155">
            <v>1434.7541064233812</v>
          </cell>
          <cell r="AG155">
            <v>1482.3879427566374</v>
          </cell>
          <cell r="AH155">
            <v>1531.6032224561575</v>
          </cell>
          <cell r="AI155">
            <v>1582.4524494417017</v>
          </cell>
          <cell r="AJ155">
            <v>1634.989870763166</v>
          </cell>
          <cell r="AK155">
            <v>1689.2715344725029</v>
          </cell>
          <cell r="AL155">
            <v>1745.3553494169898</v>
          </cell>
          <cell r="AM155">
            <v>1803.3011470176336</v>
          </cell>
          <cell r="AN155">
            <v>1863.1707450986189</v>
          </cell>
          <cell r="AO155">
            <v>1925.0280138358928</v>
          </cell>
          <cell r="AP155">
            <v>1988.9389438952442</v>
          </cell>
          <cell r="AQ155">
            <v>2054.971716832566</v>
          </cell>
          <cell r="AR155">
            <v>2123.196777831407</v>
          </cell>
          <cell r="AS155">
            <v>2193.6869108554097</v>
          </cell>
        </row>
        <row r="156">
          <cell r="C156" t="str">
            <v>O&amp;M for Rihand-Dadri HVDC bipole scheme</v>
          </cell>
          <cell r="D156">
            <v>0</v>
          </cell>
          <cell r="E156">
            <v>18</v>
          </cell>
          <cell r="H156">
            <v>1811</v>
          </cell>
          <cell r="I156">
            <v>1511</v>
          </cell>
          <cell r="J156">
            <v>1637</v>
          </cell>
          <cell r="K156">
            <v>1774</v>
          </cell>
          <cell r="L156">
            <v>0</v>
          </cell>
          <cell r="M156">
            <v>1922</v>
          </cell>
          <cell r="N156">
            <v>2082</v>
          </cell>
          <cell r="O156">
            <v>2151.1223999999997</v>
          </cell>
          <cell r="P156">
            <v>2222.5396636799996</v>
          </cell>
          <cell r="Q156">
            <v>2296.3279805141756</v>
          </cell>
          <cell r="R156">
            <v>2372.5660694672461</v>
          </cell>
          <cell r="S156">
            <v>2451.3352629735582</v>
          </cell>
          <cell r="T156">
            <v>2532.7195937042802</v>
          </cell>
          <cell r="U156">
            <v>2616.8058842152623</v>
          </cell>
          <cell r="V156">
            <v>2703.6838395712089</v>
          </cell>
          <cell r="W156">
            <v>2793.4461430449728</v>
          </cell>
          <cell r="X156">
            <v>2886.1885549940657</v>
          </cell>
          <cell r="Y156">
            <v>2982.0100150198682</v>
          </cell>
          <cell r="Z156">
            <v>3081.0127475185277</v>
          </cell>
          <cell r="AA156">
            <v>3183.3023707361426</v>
          </cell>
          <cell r="AB156">
            <v>3288.9880094445821</v>
          </cell>
          <cell r="AC156">
            <v>3398.182411358142</v>
          </cell>
          <cell r="AD156">
            <v>3511.002067415232</v>
          </cell>
          <cell r="AE156">
            <v>3627.5673360534174</v>
          </cell>
          <cell r="AF156">
            <v>3748.0025716103905</v>
          </cell>
          <cell r="AG156">
            <v>3872.4362569878549</v>
          </cell>
          <cell r="AH156">
            <v>4001.0011407198513</v>
          </cell>
          <cell r="AI156">
            <v>4133.8343785917496</v>
          </cell>
          <cell r="AJ156">
            <v>4271.0776799609948</v>
          </cell>
          <cell r="AK156">
            <v>4412.877458935699</v>
          </cell>
          <cell r="AL156">
            <v>4559.3849905723637</v>
          </cell>
          <cell r="AM156">
            <v>4710.7565722593654</v>
          </cell>
          <cell r="AN156">
            <v>4867.1536904583754</v>
          </cell>
          <cell r="AO156">
            <v>5028.743192981593</v>
          </cell>
          <cell r="AP156">
            <v>5195.6974669885813</v>
          </cell>
          <cell r="AQ156">
            <v>5368.1946228926017</v>
          </cell>
          <cell r="AR156">
            <v>5546.4186843726357</v>
          </cell>
          <cell r="AS156">
            <v>5730.5597846938063</v>
          </cell>
        </row>
        <row r="157">
          <cell r="C157" t="str">
            <v>HVDC Bipole System</v>
          </cell>
          <cell r="D157" t="str">
            <v>2000 MWs</v>
          </cell>
          <cell r="E157">
            <v>19</v>
          </cell>
          <cell r="H157">
            <v>2122</v>
          </cell>
          <cell r="I157">
            <v>1173</v>
          </cell>
          <cell r="J157">
            <v>1271</v>
          </cell>
          <cell r="K157">
            <v>1378</v>
          </cell>
          <cell r="L157">
            <v>0</v>
          </cell>
          <cell r="M157">
            <v>1493</v>
          </cell>
          <cell r="N157">
            <v>1617</v>
          </cell>
          <cell r="O157">
            <v>1670.6843999999999</v>
          </cell>
          <cell r="P157">
            <v>1726.1511220799996</v>
          </cell>
          <cell r="Q157">
            <v>1783.4593393330554</v>
          </cell>
          <cell r="R157">
            <v>1842.6701893989127</v>
          </cell>
          <cell r="S157">
            <v>1903.8468396869564</v>
          </cell>
          <cell r="T157">
            <v>1967.0545547645631</v>
          </cell>
          <cell r="U157">
            <v>2032.3607659827464</v>
          </cell>
          <cell r="V157">
            <v>2099.8351434133733</v>
          </cell>
          <cell r="W157">
            <v>2169.549670174697</v>
          </cell>
          <cell r="X157">
            <v>2241.5787192244966</v>
          </cell>
          <cell r="Y157">
            <v>2315.9991327027496</v>
          </cell>
          <cell r="Z157">
            <v>2392.8903039084807</v>
          </cell>
          <cell r="AA157">
            <v>2472.3342619982423</v>
          </cell>
          <cell r="AB157">
            <v>2554.4157594965836</v>
          </cell>
          <cell r="AC157">
            <v>2639.2223627118701</v>
          </cell>
          <cell r="AD157">
            <v>2726.8445451539037</v>
          </cell>
          <cell r="AE157">
            <v>2817.3757840530129</v>
          </cell>
          <cell r="AF157">
            <v>2910.9126600835725</v>
          </cell>
          <cell r="AG157">
            <v>3007.5549603983468</v>
          </cell>
          <cell r="AH157">
            <v>3107.4057850835716</v>
          </cell>
          <cell r="AI157">
            <v>3210.5716571483458</v>
          </cell>
          <cell r="AJ157">
            <v>3317.1626361656704</v>
          </cell>
          <cell r="AK157">
            <v>3427.2924356863705</v>
          </cell>
          <cell r="AL157">
            <v>3541.0785445511578</v>
          </cell>
          <cell r="AM157">
            <v>3658.6423522302557</v>
          </cell>
          <cell r="AN157">
            <v>3780.1092783242998</v>
          </cell>
          <cell r="AO157">
            <v>3905.6089063646664</v>
          </cell>
          <cell r="AP157">
            <v>4035.275122055973</v>
          </cell>
          <cell r="AQ157">
            <v>4169.2462561082311</v>
          </cell>
          <cell r="AR157">
            <v>4307.6652318110237</v>
          </cell>
          <cell r="AS157">
            <v>4450.6797175071488</v>
          </cell>
        </row>
        <row r="161">
          <cell r="H161">
            <v>41729</v>
          </cell>
          <cell r="I161">
            <v>42094</v>
          </cell>
          <cell r="J161">
            <v>42460</v>
          </cell>
          <cell r="K161">
            <v>42825</v>
          </cell>
          <cell r="L161">
            <v>0</v>
          </cell>
          <cell r="M161">
            <v>43190</v>
          </cell>
          <cell r="N161">
            <v>43555</v>
          </cell>
          <cell r="O161">
            <v>43921</v>
          </cell>
          <cell r="P161">
            <v>44286</v>
          </cell>
          <cell r="Q161">
            <v>44651</v>
          </cell>
          <cell r="R161">
            <v>45016</v>
          </cell>
          <cell r="S161">
            <v>45382</v>
          </cell>
          <cell r="T161">
            <v>45747</v>
          </cell>
          <cell r="U161">
            <v>46112</v>
          </cell>
          <cell r="V161">
            <v>46477</v>
          </cell>
          <cell r="W161">
            <v>46843</v>
          </cell>
          <cell r="X161">
            <v>47208</v>
          </cell>
          <cell r="Y161">
            <v>47573</v>
          </cell>
          <cell r="Z161">
            <v>47938</v>
          </cell>
          <cell r="AA161">
            <v>48304</v>
          </cell>
          <cell r="AB161">
            <v>48669</v>
          </cell>
          <cell r="AC161">
            <v>49034</v>
          </cell>
          <cell r="AD161">
            <v>49399</v>
          </cell>
          <cell r="AE161">
            <v>49765</v>
          </cell>
          <cell r="AF161">
            <v>50130</v>
          </cell>
          <cell r="AG161">
            <v>50495</v>
          </cell>
          <cell r="AH161">
            <v>50860</v>
          </cell>
          <cell r="AI161">
            <v>51226</v>
          </cell>
          <cell r="AJ161">
            <v>51591</v>
          </cell>
          <cell r="AK161">
            <v>51956</v>
          </cell>
          <cell r="AL161">
            <v>52321</v>
          </cell>
          <cell r="AM161">
            <v>52687</v>
          </cell>
          <cell r="AN161">
            <v>53052</v>
          </cell>
          <cell r="AO161">
            <v>53417</v>
          </cell>
          <cell r="AP161">
            <v>53782</v>
          </cell>
          <cell r="AQ161">
            <v>54148</v>
          </cell>
          <cell r="AR161">
            <v>54513</v>
          </cell>
          <cell r="AS161">
            <v>54878</v>
          </cell>
        </row>
        <row r="162">
          <cell r="H162">
            <v>7</v>
          </cell>
          <cell r="I162">
            <v>8</v>
          </cell>
          <cell r="J162">
            <v>9</v>
          </cell>
          <cell r="K162">
            <v>10</v>
          </cell>
          <cell r="L162">
            <v>0</v>
          </cell>
          <cell r="M162">
            <v>11</v>
          </cell>
          <cell r="N162">
            <v>12</v>
          </cell>
          <cell r="O162">
            <v>13</v>
          </cell>
          <cell r="P162">
            <v>14</v>
          </cell>
          <cell r="Q162">
            <v>15</v>
          </cell>
          <cell r="R162">
            <v>16</v>
          </cell>
          <cell r="S162">
            <v>17</v>
          </cell>
          <cell r="T162">
            <v>18</v>
          </cell>
          <cell r="U162">
            <v>19</v>
          </cell>
          <cell r="V162">
            <v>20</v>
          </cell>
          <cell r="W162">
            <v>21</v>
          </cell>
          <cell r="X162">
            <v>22</v>
          </cell>
          <cell r="Y162">
            <v>23</v>
          </cell>
          <cell r="Z162">
            <v>24</v>
          </cell>
          <cell r="AA162">
            <v>25</v>
          </cell>
          <cell r="AB162">
            <v>26</v>
          </cell>
          <cell r="AC162">
            <v>27</v>
          </cell>
          <cell r="AD162">
            <v>28</v>
          </cell>
          <cell r="AE162">
            <v>29</v>
          </cell>
          <cell r="AF162">
            <v>30</v>
          </cell>
          <cell r="AG162">
            <v>31</v>
          </cell>
          <cell r="AH162">
            <v>32</v>
          </cell>
          <cell r="AI162">
            <v>33</v>
          </cell>
          <cell r="AJ162">
            <v>34</v>
          </cell>
          <cell r="AK162">
            <v>35</v>
          </cell>
          <cell r="AL162">
            <v>36</v>
          </cell>
          <cell r="AM162">
            <v>37</v>
          </cell>
          <cell r="AN162">
            <v>38</v>
          </cell>
          <cell r="AO162">
            <v>39</v>
          </cell>
          <cell r="AP162">
            <v>40</v>
          </cell>
          <cell r="AQ162">
            <v>41</v>
          </cell>
          <cell r="AR162">
            <v>42</v>
          </cell>
          <cell r="AS162">
            <v>43</v>
          </cell>
        </row>
        <row r="163">
          <cell r="C163" t="str">
            <v>HVDC</v>
          </cell>
          <cell r="D163">
            <v>0</v>
          </cell>
          <cell r="E163">
            <v>3</v>
          </cell>
          <cell r="H163">
            <v>1667</v>
          </cell>
          <cell r="I163">
            <v>1763</v>
          </cell>
          <cell r="J163">
            <v>1863</v>
          </cell>
          <cell r="K163">
            <v>1973.6621999999998</v>
          </cell>
          <cell r="L163">
            <v>0</v>
          </cell>
          <cell r="M163">
            <v>2090.8977346799998</v>
          </cell>
          <cell r="N163">
            <v>2215.0970601199915</v>
          </cell>
          <cell r="O163">
            <v>2346.6738254911188</v>
          </cell>
          <cell r="P163">
            <v>2486.066250725291</v>
          </cell>
          <cell r="Q163">
            <v>2633.7385860183731</v>
          </cell>
          <cell r="R163">
            <v>2790.1826580278644</v>
          </cell>
          <cell r="S163">
            <v>2955.9195079147194</v>
          </cell>
          <cell r="T163">
            <v>3131.5011266848533</v>
          </cell>
          <cell r="U163">
            <v>3317.5122936099333</v>
          </cell>
          <cell r="V163">
            <v>3514.5725238503628</v>
          </cell>
          <cell r="W163">
            <v>3723.3381317670742</v>
          </cell>
          <cell r="X163">
            <v>3944.5044167940382</v>
          </cell>
          <cell r="Y163">
            <v>4178.8079791516038</v>
          </cell>
          <cell r="Z163">
            <v>4427.0291731132083</v>
          </cell>
          <cell r="AA163">
            <v>4689.9947059961323</v>
          </cell>
          <cell r="AB163">
            <v>4968.5803915323022</v>
          </cell>
          <cell r="AC163">
            <v>5263.7140667893209</v>
          </cell>
          <cell r="AD163">
            <v>5576.3786823566061</v>
          </cell>
          <cell r="AE163">
            <v>5907.6155760885877</v>
          </cell>
          <cell r="AF163">
            <v>6258.527941308249</v>
          </cell>
          <cell r="AG163">
            <v>6630.284501021958</v>
          </cell>
          <cell r="AH163">
            <v>7024.1234003826612</v>
          </cell>
          <cell r="AI163">
            <v>7441.3563303653909</v>
          </cell>
          <cell r="AJ163">
            <v>7883.3728963890944</v>
          </cell>
          <cell r="AK163">
            <v>8351.6452464346057</v>
          </cell>
          <cell r="AL163">
            <v>8847.7329740728201</v>
          </cell>
          <cell r="AM163">
            <v>9373.2883127327441</v>
          </cell>
          <cell r="AN163">
            <v>9930.0616385090689</v>
          </cell>
          <cell r="AO163">
            <v>10519.907299836506</v>
          </cell>
          <cell r="AP163">
            <v>11144.789793446795</v>
          </cell>
          <cell r="AQ163">
            <v>11806.790307177533</v>
          </cell>
          <cell r="AR163">
            <v>12508.113651423877</v>
          </cell>
          <cell r="AS163">
            <v>13251.095602318454</v>
          </cell>
        </row>
        <row r="164">
          <cell r="C164" t="str">
            <v>765KV Line</v>
          </cell>
          <cell r="D164">
            <v>0</v>
          </cell>
          <cell r="E164">
            <v>4</v>
          </cell>
          <cell r="H164">
            <v>0.83</v>
          </cell>
          <cell r="I164">
            <v>0.88</v>
          </cell>
          <cell r="J164">
            <v>0.93</v>
          </cell>
          <cell r="K164">
            <v>0.98524199999999995</v>
          </cell>
          <cell r="L164">
            <v>0</v>
          </cell>
          <cell r="M164">
            <v>1.0437653747999998</v>
          </cell>
          <cell r="N164">
            <v>1.1057650380631197</v>
          </cell>
          <cell r="O164">
            <v>1.171447481324069</v>
          </cell>
          <cell r="P164">
            <v>1.2410314617147185</v>
          </cell>
          <cell r="Q164">
            <v>1.3147487305405725</v>
          </cell>
          <cell r="R164">
            <v>1.3928448051346825</v>
          </cell>
          <cell r="S164">
            <v>1.4755797865596825</v>
          </cell>
          <cell r="T164">
            <v>1.5632292258813274</v>
          </cell>
          <cell r="U164">
            <v>1.6560850418986781</v>
          </cell>
          <cell r="V164">
            <v>1.7544564933874593</v>
          </cell>
          <cell r="W164">
            <v>1.8586712090946742</v>
          </cell>
          <cell r="X164">
            <v>1.9690762789148977</v>
          </cell>
          <cell r="Y164">
            <v>2.0860394098824422</v>
          </cell>
          <cell r="Z164">
            <v>2.2099501508294592</v>
          </cell>
          <cell r="AA164">
            <v>2.3412211897887287</v>
          </cell>
          <cell r="AB164">
            <v>2.480289728462179</v>
          </cell>
          <cell r="AC164">
            <v>2.6276189383328323</v>
          </cell>
          <cell r="AD164">
            <v>2.7836995032698022</v>
          </cell>
          <cell r="AE164">
            <v>2.9490512537640283</v>
          </cell>
          <cell r="AF164">
            <v>3.1242248982376113</v>
          </cell>
          <cell r="AG164">
            <v>3.3098038571929251</v>
          </cell>
          <cell r="AH164">
            <v>3.5064062063101846</v>
          </cell>
          <cell r="AI164">
            <v>3.7146867349650092</v>
          </cell>
          <cell r="AJ164">
            <v>3.9353391270219302</v>
          </cell>
          <cell r="AK164">
            <v>4.1690982711670328</v>
          </cell>
          <cell r="AL164">
            <v>4.416742708474354</v>
          </cell>
          <cell r="AM164">
            <v>4.6790972253577303</v>
          </cell>
          <cell r="AN164">
            <v>4.9570356005439793</v>
          </cell>
          <cell r="AO164">
            <v>5.2514835152162913</v>
          </cell>
          <cell r="AP164">
            <v>5.5634216360201387</v>
          </cell>
          <cell r="AQ164">
            <v>5.8938888811997341</v>
          </cell>
          <cell r="AR164">
            <v>6.243985880742998</v>
          </cell>
          <cell r="AS164">
            <v>6.6148786420591312</v>
          </cell>
        </row>
        <row r="165">
          <cell r="C165" t="str">
            <v>400KV Line</v>
          </cell>
          <cell r="D165">
            <v>0</v>
          </cell>
          <cell r="E165">
            <v>5</v>
          </cell>
          <cell r="H165">
            <v>0.59</v>
          </cell>
          <cell r="I165">
            <v>0.63</v>
          </cell>
          <cell r="J165">
            <v>0.66</v>
          </cell>
          <cell r="K165">
            <v>0.69920399999999994</v>
          </cell>
          <cell r="L165">
            <v>0</v>
          </cell>
          <cell r="M165">
            <v>0.74073671759999982</v>
          </cell>
          <cell r="N165">
            <v>0.78473647862543972</v>
          </cell>
          <cell r="O165">
            <v>0.83134982545579073</v>
          </cell>
          <cell r="P165">
            <v>0.88073200508786464</v>
          </cell>
          <cell r="Q165">
            <v>0.93304748619008371</v>
          </cell>
          <cell r="R165">
            <v>0.98847050686977456</v>
          </cell>
          <cell r="S165">
            <v>1.0471856549778391</v>
          </cell>
          <cell r="T165">
            <v>1.1093884828835225</v>
          </cell>
          <cell r="U165">
            <v>1.1752861587668038</v>
          </cell>
          <cell r="V165">
            <v>1.2450981565975519</v>
          </cell>
          <cell r="W165">
            <v>1.3190569870994464</v>
          </cell>
          <cell r="X165">
            <v>1.3974089721331533</v>
          </cell>
          <cell r="Y165">
            <v>1.4804150650778625</v>
          </cell>
          <cell r="Z165">
            <v>1.5683517199434873</v>
          </cell>
          <cell r="AA165">
            <v>1.6615118121081303</v>
          </cell>
          <cell r="AB165">
            <v>1.760205613747353</v>
          </cell>
          <cell r="AC165">
            <v>1.8647618272039455</v>
          </cell>
          <cell r="AD165">
            <v>1.9755286797398597</v>
          </cell>
          <cell r="AE165">
            <v>2.0928750833164069</v>
          </cell>
          <cell r="AF165">
            <v>2.2171918632654011</v>
          </cell>
          <cell r="AG165">
            <v>2.3488930599433657</v>
          </cell>
          <cell r="AH165">
            <v>2.4884173077040015</v>
          </cell>
          <cell r="AI165">
            <v>2.6362292957816189</v>
          </cell>
          <cell r="AJ165">
            <v>2.7928213159510467</v>
          </cell>
          <cell r="AK165">
            <v>2.9587149021185386</v>
          </cell>
          <cell r="AL165">
            <v>3.1344625673043796</v>
          </cell>
          <cell r="AM165">
            <v>3.3206496438022595</v>
          </cell>
          <cell r="AN165">
            <v>3.5178962326441132</v>
          </cell>
          <cell r="AO165">
            <v>3.7268592688631732</v>
          </cell>
          <cell r="AP165">
            <v>3.9482347094336454</v>
          </cell>
          <cell r="AQ165">
            <v>4.1827598511740032</v>
          </cell>
          <cell r="AR165">
            <v>4.4312157863337385</v>
          </cell>
          <cell r="AS165">
            <v>4.694430004041962</v>
          </cell>
        </row>
        <row r="166">
          <cell r="C166" t="str">
            <v>66KV - 400KV Line</v>
          </cell>
          <cell r="D166">
            <v>0</v>
          </cell>
          <cell r="E166">
            <v>6</v>
          </cell>
          <cell r="H166">
            <v>0.24</v>
          </cell>
          <cell r="I166">
            <v>0.25</v>
          </cell>
          <cell r="J166">
            <v>0.26</v>
          </cell>
          <cell r="K166">
            <v>0.27544399999999997</v>
          </cell>
          <cell r="L166">
            <v>0</v>
          </cell>
          <cell r="M166">
            <v>0.29180537359999992</v>
          </cell>
          <cell r="N166">
            <v>0.30913861279183991</v>
          </cell>
          <cell r="O166">
            <v>0.32750144639167517</v>
          </cell>
          <cell r="P166">
            <v>0.34695503230734065</v>
          </cell>
          <cell r="Q166">
            <v>0.36756416122639662</v>
          </cell>
          <cell r="R166">
            <v>0.38939747240324457</v>
          </cell>
          <cell r="S166">
            <v>0.41252768226399728</v>
          </cell>
          <cell r="T166">
            <v>0.43703182659047868</v>
          </cell>
          <cell r="U166">
            <v>0.46299151708995306</v>
          </cell>
          <cell r="V166">
            <v>0.4904932132050962</v>
          </cell>
          <cell r="W166">
            <v>0.51962851006947886</v>
          </cell>
          <cell r="X166">
            <v>0.5504944435676058</v>
          </cell>
          <cell r="Y166">
            <v>0.58319381351552158</v>
          </cell>
          <cell r="Z166">
            <v>0.61783552603834346</v>
          </cell>
          <cell r="AA166">
            <v>0.65453495628502101</v>
          </cell>
          <cell r="AB166">
            <v>0.69341433268835118</v>
          </cell>
          <cell r="AC166">
            <v>0.73460314405003913</v>
          </cell>
          <cell r="AD166">
            <v>0.77823857080661141</v>
          </cell>
          <cell r="AE166">
            <v>0.82446594191252409</v>
          </cell>
          <cell r="AF166">
            <v>0.87343921886212794</v>
          </cell>
          <cell r="AG166">
            <v>0.92532150846253824</v>
          </cell>
          <cell r="AH166">
            <v>0.98028560606521287</v>
          </cell>
          <cell r="AI166">
            <v>1.0385145710654864</v>
          </cell>
          <cell r="AJ166">
            <v>1.1002023365867761</v>
          </cell>
          <cell r="AK166">
            <v>1.1655543553800305</v>
          </cell>
          <cell r="AL166">
            <v>1.2347882840896043</v>
          </cell>
          <cell r="AM166">
            <v>1.3081347081645267</v>
          </cell>
          <cell r="AN166">
            <v>1.3858379098294995</v>
          </cell>
          <cell r="AO166">
            <v>1.4681566816733715</v>
          </cell>
          <cell r="AP166">
            <v>1.5553651885647697</v>
          </cell>
          <cell r="AQ166">
            <v>1.6477538807655168</v>
          </cell>
          <cell r="AR166">
            <v>1.7456304612829883</v>
          </cell>
          <cell r="AS166">
            <v>1.8493209106831976</v>
          </cell>
        </row>
        <row r="167">
          <cell r="C167" t="str">
            <v>66KV- Line</v>
          </cell>
          <cell r="D167">
            <v>0</v>
          </cell>
          <cell r="E167">
            <v>7</v>
          </cell>
          <cell r="H167">
            <v>0.14000000000000001</v>
          </cell>
          <cell r="I167">
            <v>0.15</v>
          </cell>
          <cell r="J167">
            <v>0.16</v>
          </cell>
          <cell r="K167">
            <v>0.16950399999999999</v>
          </cell>
          <cell r="L167">
            <v>0</v>
          </cell>
          <cell r="M167">
            <v>0.17957253759999997</v>
          </cell>
          <cell r="N167">
            <v>0.19023914633343994</v>
          </cell>
          <cell r="O167">
            <v>0.20153935162564626</v>
          </cell>
          <cell r="P167">
            <v>0.21351078911220964</v>
          </cell>
          <cell r="Q167">
            <v>0.22619332998547487</v>
          </cell>
          <cell r="R167">
            <v>0.23962921378661206</v>
          </cell>
          <cell r="S167">
            <v>0.25386318908553679</v>
          </cell>
          <cell r="T167">
            <v>0.26894266251721766</v>
          </cell>
          <cell r="U167">
            <v>0.28491785667074038</v>
          </cell>
          <cell r="V167">
            <v>0.30184197735698232</v>
          </cell>
          <cell r="W167">
            <v>0.31977139081198702</v>
          </cell>
          <cell r="X167">
            <v>0.33876581142621903</v>
          </cell>
          <cell r="Y167">
            <v>0.35888850062493644</v>
          </cell>
          <cell r="Z167">
            <v>0.38020647756205761</v>
          </cell>
          <cell r="AA167">
            <v>0.40279074232924378</v>
          </cell>
          <cell r="AB167">
            <v>0.42671651242360081</v>
          </cell>
          <cell r="AC167">
            <v>0.45206347326156265</v>
          </cell>
          <cell r="AD167">
            <v>0.47891604357329942</v>
          </cell>
          <cell r="AE167">
            <v>0.50736365656155336</v>
          </cell>
          <cell r="AF167">
            <v>0.53750105776130952</v>
          </cell>
          <cell r="AG167">
            <v>0.56942862059233124</v>
          </cell>
          <cell r="AH167">
            <v>0.60325268065551563</v>
          </cell>
          <cell r="AI167">
            <v>0.63908588988645321</v>
          </cell>
          <cell r="AJ167">
            <v>0.6770475917457085</v>
          </cell>
          <cell r="AK167">
            <v>0.71726421869540347</v>
          </cell>
          <cell r="AL167">
            <v>0.75986971328591035</v>
          </cell>
          <cell r="AM167">
            <v>0.80500597425509335</v>
          </cell>
          <cell r="AN167">
            <v>0.8528233291258458</v>
          </cell>
          <cell r="AO167">
            <v>0.90348103487592091</v>
          </cell>
          <cell r="AP167">
            <v>0.95714780834755053</v>
          </cell>
          <cell r="AQ167">
            <v>1.0140023881633948</v>
          </cell>
          <cell r="AR167">
            <v>1.0742341300203004</v>
          </cell>
          <cell r="AS167">
            <v>1.1380436373435061</v>
          </cell>
        </row>
        <row r="168">
          <cell r="C168" t="str">
            <v>765KV (SS)</v>
          </cell>
          <cell r="D168">
            <v>0</v>
          </cell>
          <cell r="E168">
            <v>8</v>
          </cell>
          <cell r="H168">
            <v>146.68</v>
          </cell>
          <cell r="I168">
            <v>155.07</v>
          </cell>
          <cell r="J168">
            <v>163.94</v>
          </cell>
          <cell r="K168">
            <v>173.67803599999999</v>
          </cell>
          <cell r="L168">
            <v>0</v>
          </cell>
          <cell r="M168">
            <v>183.99451133839997</v>
          </cell>
          <cell r="N168">
            <v>194.9237853119009</v>
          </cell>
          <cell r="O168">
            <v>206.50225815942778</v>
          </cell>
          <cell r="P168">
            <v>218.76849229409777</v>
          </cell>
          <cell r="Q168">
            <v>231.76334073636716</v>
          </cell>
          <cell r="R168">
            <v>245.53008317610735</v>
          </cell>
          <cell r="S168">
            <v>260.11457011676811</v>
          </cell>
          <cell r="T168">
            <v>275.56537558170413</v>
          </cell>
          <cell r="U168">
            <v>291.9339588912573</v>
          </cell>
          <cell r="V168">
            <v>309.27483604939795</v>
          </cell>
          <cell r="W168">
            <v>327.64576131073215</v>
          </cell>
          <cell r="X168">
            <v>347.10791953258962</v>
          </cell>
          <cell r="Y168">
            <v>367.72612995282543</v>
          </cell>
          <cell r="Z168">
            <v>389.5690620720232</v>
          </cell>
          <cell r="AA168">
            <v>412.70946435910133</v>
          </cell>
          <cell r="AB168">
            <v>437.22440654203189</v>
          </cell>
          <cell r="AC168">
            <v>463.19553629062852</v>
          </cell>
          <cell r="AD168">
            <v>490.70935114629179</v>
          </cell>
          <cell r="AE168">
            <v>519.85748660438151</v>
          </cell>
          <cell r="AF168">
            <v>550.73702130868173</v>
          </cell>
          <cell r="AG168">
            <v>583.45080037441733</v>
          </cell>
          <cell r="AH168">
            <v>618.10777791665771</v>
          </cell>
          <cell r="AI168">
            <v>654.82337992490716</v>
          </cell>
          <cell r="AJ168">
            <v>693.7198886924466</v>
          </cell>
          <cell r="AK168">
            <v>734.92685008077785</v>
          </cell>
          <cell r="AL168">
            <v>778.58150497557597</v>
          </cell>
          <cell r="AM168">
            <v>824.82924637112512</v>
          </cell>
          <cell r="AN168">
            <v>873.82410360556992</v>
          </cell>
          <cell r="AO168">
            <v>925.7292553597407</v>
          </cell>
          <cell r="AP168">
            <v>980.71757312810917</v>
          </cell>
          <cell r="AQ168">
            <v>1038.9721969719187</v>
          </cell>
          <cell r="AR168">
            <v>1100.6871454720506</v>
          </cell>
          <cell r="AS168">
            <v>1166.0679619130904</v>
          </cell>
        </row>
        <row r="169">
          <cell r="C169" t="str">
            <v>400KV (SS)</v>
          </cell>
          <cell r="D169">
            <v>0</v>
          </cell>
          <cell r="E169">
            <v>9</v>
          </cell>
          <cell r="H169">
            <v>104.78</v>
          </cell>
          <cell r="I169">
            <v>110.78</v>
          </cell>
          <cell r="J169">
            <v>117.11</v>
          </cell>
          <cell r="K169">
            <v>124.06633399999998</v>
          </cell>
          <cell r="L169">
            <v>0</v>
          </cell>
          <cell r="M169">
            <v>131.43587423959997</v>
          </cell>
          <cell r="N169">
            <v>139.24316516943219</v>
          </cell>
          <cell r="O169">
            <v>147.51420918049644</v>
          </cell>
          <cell r="P169">
            <v>156.27655320581792</v>
          </cell>
          <cell r="Q169">
            <v>165.55938046624348</v>
          </cell>
          <cell r="R169">
            <v>175.39360766593833</v>
          </cell>
          <cell r="S169">
            <v>185.81198796129505</v>
          </cell>
          <cell r="T169">
            <v>196.84922004619594</v>
          </cell>
          <cell r="U169">
            <v>208.54206371693996</v>
          </cell>
          <cell r="V169">
            <v>220.92946230172618</v>
          </cell>
          <cell r="W169">
            <v>234.05267236244867</v>
          </cell>
          <cell r="X169">
            <v>247.95540110077809</v>
          </cell>
          <cell r="Y169">
            <v>262.6839519261643</v>
          </cell>
          <cell r="Z169">
            <v>278.28737867057845</v>
          </cell>
          <cell r="AA169">
            <v>294.81764896361079</v>
          </cell>
          <cell r="AB169">
            <v>312.32981731204927</v>
          </cell>
          <cell r="AC169">
            <v>330.88220846038496</v>
          </cell>
          <cell r="AD169">
            <v>350.5366116429318</v>
          </cell>
          <cell r="AE169">
            <v>371.35848637452193</v>
          </cell>
          <cell r="AF169">
            <v>393.41718046516849</v>
          </cell>
          <cell r="AG169">
            <v>416.78616098479944</v>
          </cell>
          <cell r="AH169">
            <v>441.54325894729647</v>
          </cell>
          <cell r="AI169">
            <v>467.77092852876581</v>
          </cell>
          <cell r="AJ169">
            <v>495.55652168337446</v>
          </cell>
          <cell r="AK169">
            <v>524.99257907136689</v>
          </cell>
          <cell r="AL169">
            <v>556.17713826820602</v>
          </cell>
          <cell r="AM169">
            <v>589.21406028133742</v>
          </cell>
          <cell r="AN169">
            <v>624.21337546204882</v>
          </cell>
          <cell r="AO169">
            <v>661.29164996449447</v>
          </cell>
          <cell r="AP169">
            <v>700.57237397238532</v>
          </cell>
          <cell r="AQ169">
            <v>742.18637298634496</v>
          </cell>
          <cell r="AR169">
            <v>786.27224354173381</v>
          </cell>
          <cell r="AS169">
            <v>832.97681480811275</v>
          </cell>
        </row>
        <row r="170">
          <cell r="C170" t="str">
            <v>66KV - 400KV (SS)</v>
          </cell>
          <cell r="D170">
            <v>0</v>
          </cell>
          <cell r="E170">
            <v>10</v>
          </cell>
          <cell r="H170">
            <v>15.19</v>
          </cell>
          <cell r="I170">
            <v>16.059999999999999</v>
          </cell>
          <cell r="J170">
            <v>16.97</v>
          </cell>
          <cell r="K170">
            <v>17.978017999999999</v>
          </cell>
          <cell r="L170">
            <v>0</v>
          </cell>
          <cell r="M170">
            <v>19.045912269199995</v>
          </cell>
          <cell r="N170">
            <v>20.177239457990474</v>
          </cell>
          <cell r="O170">
            <v>21.375767481795105</v>
          </cell>
          <cell r="P170">
            <v>22.64548807021373</v>
          </cell>
          <cell r="Q170">
            <v>23.990630061584422</v>
          </cell>
          <cell r="R170">
            <v>25.415673487242536</v>
          </cell>
          <cell r="S170">
            <v>26.925364492384741</v>
          </cell>
          <cell r="T170">
            <v>28.52473114323239</v>
          </cell>
          <cell r="U170">
            <v>30.21910017314039</v>
          </cell>
          <cell r="V170">
            <v>32.014114723424925</v>
          </cell>
          <cell r="W170">
            <v>33.915753137996361</v>
          </cell>
          <cell r="X170">
            <v>35.930348874393339</v>
          </cell>
          <cell r="Y170">
            <v>38.064611597532299</v>
          </cell>
          <cell r="Z170">
            <v>40.325649526425714</v>
          </cell>
          <cell r="AA170">
            <v>42.720993108295396</v>
          </cell>
          <cell r="AB170">
            <v>45.258620098928141</v>
          </cell>
          <cell r="AC170">
            <v>47.946982132804465</v>
          </cell>
          <cell r="AD170">
            <v>50.795032871493042</v>
          </cell>
          <cell r="AE170">
            <v>53.812257824059721</v>
          </cell>
          <cell r="AF170">
            <v>57.008705938808859</v>
          </cell>
          <cell r="AG170">
            <v>60.395023071574101</v>
          </cell>
          <cell r="AH170">
            <v>63.982487442025594</v>
          </cell>
          <cell r="AI170">
            <v>67.78304719608191</v>
          </cell>
          <cell r="AJ170">
            <v>71.809360199529166</v>
          </cell>
          <cell r="AK170">
            <v>76.074836195381195</v>
          </cell>
          <cell r="AL170">
            <v>80.593681465386837</v>
          </cell>
          <cell r="AM170">
            <v>85.380946144430808</v>
          </cell>
          <cell r="AN170">
            <v>90.452574345409985</v>
          </cell>
          <cell r="AO170">
            <v>95.825457261527333</v>
          </cell>
          <cell r="AP170">
            <v>101.51748942286204</v>
          </cell>
          <cell r="AQ170">
            <v>107.54762829458004</v>
          </cell>
          <cell r="AR170">
            <v>113.93595741527808</v>
          </cell>
          <cell r="AS170">
            <v>120.70375328574559</v>
          </cell>
        </row>
        <row r="171">
          <cell r="C171" t="str">
            <v>66KV- (SS)</v>
          </cell>
          <cell r="D171">
            <v>0</v>
          </cell>
          <cell r="E171">
            <v>11</v>
          </cell>
          <cell r="H171">
            <v>3.17</v>
          </cell>
          <cell r="I171">
            <v>3.36</v>
          </cell>
          <cell r="J171">
            <v>3.55</v>
          </cell>
          <cell r="K171">
            <v>3.7608699999999993</v>
          </cell>
          <cell r="L171">
            <v>0</v>
          </cell>
          <cell r="M171">
            <v>3.984265677999999</v>
          </cell>
          <cell r="N171">
            <v>4.2209310592731981</v>
          </cell>
          <cell r="O171">
            <v>4.4716543641940261</v>
          </cell>
          <cell r="P171">
            <v>4.7372706334271504</v>
          </cell>
          <cell r="Q171">
            <v>5.0186645090527229</v>
          </cell>
          <cell r="R171">
            <v>5.3167731808904541</v>
          </cell>
          <cell r="S171">
            <v>5.6325895078353465</v>
          </cell>
          <cell r="T171">
            <v>5.9671653246007654</v>
          </cell>
          <cell r="U171">
            <v>6.3216149448820502</v>
          </cell>
          <cell r="V171">
            <v>6.6971188726080433</v>
          </cell>
          <cell r="W171">
            <v>7.0949277336409606</v>
          </cell>
          <cell r="X171">
            <v>7.5163664410192332</v>
          </cell>
          <cell r="Y171">
            <v>7.9628386076157751</v>
          </cell>
          <cell r="Z171">
            <v>8.4358312209081507</v>
          </cell>
          <cell r="AA171">
            <v>8.9369195954300942</v>
          </cell>
          <cell r="AB171">
            <v>9.4677726193986409</v>
          </cell>
          <cell r="AC171">
            <v>10.030158312990919</v>
          </cell>
          <cell r="AD171">
            <v>10.625949716782578</v>
          </cell>
          <cell r="AE171">
            <v>11.257131129959463</v>
          </cell>
          <cell r="AF171">
            <v>11.925804719079053</v>
          </cell>
          <cell r="AG171">
            <v>12.634197519392348</v>
          </cell>
          <cell r="AH171">
            <v>13.384668852044252</v>
          </cell>
          <cell r="AI171">
            <v>14.179718181855678</v>
          </cell>
          <cell r="AJ171">
            <v>15.021993441857903</v>
          </cell>
          <cell r="AK171">
            <v>15.914299852304261</v>
          </cell>
          <cell r="AL171">
            <v>16.859609263531134</v>
          </cell>
          <cell r="AM171">
            <v>17.861070053784882</v>
          </cell>
          <cell r="AN171">
            <v>18.922017614979701</v>
          </cell>
          <cell r="AO171">
            <v>20.045985461309492</v>
          </cell>
          <cell r="AP171">
            <v>21.236716997711273</v>
          </cell>
          <cell r="AQ171">
            <v>22.498177987375321</v>
          </cell>
          <cell r="AR171">
            <v>23.834569759825413</v>
          </cell>
          <cell r="AS171">
            <v>25.250343203559041</v>
          </cell>
        </row>
        <row r="218">
          <cell r="C218" t="str">
            <v>Yes</v>
          </cell>
          <cell r="D218" t="str">
            <v>Yes</v>
          </cell>
          <cell r="E218" t="str">
            <v>Yes</v>
          </cell>
          <cell r="F218" t="str">
            <v>Yes</v>
          </cell>
        </row>
        <row r="219">
          <cell r="E219">
            <v>1</v>
          </cell>
          <cell r="F219">
            <v>0.9</v>
          </cell>
          <cell r="G219">
            <v>40</v>
          </cell>
        </row>
        <row r="220">
          <cell r="E220">
            <v>1</v>
          </cell>
          <cell r="G220">
            <v>40</v>
          </cell>
        </row>
        <row r="251">
          <cell r="C251" t="str">
            <v>No</v>
          </cell>
        </row>
        <row r="318">
          <cell r="D318" t="str">
            <v>No</v>
          </cell>
        </row>
        <row r="357">
          <cell r="C357">
            <v>1</v>
          </cell>
          <cell r="G357" t="str">
            <v>No</v>
          </cell>
        </row>
        <row r="358">
          <cell r="C358">
            <v>1</v>
          </cell>
          <cell r="G358" t="str">
            <v>No</v>
          </cell>
        </row>
        <row r="359">
          <cell r="C359">
            <v>1</v>
          </cell>
          <cell r="G359" t="str">
            <v>No</v>
          </cell>
        </row>
        <row r="360">
          <cell r="C360">
            <v>1</v>
          </cell>
          <cell r="G360" t="str">
            <v>No</v>
          </cell>
        </row>
        <row r="361">
          <cell r="C361">
            <v>0.74</v>
          </cell>
          <cell r="G361" t="str">
            <v>No</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
          <cell r="K7">
            <v>1968.7688214663315</v>
          </cell>
        </row>
      </sheetData>
      <sheetData sheetId="19"/>
      <sheetData sheetId="20">
        <row r="4">
          <cell r="B4">
            <v>135.34</v>
          </cell>
        </row>
      </sheetData>
      <sheetData sheetId="21">
        <row r="7">
          <cell r="N7">
            <v>2090.9565884739372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Ver 1"/>
      <sheetName val="Ver 2"/>
      <sheetName val="Margin Model"/>
      <sheetName val="Category Break up"/>
    </sheetNames>
    <sheetDataSet>
      <sheetData sheetId="0"/>
      <sheetData sheetId="1" refreshError="1"/>
      <sheetData sheetId="2"/>
      <sheetData sheetId="3" refreshError="1"/>
      <sheetData sheetId="4" refreshError="1"/>
      <sheetData sheetId="5"/>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apitalization"/>
      <sheetName val="Sensitivity Analysis"/>
      <sheetName val="OpStmt"/>
      <sheetName val="OpStmt (Q)"/>
      <sheetName val="Return"/>
      <sheetName val="Return (Q)"/>
      <sheetName val="Partner Promote"/>
      <sheetName val="A-General"/>
      <sheetName val="A-Global"/>
      <sheetName val="Property NOI"/>
      <sheetName val="A-Property"/>
      <sheetName val="A-Property Expense"/>
      <sheetName val="Module1"/>
      <sheetName val="A-Rentroll"/>
      <sheetName val="A-Min Vacancy"/>
      <sheetName val="A-Disposition &amp; Purchase"/>
      <sheetName val="Market Rent"/>
      <sheetName val="Revenue"/>
      <sheetName val="Rent"/>
      <sheetName val="Occupancy"/>
      <sheetName val="Lease Status"/>
      <sheetName val="PrintManagerCode"/>
      <sheetName val="A-Debt"/>
      <sheetName val="Debt"/>
      <sheetName val="A-Tax"/>
      <sheetName val="Tax"/>
      <sheetName val="Definition"/>
      <sheetName val="Fund &amp; Investor Summary"/>
      <sheetName val="Investment Summary"/>
      <sheetName val="Class A"/>
      <sheetName val="Class B"/>
      <sheetName val="A_Property"/>
    </sheetNames>
    <sheetDataSet>
      <sheetData sheetId="0" refreshError="1"/>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Pixyl"/>
      <sheetName val="List_ratios"/>
      <sheetName val="Graphs - Local"/>
      <sheetName val="Graphs - Foreign"/>
      <sheetName val="EVA (1)"/>
      <sheetName val="W (1)"/>
      <sheetName val="Results (1)"/>
      <sheetName val="EVA (2)"/>
      <sheetName val="W (2)"/>
      <sheetName val="Results (2)"/>
      <sheetName val="Cedargro"/>
      <sheetName val="Stell Farm"/>
      <sheetName val="Distillers"/>
      <sheetName val="Busby"/>
      <sheetName val="Schweppes"/>
      <sheetName val="AVI"/>
      <sheetName val="Starbuck"/>
      <sheetName val="Green Mountain"/>
      <sheetName val="Illy"/>
      <sheetName val="Douwe Egberts- Saralee"/>
      <sheetName val="Nestle"/>
      <sheetName val="Foschini"/>
      <sheetName val="LA Retail"/>
      <sheetName val="EVA Calculations"/>
      <sheetName val="Headcount"/>
      <sheetName val="Control"/>
      <sheetName val="Lead"/>
      <sheetName val="Links"/>
      <sheetName val="MF Request-GW"/>
      <sheetName val="Print Menu"/>
      <sheetName val="Forecast-Input"/>
      <sheetName val="Valuation"/>
      <sheetName val="wwww"/>
      <sheetName val="Assume"/>
      <sheetName val="Capital"/>
      <sheetName val="Validation"/>
      <sheetName val="SPS DETAIL"/>
      <sheetName val="Graphs_-_Local"/>
      <sheetName val="Graphs_-_Foreign"/>
      <sheetName val="EVA_(1)"/>
      <sheetName val="W_(1)"/>
      <sheetName val="Results_(1)"/>
      <sheetName val="EVA_(2)"/>
      <sheetName val="W_(2)"/>
      <sheetName val="Results_(2)"/>
      <sheetName val="Stell_Farm"/>
      <sheetName val="Green_Mountain"/>
      <sheetName val="Douwe_Egberts-_Saralee"/>
      <sheetName val="LA_Retail"/>
      <sheetName val="EVA_Calculations"/>
      <sheetName val="MF_Request-GW"/>
      <sheetName val="Print_Menu"/>
      <sheetName val="SPS_DETAIL"/>
      <sheetName val="Sheet1"/>
      <sheetName val="oresreqsum"/>
      <sheetName val="Peer Ratios &amp; Graphs"/>
      <sheetName val="Usage - ROM"/>
      <sheetName val="Tariff ROM and Mum"/>
      <sheetName val="Schdl 1 to8"/>
      <sheetName val="Assmpns"/>
      <sheetName val="Graphs_-_Local1"/>
      <sheetName val="Graphs_-_Foreign1"/>
      <sheetName val="EVA_(1)1"/>
      <sheetName val="W_(1)1"/>
      <sheetName val="Results_(1)1"/>
      <sheetName val="EVA_(2)1"/>
      <sheetName val="W_(2)1"/>
      <sheetName val="Results_(2)1"/>
      <sheetName val="Stell_Farm1"/>
      <sheetName val="Green_Mountain1"/>
      <sheetName val="Douwe_Egberts-_Saralee1"/>
      <sheetName val="LA_Retail1"/>
      <sheetName val="EVA_Calculations1"/>
      <sheetName val="MF_Request-GW1"/>
      <sheetName val="Print_Menu1"/>
      <sheetName val="SPS_DETAIL1"/>
      <sheetName val="Usage_-_ROM"/>
      <sheetName val="Tariff_ROM_and_Mum"/>
      <sheetName val="Peer_Ratios_&amp;_Graphs"/>
      <sheetName val="Schdl_1_to8"/>
      <sheetName val="aprmay"/>
      <sheetName val="JANMAR01"/>
      <sheetName val="SAL12 (2)ANDSUM"/>
      <sheetName val="405"/>
      <sheetName val="427"/>
      <sheetName val="403"/>
      <sheetName val="PNB40"/>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07FINAL"/>
      <sheetName val="WT0309"/>
      <sheetName val="WT0308"/>
      <sheetName val="Dec07 IT"/>
      <sheetName val="Sheet1"/>
      <sheetName val="summary"/>
      <sheetName val="combnd0708(IT)"/>
      <sheetName val="combnd 07-08"/>
      <sheetName val="combnd 08 09"/>
      <sheetName val="HNG mar09ACC"/>
      <sheetName val="HNGmar08Acc"/>
      <sheetName val="hngmar08IT"/>
      <sheetName val="ace"/>
      <sheetName val="hng"/>
      <sheetName val="SEP08IT(REVISED)"/>
      <sheetName val="DEC08IT"/>
      <sheetName val="SEP08IT"/>
      <sheetName val="Budgeted"/>
      <sheetName val="Likely"/>
      <sheetName val="hngmar09"/>
      <sheetName val="hngdec08"/>
      <sheetName val="hngsep08"/>
      <sheetName val="jun08adv"/>
      <sheetName val="Jun08IT"/>
      <sheetName val="sept07 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ARY-UPLOAD"/>
      <sheetName val="SALARY-DETAILS"/>
      <sheetName val="ALL-IBANK-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営業収益"/>
    </sheetNames>
    <sheetDataSet>
      <sheetData sheetId="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ARY-UPLOAD"/>
      <sheetName val="SALARY-DETAILS"/>
      <sheetName val="ALL-IBANK-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ARY-UPLOAD"/>
      <sheetName val="SALARY-DETAILS"/>
      <sheetName val="ALL-IBANK-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ARY-UPLOAD"/>
      <sheetName val="SALARY-DETAILS"/>
      <sheetName val="ALL-IBANK-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ァイル操作方法"/>
      <sheetName val="GW"/>
      <sheetName val="Entryの引継ぎ"/>
      <sheetName val="EQ国内"/>
      <sheetName val="国内work"/>
      <sheetName val="為替"/>
      <sheetName val="EQ海外"/>
      <sheetName val="海外WORK"/>
      <sheetName val="AFFI内訳"/>
      <sheetName val="持分法"/>
      <sheetName val="外貨AFFI"/>
      <sheetName val="Stockton"/>
      <sheetName val="剰余金一覧"/>
      <sheetName val="損益対前年同月比"/>
      <sheetName val="損益対前月比較"/>
      <sheetName val="残高内訳NI"/>
      <sheetName val="増減内訳NI"/>
      <sheetName val="残高内訳 (地域別)NI"/>
      <sheetName val="Schoolnet"/>
      <sheetName val="未分配利益"/>
      <sheetName val="残高内訳 (地域別) 提出版"/>
      <sheetName val="INVESTSMART"/>
      <sheetName val="BL売却"/>
      <sheetName val="ニチメン売却 "/>
      <sheetName val="日立造船売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C3" t="str">
            <v>Portalplayer (India) Private Limited</v>
          </cell>
        </row>
        <row r="4">
          <cell r="C4" t="str">
            <v>Plot No:249, Prashasan Nagar,Road No:72, Jubilee Hills,Hyderabad-500 034.</v>
          </cell>
        </row>
        <row r="7">
          <cell r="C7" t="str">
            <v>Private Limited Company</v>
          </cell>
        </row>
        <row r="11">
          <cell r="C11" t="str">
            <v>AABCP7418F</v>
          </cell>
        </row>
        <row r="16">
          <cell r="C16" t="str">
            <v>Partner</v>
          </cell>
        </row>
        <row r="19">
          <cell r="C19" t="str">
            <v>Deloitte Haskins &amp; Sells</v>
          </cell>
        </row>
        <row r="20">
          <cell r="C20" t="str">
            <v>P.R. Ramesh</v>
          </cell>
        </row>
        <row r="23">
          <cell r="C23" t="str">
            <v>M.No: 70928</v>
          </cell>
        </row>
        <row r="24">
          <cell r="C24" t="str">
            <v>Chartered Accountants,7th Floor, Amrutha Estates,Lingapur House,Himayathnagar,Hyderabad-500 029.</v>
          </cell>
        </row>
        <row r="28">
          <cell r="C28" t="str">
            <v>31-03-2006</v>
          </cell>
        </row>
        <row r="34">
          <cell r="C34" t="str">
            <v>2006-07</v>
          </cell>
        </row>
        <row r="40">
          <cell r="C40" t="str">
            <v>August 5, 2006</v>
          </cell>
        </row>
        <row r="43">
          <cell r="C43" t="str">
            <v>Hyderabad</v>
          </cell>
        </row>
        <row r="45">
          <cell r="C45" t="str">
            <v>Software Development</v>
          </cell>
        </row>
        <row r="46">
          <cell r="C46" t="str">
            <v>Mercantile</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Sens"/>
      <sheetName val="HNGIL Standalone-&gt;&gt;"/>
      <sheetName val="Key Numbers at a Glance"/>
      <sheetName val="Assum"/>
      <sheetName val="P&amp;L"/>
      <sheetName val="BS"/>
      <sheetName val="CFS"/>
      <sheetName val="Sales - Cons"/>
      <sheetName val="Production"/>
      <sheetName val="Rishra"/>
      <sheetName val="Bahadurgarh"/>
      <sheetName val="Neemrana"/>
      <sheetName val="Rishikesh"/>
      <sheetName val="Pondicherry"/>
      <sheetName val="Nashik"/>
      <sheetName val="AP"/>
      <sheetName val="West_Furnace"/>
      <sheetName val="North_Furnace"/>
      <sheetName val="Admin &amp; Marketing"/>
      <sheetName val="Dep (2)"/>
      <sheetName val="Dep"/>
      <sheetName val="WCap"/>
      <sheetName val="Debt"/>
      <sheetName val="Investments"/>
      <sheetName val="Tax"/>
      <sheetName val="Tax Dep"/>
      <sheetName val="HNGFL Standalone-&gt;&gt;"/>
      <sheetName val="Assum - HNGFL"/>
      <sheetName val="P&amp;L - HNGFL"/>
      <sheetName val="BS - HNGFL"/>
      <sheetName val="CFS - HNGFL"/>
      <sheetName val="WCap - HNGFL"/>
      <sheetName val="Tax - HNGFL"/>
      <sheetName val="Float Glass"/>
      <sheetName val="Processed Glass"/>
      <sheetName val="Dep - HNGFL"/>
      <sheetName val="Tax Dep - HNGFL"/>
      <sheetName val="Debt - HNGFL"/>
      <sheetName val="Debt Schedule - HNGFL"/>
      <sheetName val="Sheet1"/>
    </sheetNames>
    <sheetDataSet>
      <sheetData sheetId="0" refreshError="1"/>
      <sheetData sheetId="1" refreshError="1">
        <row r="10">
          <cell r="C10" t="str">
            <v>Beer</v>
          </cell>
          <cell r="D10" t="str">
            <v>%</v>
          </cell>
          <cell r="I10">
            <v>6.4999999999999947E-2</v>
          </cell>
          <cell r="J10">
            <v>6.4999999999999947E-2</v>
          </cell>
          <cell r="K10">
            <v>6.4999999999999947E-2</v>
          </cell>
          <cell r="L10">
            <v>6.4999999999999947E-2</v>
          </cell>
          <cell r="M10">
            <v>6.4999999999999947E-2</v>
          </cell>
          <cell r="N10">
            <v>6.4999999999999947E-2</v>
          </cell>
          <cell r="O10">
            <v>6.4999999999999947E-2</v>
          </cell>
        </row>
        <row r="11">
          <cell r="C11" t="str">
            <v>Food &amp; Dairy</v>
          </cell>
          <cell r="D11" t="str">
            <v>%</v>
          </cell>
          <cell r="I11">
            <v>6.4999999999999947E-2</v>
          </cell>
          <cell r="J11">
            <v>6.4999999999999947E-2</v>
          </cell>
          <cell r="K11">
            <v>6.4999999999999947E-2</v>
          </cell>
          <cell r="L11">
            <v>6.4999999999999947E-2</v>
          </cell>
          <cell r="M11">
            <v>6.4999999999999947E-2</v>
          </cell>
          <cell r="N11">
            <v>6.4999999999999947E-2</v>
          </cell>
          <cell r="O11">
            <v>6.4999999999999947E-2</v>
          </cell>
        </row>
        <row r="12">
          <cell r="C12" t="str">
            <v xml:space="preserve">Household </v>
          </cell>
          <cell r="D12" t="str">
            <v>%</v>
          </cell>
          <cell r="I12">
            <v>0.05</v>
          </cell>
          <cell r="J12">
            <v>0.05</v>
          </cell>
          <cell r="K12">
            <v>0.05</v>
          </cell>
          <cell r="L12">
            <v>0.05</v>
          </cell>
          <cell r="M12">
            <v>0.05</v>
          </cell>
          <cell r="N12">
            <v>0.05</v>
          </cell>
          <cell r="O12">
            <v>0.05</v>
          </cell>
        </row>
        <row r="13">
          <cell r="C13" t="str">
            <v>Liquor</v>
          </cell>
          <cell r="D13" t="str">
            <v>%</v>
          </cell>
          <cell r="I13">
            <v>6.4999999999999947E-2</v>
          </cell>
          <cell r="J13">
            <v>6.4999999999999947E-2</v>
          </cell>
          <cell r="K13">
            <v>6.4999999999999947E-2</v>
          </cell>
          <cell r="L13">
            <v>6.4999999999999947E-2</v>
          </cell>
          <cell r="M13">
            <v>6.4999999999999947E-2</v>
          </cell>
          <cell r="N13">
            <v>6.4999999999999947E-2</v>
          </cell>
          <cell r="O13">
            <v>6.4999999999999947E-2</v>
          </cell>
        </row>
        <row r="14">
          <cell r="C14" t="str">
            <v>Pharmaceuticals</v>
          </cell>
          <cell r="D14" t="str">
            <v>%</v>
          </cell>
          <cell r="I14">
            <v>0.03</v>
          </cell>
          <cell r="J14">
            <v>0.03</v>
          </cell>
          <cell r="K14">
            <v>0.03</v>
          </cell>
          <cell r="L14">
            <v>0.03</v>
          </cell>
          <cell r="M14">
            <v>0.03</v>
          </cell>
          <cell r="N14">
            <v>0.03</v>
          </cell>
          <cell r="O14">
            <v>0.03</v>
          </cell>
        </row>
        <row r="15">
          <cell r="C15" t="str">
            <v>Soft Drinks</v>
          </cell>
          <cell r="D15" t="str">
            <v>%</v>
          </cell>
          <cell r="I15">
            <v>6.4999999999999947E-2</v>
          </cell>
          <cell r="J15">
            <v>6.4999999999999947E-2</v>
          </cell>
          <cell r="K15">
            <v>6.4999999999999947E-2</v>
          </cell>
          <cell r="L15">
            <v>6.4999999999999947E-2</v>
          </cell>
          <cell r="M15">
            <v>6.4999999999999947E-2</v>
          </cell>
          <cell r="N15">
            <v>6.4999999999999947E-2</v>
          </cell>
          <cell r="O15">
            <v>6.4999999999999947E-2</v>
          </cell>
        </row>
        <row r="16">
          <cell r="C16" t="str">
            <v>Toiletries</v>
          </cell>
          <cell r="D16" t="str">
            <v>%</v>
          </cell>
          <cell r="I16">
            <v>0.05</v>
          </cell>
          <cell r="J16">
            <v>0.05</v>
          </cell>
          <cell r="K16">
            <v>0.05</v>
          </cell>
          <cell r="L16">
            <v>0.05</v>
          </cell>
          <cell r="M16">
            <v>0.05</v>
          </cell>
          <cell r="N16">
            <v>0.05</v>
          </cell>
          <cell r="O16">
            <v>0.05</v>
          </cell>
        </row>
        <row r="17">
          <cell r="C17" t="str">
            <v>Vials</v>
          </cell>
          <cell r="D17" t="str">
            <v>%</v>
          </cell>
          <cell r="I17">
            <v>0.03</v>
          </cell>
          <cell r="J17">
            <v>0.03</v>
          </cell>
          <cell r="K17">
            <v>0.03</v>
          </cell>
          <cell r="L17">
            <v>0.03</v>
          </cell>
          <cell r="M17">
            <v>0.03</v>
          </cell>
          <cell r="N17">
            <v>0.03</v>
          </cell>
          <cell r="O17">
            <v>0.03</v>
          </cell>
        </row>
        <row r="18">
          <cell r="C18" t="str">
            <v>Tumblers</v>
          </cell>
          <cell r="D18" t="str">
            <v>%</v>
          </cell>
          <cell r="I18">
            <v>0.04</v>
          </cell>
          <cell r="J18">
            <v>0.04</v>
          </cell>
          <cell r="K18">
            <v>0.04</v>
          </cell>
          <cell r="L18">
            <v>0.04</v>
          </cell>
          <cell r="M18">
            <v>0.04</v>
          </cell>
          <cell r="N18">
            <v>0.04</v>
          </cell>
          <cell r="O18">
            <v>0.04</v>
          </cell>
        </row>
        <row r="21">
          <cell r="C21" t="str">
            <v>Silica Sand</v>
          </cell>
          <cell r="D21" t="str">
            <v>%</v>
          </cell>
          <cell r="I21">
            <v>0.06</v>
          </cell>
          <cell r="J21">
            <v>0.06</v>
          </cell>
          <cell r="K21">
            <v>0.06</v>
          </cell>
          <cell r="L21">
            <v>0.06</v>
          </cell>
          <cell r="M21">
            <v>0.06</v>
          </cell>
          <cell r="N21">
            <v>0.06</v>
          </cell>
          <cell r="O21">
            <v>0.06</v>
          </cell>
        </row>
        <row r="22">
          <cell r="C22" t="str">
            <v>Soda Ash</v>
          </cell>
          <cell r="D22" t="str">
            <v>%</v>
          </cell>
          <cell r="I22">
            <v>0.06</v>
          </cell>
          <cell r="J22">
            <v>0.06</v>
          </cell>
          <cell r="K22">
            <v>0.06</v>
          </cell>
          <cell r="L22">
            <v>0.06</v>
          </cell>
          <cell r="M22">
            <v>0.06</v>
          </cell>
          <cell r="N22">
            <v>0.06</v>
          </cell>
          <cell r="O22">
            <v>0.06</v>
          </cell>
        </row>
        <row r="23">
          <cell r="C23" t="str">
            <v>Cullet</v>
          </cell>
          <cell r="D23" t="str">
            <v>%</v>
          </cell>
          <cell r="I23">
            <v>0.06</v>
          </cell>
          <cell r="J23">
            <v>0.06</v>
          </cell>
          <cell r="K23">
            <v>0.06</v>
          </cell>
          <cell r="L23">
            <v>0.06</v>
          </cell>
          <cell r="M23">
            <v>0.06</v>
          </cell>
          <cell r="N23">
            <v>0.06</v>
          </cell>
          <cell r="O23">
            <v>0.06</v>
          </cell>
        </row>
        <row r="24">
          <cell r="C24" t="str">
            <v>Others</v>
          </cell>
          <cell r="D24" t="str">
            <v>%</v>
          </cell>
          <cell r="I24">
            <v>0.06</v>
          </cell>
          <cell r="J24">
            <v>0.06</v>
          </cell>
          <cell r="K24">
            <v>0.06</v>
          </cell>
          <cell r="L24">
            <v>0.06</v>
          </cell>
          <cell r="M24">
            <v>0.06</v>
          </cell>
          <cell r="N24">
            <v>0.06</v>
          </cell>
          <cell r="O24">
            <v>0.06</v>
          </cell>
        </row>
        <row r="27">
          <cell r="C27" t="str">
            <v>Packing costs</v>
          </cell>
          <cell r="D27" t="str">
            <v>%</v>
          </cell>
          <cell r="I27">
            <v>0.03</v>
          </cell>
          <cell r="J27">
            <v>0.03</v>
          </cell>
          <cell r="K27">
            <v>0.03</v>
          </cell>
          <cell r="L27">
            <v>0.03</v>
          </cell>
          <cell r="M27">
            <v>0.03</v>
          </cell>
          <cell r="N27">
            <v>0.03</v>
          </cell>
          <cell r="O27">
            <v>0.03</v>
          </cell>
        </row>
        <row r="28">
          <cell r="C28" t="str">
            <v>Stores &amp; spares</v>
          </cell>
          <cell r="D28" t="str">
            <v>%</v>
          </cell>
          <cell r="I28">
            <v>0.03</v>
          </cell>
          <cell r="J28">
            <v>0.03</v>
          </cell>
          <cell r="K28">
            <v>0.03</v>
          </cell>
          <cell r="L28">
            <v>0.03</v>
          </cell>
          <cell r="M28">
            <v>0.03</v>
          </cell>
          <cell r="N28">
            <v>0.03</v>
          </cell>
          <cell r="O28">
            <v>0.03</v>
          </cell>
        </row>
        <row r="29">
          <cell r="C29" t="str">
            <v>Other production overheads</v>
          </cell>
          <cell r="D29" t="str">
            <v>%</v>
          </cell>
          <cell r="I29">
            <v>0.03</v>
          </cell>
          <cell r="J29">
            <v>0.03</v>
          </cell>
          <cell r="K29">
            <v>0.03</v>
          </cell>
          <cell r="L29">
            <v>0.03</v>
          </cell>
          <cell r="M29">
            <v>0.03</v>
          </cell>
          <cell r="N29">
            <v>0.03</v>
          </cell>
          <cell r="O29">
            <v>0.03</v>
          </cell>
        </row>
        <row r="30">
          <cell r="C30" t="str">
            <v>Other selling variable expenses</v>
          </cell>
          <cell r="D30" t="str">
            <v>%</v>
          </cell>
          <cell r="I30">
            <v>0.03</v>
          </cell>
          <cell r="J30">
            <v>0.03</v>
          </cell>
          <cell r="K30">
            <v>0.03</v>
          </cell>
          <cell r="L30">
            <v>0.03</v>
          </cell>
          <cell r="M30">
            <v>0.03</v>
          </cell>
          <cell r="N30">
            <v>0.03</v>
          </cell>
          <cell r="O30">
            <v>0.03</v>
          </cell>
        </row>
        <row r="33">
          <cell r="C33" t="str">
            <v>Purchased Electricity</v>
          </cell>
          <cell r="D33" t="str">
            <v>%</v>
          </cell>
          <cell r="I33">
            <v>0.05</v>
          </cell>
          <cell r="J33">
            <v>6.0000000000000005E-2</v>
          </cell>
          <cell r="K33">
            <v>6.0000000000000005E-2</v>
          </cell>
          <cell r="L33">
            <v>6.0000000000000005E-2</v>
          </cell>
          <cell r="M33">
            <v>6.0000000000000005E-2</v>
          </cell>
          <cell r="N33">
            <v>6.0000000000000005E-2</v>
          </cell>
          <cell r="O33">
            <v>6.0000000000000005E-2</v>
          </cell>
        </row>
        <row r="34">
          <cell r="C34" t="str">
            <v>L.P.G.</v>
          </cell>
          <cell r="D34" t="str">
            <v>%</v>
          </cell>
          <cell r="I34">
            <v>0.05</v>
          </cell>
          <cell r="J34">
            <v>6.0000000000000005E-2</v>
          </cell>
          <cell r="K34">
            <v>6.0000000000000005E-2</v>
          </cell>
          <cell r="L34">
            <v>6.0000000000000005E-2</v>
          </cell>
          <cell r="M34">
            <v>6.0000000000000005E-2</v>
          </cell>
          <cell r="N34">
            <v>6.0000000000000005E-2</v>
          </cell>
          <cell r="O34">
            <v>6.0000000000000005E-2</v>
          </cell>
        </row>
        <row r="35">
          <cell r="C35" t="str">
            <v>L.D.O.</v>
          </cell>
          <cell r="D35" t="str">
            <v>%</v>
          </cell>
          <cell r="I35">
            <v>0.05</v>
          </cell>
          <cell r="J35">
            <v>6.0000000000000005E-2</v>
          </cell>
          <cell r="K35">
            <v>6.0000000000000005E-2</v>
          </cell>
          <cell r="L35">
            <v>6.0000000000000005E-2</v>
          </cell>
          <cell r="M35">
            <v>6.0000000000000005E-2</v>
          </cell>
          <cell r="N35">
            <v>6.0000000000000005E-2</v>
          </cell>
          <cell r="O35">
            <v>6.0000000000000005E-2</v>
          </cell>
        </row>
        <row r="36">
          <cell r="C36" t="str">
            <v>F-Oil/ RFO / Equv.Oil</v>
          </cell>
          <cell r="D36" t="str">
            <v>%</v>
          </cell>
          <cell r="I36">
            <v>0.05</v>
          </cell>
          <cell r="J36">
            <v>6.0000000000000005E-2</v>
          </cell>
          <cell r="K36">
            <v>6.0000000000000005E-2</v>
          </cell>
          <cell r="L36">
            <v>6.0000000000000005E-2</v>
          </cell>
          <cell r="M36">
            <v>6.0000000000000005E-2</v>
          </cell>
          <cell r="N36">
            <v>6.0000000000000005E-2</v>
          </cell>
          <cell r="O36">
            <v>6.0000000000000005E-2</v>
          </cell>
        </row>
        <row r="37">
          <cell r="C37" t="str">
            <v>L.N.G.</v>
          </cell>
          <cell r="D37" t="str">
            <v>%</v>
          </cell>
          <cell r="I37">
            <v>0.05</v>
          </cell>
          <cell r="J37">
            <v>6.0000000000000005E-2</v>
          </cell>
          <cell r="K37">
            <v>6.0000000000000005E-2</v>
          </cell>
          <cell r="L37">
            <v>6.0000000000000005E-2</v>
          </cell>
          <cell r="M37">
            <v>6.0000000000000005E-2</v>
          </cell>
          <cell r="N37">
            <v>6.0000000000000005E-2</v>
          </cell>
          <cell r="O37">
            <v>6.0000000000000005E-2</v>
          </cell>
        </row>
        <row r="38">
          <cell r="C38" t="str">
            <v>H.S.D.</v>
          </cell>
          <cell r="D38" t="str">
            <v>%</v>
          </cell>
          <cell r="I38">
            <v>0.05</v>
          </cell>
          <cell r="J38">
            <v>6.0000000000000005E-2</v>
          </cell>
          <cell r="K38">
            <v>6.0000000000000005E-2</v>
          </cell>
          <cell r="L38">
            <v>6.0000000000000005E-2</v>
          </cell>
          <cell r="M38">
            <v>6.0000000000000005E-2</v>
          </cell>
          <cell r="N38">
            <v>6.0000000000000005E-2</v>
          </cell>
          <cell r="O38">
            <v>6.0000000000000005E-2</v>
          </cell>
        </row>
        <row r="39">
          <cell r="C39" t="str">
            <v xml:space="preserve">H.P.S.        </v>
          </cell>
          <cell r="D39" t="str">
            <v>%</v>
          </cell>
          <cell r="I39">
            <v>0.05</v>
          </cell>
          <cell r="J39">
            <v>6.0000000000000005E-2</v>
          </cell>
          <cell r="K39">
            <v>6.0000000000000005E-2</v>
          </cell>
          <cell r="L39">
            <v>6.0000000000000005E-2</v>
          </cell>
          <cell r="M39">
            <v>6.0000000000000005E-2</v>
          </cell>
          <cell r="N39">
            <v>6.0000000000000005E-2</v>
          </cell>
          <cell r="O39">
            <v>6.0000000000000005E-2</v>
          </cell>
        </row>
        <row r="48">
          <cell r="F48">
            <v>0</v>
          </cell>
        </row>
        <row r="51">
          <cell r="F51">
            <v>5</v>
          </cell>
        </row>
        <row r="52">
          <cell r="F52">
            <v>0.09</v>
          </cell>
        </row>
        <row r="55">
          <cell r="C55" t="str">
            <v>% MPBF</v>
          </cell>
          <cell r="D55" t="str">
            <v>%</v>
          </cell>
          <cell r="I55">
            <v>0.75</v>
          </cell>
          <cell r="J55">
            <v>0.75</v>
          </cell>
          <cell r="K55">
            <v>0.5</v>
          </cell>
          <cell r="L55">
            <v>0.5</v>
          </cell>
          <cell r="M55">
            <v>0.5</v>
          </cell>
          <cell r="N55">
            <v>0.5</v>
          </cell>
          <cell r="O55">
            <v>0.5</v>
          </cell>
        </row>
        <row r="62">
          <cell r="C62" t="str">
            <v>Float glass plant</v>
          </cell>
        </row>
        <row r="63">
          <cell r="C63" t="str">
            <v>Clear Glass - 2 mm to 6 mm</v>
          </cell>
          <cell r="D63" t="str">
            <v>%</v>
          </cell>
          <cell r="I63">
            <v>0.04</v>
          </cell>
          <cell r="J63">
            <v>0.04</v>
          </cell>
          <cell r="K63">
            <v>0.04</v>
          </cell>
          <cell r="L63">
            <v>0.04</v>
          </cell>
          <cell r="M63">
            <v>0.04</v>
          </cell>
          <cell r="N63">
            <v>0.04</v>
          </cell>
          <cell r="O63">
            <v>0.04</v>
          </cell>
        </row>
        <row r="64">
          <cell r="C64" t="str">
            <v>Clear Glass - 8 mm, 10 mm, 12 mm</v>
          </cell>
          <cell r="D64" t="str">
            <v>%</v>
          </cell>
          <cell r="I64">
            <v>0.04</v>
          </cell>
          <cell r="J64">
            <v>0.04</v>
          </cell>
          <cell r="K64">
            <v>0.04</v>
          </cell>
          <cell r="L64">
            <v>0.04</v>
          </cell>
          <cell r="M64">
            <v>0.04</v>
          </cell>
          <cell r="N64">
            <v>0.04</v>
          </cell>
          <cell r="O64">
            <v>0.04</v>
          </cell>
        </row>
        <row r="65">
          <cell r="C65" t="str">
            <v>Tinted Glass - 2 mm to 6 mm</v>
          </cell>
          <cell r="D65" t="str">
            <v>%</v>
          </cell>
          <cell r="I65">
            <v>0.04</v>
          </cell>
          <cell r="J65">
            <v>0.04</v>
          </cell>
          <cell r="K65">
            <v>0.04</v>
          </cell>
          <cell r="L65">
            <v>0.04</v>
          </cell>
          <cell r="M65">
            <v>0.04</v>
          </cell>
          <cell r="N65">
            <v>0.04</v>
          </cell>
          <cell r="O65">
            <v>0.04</v>
          </cell>
        </row>
        <row r="66">
          <cell r="C66" t="str">
            <v>Tinted Glass - 8 mm, 10 mm, 12 mm</v>
          </cell>
          <cell r="D66" t="str">
            <v>%</v>
          </cell>
          <cell r="I66">
            <v>0.04</v>
          </cell>
          <cell r="J66">
            <v>0.04</v>
          </cell>
          <cell r="K66">
            <v>0.04</v>
          </cell>
          <cell r="L66">
            <v>0.04</v>
          </cell>
          <cell r="M66">
            <v>0.04</v>
          </cell>
          <cell r="N66">
            <v>0.04</v>
          </cell>
          <cell r="O66">
            <v>0.04</v>
          </cell>
        </row>
        <row r="67">
          <cell r="C67" t="str">
            <v>Off-shade</v>
          </cell>
          <cell r="D67" t="str">
            <v>%</v>
          </cell>
          <cell r="I67">
            <v>0.04</v>
          </cell>
          <cell r="J67">
            <v>0.04</v>
          </cell>
          <cell r="K67">
            <v>0.04</v>
          </cell>
          <cell r="L67">
            <v>0.04</v>
          </cell>
          <cell r="M67">
            <v>0.04</v>
          </cell>
          <cell r="N67">
            <v>0.04</v>
          </cell>
          <cell r="O67">
            <v>0.04</v>
          </cell>
        </row>
        <row r="68">
          <cell r="C68" t="str">
            <v>Processing Plant</v>
          </cell>
        </row>
        <row r="69">
          <cell r="C69" t="str">
            <v>IGU</v>
          </cell>
          <cell r="D69" t="str">
            <v>%</v>
          </cell>
          <cell r="I69">
            <v>0.04</v>
          </cell>
          <cell r="J69">
            <v>0.04</v>
          </cell>
          <cell r="K69">
            <v>0.04</v>
          </cell>
          <cell r="L69">
            <v>0.04</v>
          </cell>
          <cell r="M69">
            <v>0.04</v>
          </cell>
          <cell r="N69">
            <v>0.04</v>
          </cell>
          <cell r="O69">
            <v>0.04</v>
          </cell>
        </row>
        <row r="70">
          <cell r="C70" t="str">
            <v>Tempered Glass</v>
          </cell>
          <cell r="D70" t="str">
            <v>%</v>
          </cell>
          <cell r="I70">
            <v>0.04</v>
          </cell>
          <cell r="J70">
            <v>0.04</v>
          </cell>
          <cell r="K70">
            <v>0.04</v>
          </cell>
          <cell r="L70">
            <v>0.04</v>
          </cell>
          <cell r="M70">
            <v>0.04</v>
          </cell>
          <cell r="N70">
            <v>0.04</v>
          </cell>
          <cell r="O70">
            <v>0.04</v>
          </cell>
        </row>
        <row r="73">
          <cell r="C73" t="str">
            <v xml:space="preserve">Silica Sand </v>
          </cell>
          <cell r="D73" t="str">
            <v>%</v>
          </cell>
          <cell r="I73">
            <v>0.06</v>
          </cell>
          <cell r="J73">
            <v>0.06</v>
          </cell>
          <cell r="K73">
            <v>0.06</v>
          </cell>
          <cell r="L73">
            <v>0.06</v>
          </cell>
          <cell r="M73">
            <v>0.06</v>
          </cell>
          <cell r="N73">
            <v>0.06</v>
          </cell>
          <cell r="O73">
            <v>0.06</v>
          </cell>
        </row>
        <row r="74">
          <cell r="C74" t="str">
            <v>Quartz Powder</v>
          </cell>
          <cell r="D74" t="str">
            <v>%</v>
          </cell>
          <cell r="I74">
            <v>0.06</v>
          </cell>
          <cell r="J74">
            <v>0.06</v>
          </cell>
          <cell r="K74">
            <v>0.06</v>
          </cell>
          <cell r="L74">
            <v>0.06</v>
          </cell>
          <cell r="M74">
            <v>0.06</v>
          </cell>
          <cell r="N74">
            <v>0.06</v>
          </cell>
          <cell r="O74">
            <v>0.06</v>
          </cell>
        </row>
        <row r="75">
          <cell r="C75" t="str">
            <v xml:space="preserve">Soda Ash </v>
          </cell>
          <cell r="D75" t="str">
            <v>%</v>
          </cell>
          <cell r="I75">
            <v>0.06</v>
          </cell>
          <cell r="J75">
            <v>0.06</v>
          </cell>
          <cell r="K75">
            <v>0.06</v>
          </cell>
          <cell r="L75">
            <v>0.06</v>
          </cell>
          <cell r="M75">
            <v>0.06</v>
          </cell>
          <cell r="N75">
            <v>0.06</v>
          </cell>
          <cell r="O75">
            <v>0.06</v>
          </cell>
        </row>
        <row r="76">
          <cell r="C76" t="str">
            <v>Limestone</v>
          </cell>
          <cell r="D76" t="str">
            <v>%</v>
          </cell>
          <cell r="I76">
            <v>0.06</v>
          </cell>
          <cell r="J76">
            <v>0.06</v>
          </cell>
          <cell r="K76">
            <v>0.06</v>
          </cell>
          <cell r="L76">
            <v>0.06</v>
          </cell>
          <cell r="M76">
            <v>0.06</v>
          </cell>
          <cell r="N76">
            <v>0.06</v>
          </cell>
          <cell r="O76">
            <v>0.06</v>
          </cell>
        </row>
        <row r="77">
          <cell r="C77" t="str">
            <v>Feldspar</v>
          </cell>
          <cell r="D77" t="str">
            <v>%</v>
          </cell>
          <cell r="I77">
            <v>0.06</v>
          </cell>
          <cell r="J77">
            <v>0.06</v>
          </cell>
          <cell r="K77">
            <v>0.06</v>
          </cell>
          <cell r="L77">
            <v>0.06</v>
          </cell>
          <cell r="M77">
            <v>0.06</v>
          </cell>
          <cell r="N77">
            <v>0.06</v>
          </cell>
          <cell r="O77">
            <v>0.06</v>
          </cell>
        </row>
        <row r="78">
          <cell r="C78" t="str">
            <v>Dolomite</v>
          </cell>
          <cell r="D78" t="str">
            <v>%</v>
          </cell>
          <cell r="I78">
            <v>0.06</v>
          </cell>
          <cell r="J78">
            <v>0.06</v>
          </cell>
          <cell r="K78">
            <v>0.06</v>
          </cell>
          <cell r="L78">
            <v>0.06</v>
          </cell>
          <cell r="M78">
            <v>0.06</v>
          </cell>
          <cell r="N78">
            <v>0.06</v>
          </cell>
          <cell r="O78">
            <v>0.06</v>
          </cell>
        </row>
        <row r="79">
          <cell r="C79" t="str">
            <v>Cullets</v>
          </cell>
          <cell r="D79" t="str">
            <v>%</v>
          </cell>
          <cell r="I79">
            <v>0.06</v>
          </cell>
          <cell r="J79">
            <v>0.06</v>
          </cell>
          <cell r="K79">
            <v>0.06</v>
          </cell>
          <cell r="L79">
            <v>0.06</v>
          </cell>
          <cell r="M79">
            <v>0.06</v>
          </cell>
          <cell r="N79">
            <v>0.06</v>
          </cell>
          <cell r="O79">
            <v>0.06</v>
          </cell>
        </row>
        <row r="80">
          <cell r="C80" t="str">
            <v>Other Chemicals</v>
          </cell>
          <cell r="D80" t="str">
            <v>%</v>
          </cell>
          <cell r="I80">
            <v>0.06</v>
          </cell>
          <cell r="J80">
            <v>0.06</v>
          </cell>
          <cell r="K80">
            <v>0.06</v>
          </cell>
          <cell r="L80">
            <v>0.06</v>
          </cell>
          <cell r="M80">
            <v>0.06</v>
          </cell>
          <cell r="N80">
            <v>0.06</v>
          </cell>
          <cell r="O80">
            <v>0.06</v>
          </cell>
        </row>
        <row r="81">
          <cell r="C81" t="str">
            <v>Consumables</v>
          </cell>
          <cell r="D81" t="str">
            <v>%</v>
          </cell>
          <cell r="I81">
            <v>0.06</v>
          </cell>
          <cell r="J81">
            <v>0.06</v>
          </cell>
          <cell r="K81">
            <v>0.06</v>
          </cell>
          <cell r="L81">
            <v>0.06</v>
          </cell>
          <cell r="M81">
            <v>0.06</v>
          </cell>
          <cell r="N81">
            <v>0.06</v>
          </cell>
          <cell r="O81">
            <v>0.06</v>
          </cell>
        </row>
        <row r="84">
          <cell r="C84" t="str">
            <v>Power &amp; Fuel</v>
          </cell>
          <cell r="D84" t="str">
            <v>%</v>
          </cell>
          <cell r="I84">
            <v>0.03</v>
          </cell>
          <cell r="J84">
            <v>0.03</v>
          </cell>
          <cell r="K84">
            <v>0.03</v>
          </cell>
          <cell r="L84">
            <v>3.0000000000000249E-2</v>
          </cell>
          <cell r="M84">
            <v>2.9999999999999805E-2</v>
          </cell>
          <cell r="N84">
            <v>0.03</v>
          </cell>
          <cell r="O84">
            <v>0.03</v>
          </cell>
          <cell r="P84" t="str">
            <v>table_HNGFL_power_cost_growth</v>
          </cell>
        </row>
        <row r="85">
          <cell r="C85" t="str">
            <v>Water cost</v>
          </cell>
          <cell r="D85" t="str">
            <v>%</v>
          </cell>
          <cell r="I85">
            <v>0.03</v>
          </cell>
          <cell r="J85">
            <v>0.03</v>
          </cell>
          <cell r="K85">
            <v>0.03</v>
          </cell>
          <cell r="L85">
            <v>0.03</v>
          </cell>
          <cell r="M85">
            <v>0.03</v>
          </cell>
          <cell r="N85">
            <v>0.03</v>
          </cell>
          <cell r="O85">
            <v>0.03</v>
          </cell>
          <cell r="P85" t="str">
            <v>table_HNGFL_water_cost_growth</v>
          </cell>
        </row>
        <row r="86">
          <cell r="C86" t="str">
            <v>Packing costs</v>
          </cell>
          <cell r="D86" t="str">
            <v>%</v>
          </cell>
          <cell r="I86">
            <v>0.03</v>
          </cell>
          <cell r="J86">
            <v>0.03</v>
          </cell>
          <cell r="K86">
            <v>0.03</v>
          </cell>
          <cell r="L86">
            <v>0.03</v>
          </cell>
          <cell r="M86">
            <v>0.03</v>
          </cell>
          <cell r="N86">
            <v>0.03</v>
          </cell>
          <cell r="O86">
            <v>0.03</v>
          </cell>
          <cell r="P86" t="str">
            <v>table_HNGFL_packing_cost_growth</v>
          </cell>
        </row>
        <row r="87">
          <cell r="C87" t="str">
            <v>Other manufacturing costs</v>
          </cell>
          <cell r="D87" t="str">
            <v>%</v>
          </cell>
          <cell r="I87">
            <v>0.03</v>
          </cell>
          <cell r="J87">
            <v>0.03</v>
          </cell>
          <cell r="K87">
            <v>0.03</v>
          </cell>
          <cell r="L87">
            <v>0.03</v>
          </cell>
          <cell r="M87">
            <v>0.03</v>
          </cell>
          <cell r="N87">
            <v>0.03</v>
          </cell>
          <cell r="O87">
            <v>0.03</v>
          </cell>
        </row>
        <row r="89">
          <cell r="B89" t="str">
            <v>Salary Growth</v>
          </cell>
          <cell r="D89" t="str">
            <v>%</v>
          </cell>
          <cell r="I89">
            <v>0.12</v>
          </cell>
          <cell r="J89">
            <v>0.12</v>
          </cell>
          <cell r="K89">
            <v>0.12</v>
          </cell>
          <cell r="L89">
            <v>0.12</v>
          </cell>
          <cell r="M89">
            <v>0.12</v>
          </cell>
          <cell r="N89">
            <v>0.12</v>
          </cell>
          <cell r="O89">
            <v>0.12</v>
          </cell>
        </row>
        <row r="92">
          <cell r="C92" t="str">
            <v>Stores &amp; spares</v>
          </cell>
          <cell r="D92" t="str">
            <v>%</v>
          </cell>
          <cell r="I92">
            <v>0.03</v>
          </cell>
          <cell r="J92">
            <v>0.03</v>
          </cell>
          <cell r="K92">
            <v>0.03</v>
          </cell>
          <cell r="L92">
            <v>0.03</v>
          </cell>
          <cell r="M92">
            <v>0.03</v>
          </cell>
          <cell r="N92">
            <v>0.03</v>
          </cell>
          <cell r="O92">
            <v>0.03</v>
          </cell>
        </row>
        <row r="93">
          <cell r="C93" t="str">
            <v>Repairs &amp; maintenance</v>
          </cell>
          <cell r="D93" t="str">
            <v>%</v>
          </cell>
          <cell r="I93">
            <v>0.03</v>
          </cell>
          <cell r="J93">
            <v>0.03</v>
          </cell>
          <cell r="K93">
            <v>0.03</v>
          </cell>
          <cell r="L93">
            <v>0.03</v>
          </cell>
          <cell r="M93">
            <v>0.03</v>
          </cell>
          <cell r="N93">
            <v>0.03</v>
          </cell>
          <cell r="O93">
            <v>0.03</v>
          </cell>
        </row>
      </sheetData>
      <sheetData sheetId="2" refreshError="1"/>
      <sheetData sheetId="3" refreshError="1"/>
      <sheetData sheetId="4" refreshError="1">
        <row r="10">
          <cell r="C10" t="str">
            <v>Rishra Furnace I</v>
          </cell>
          <cell r="D10" t="str">
            <v>MT/ day</v>
          </cell>
          <cell r="F10">
            <v>170.02442129629631</v>
          </cell>
          <cell r="G10">
            <v>172.05</v>
          </cell>
          <cell r="H10">
            <v>163.07749999999999</v>
          </cell>
          <cell r="I10">
            <v>170</v>
          </cell>
          <cell r="J10">
            <v>225</v>
          </cell>
          <cell r="K10">
            <v>225</v>
          </cell>
          <cell r="L10">
            <v>225</v>
          </cell>
          <cell r="M10">
            <v>225</v>
          </cell>
          <cell r="N10">
            <v>225</v>
          </cell>
          <cell r="O10">
            <v>225</v>
          </cell>
        </row>
        <row r="11">
          <cell r="C11" t="str">
            <v xml:space="preserve">Rishra Furnace II </v>
          </cell>
          <cell r="D11" t="str">
            <v>MT/ day</v>
          </cell>
          <cell r="F11">
            <v>183.81018518518519</v>
          </cell>
          <cell r="G11">
            <v>190</v>
          </cell>
          <cell r="H11">
            <v>215.02</v>
          </cell>
          <cell r="I11">
            <v>225</v>
          </cell>
          <cell r="J11">
            <v>225</v>
          </cell>
          <cell r="K11">
            <v>225</v>
          </cell>
          <cell r="L11">
            <v>225</v>
          </cell>
          <cell r="M11">
            <v>225</v>
          </cell>
          <cell r="N11">
            <v>225</v>
          </cell>
          <cell r="O11">
            <v>225</v>
          </cell>
        </row>
        <row r="12">
          <cell r="C12" t="str">
            <v>Rishra Furnace VI</v>
          </cell>
          <cell r="D12" t="str">
            <v>MT/ day</v>
          </cell>
          <cell r="F12">
            <v>307.8820601851852</v>
          </cell>
          <cell r="G12">
            <v>318.25</v>
          </cell>
          <cell r="H12">
            <v>324.86399999999998</v>
          </cell>
          <cell r="I12">
            <v>340</v>
          </cell>
          <cell r="J12">
            <v>440</v>
          </cell>
          <cell r="K12">
            <v>456.66666666666669</v>
          </cell>
          <cell r="L12">
            <v>498.75</v>
          </cell>
          <cell r="M12">
            <v>525</v>
          </cell>
          <cell r="N12">
            <v>525</v>
          </cell>
          <cell r="O12">
            <v>525</v>
          </cell>
        </row>
        <row r="13">
          <cell r="C13" t="str">
            <v>Bghr Furnace III</v>
          </cell>
          <cell r="D13" t="str">
            <v>MT/ day</v>
          </cell>
          <cell r="F13">
            <v>329.82864488262925</v>
          </cell>
          <cell r="G13">
            <v>329.3</v>
          </cell>
          <cell r="H13">
            <v>344.04500000000002</v>
          </cell>
          <cell r="I13">
            <v>355</v>
          </cell>
          <cell r="J13">
            <v>355</v>
          </cell>
          <cell r="K13">
            <v>355</v>
          </cell>
          <cell r="L13">
            <v>355</v>
          </cell>
          <cell r="M13">
            <v>355</v>
          </cell>
          <cell r="N13">
            <v>355</v>
          </cell>
          <cell r="O13">
            <v>355</v>
          </cell>
        </row>
        <row r="14">
          <cell r="C14" t="str">
            <v>Bghr Furnace IV</v>
          </cell>
          <cell r="D14" t="str">
            <v>MT/ day</v>
          </cell>
          <cell r="F14">
            <v>147.08574704225359</v>
          </cell>
          <cell r="G14">
            <v>138.17925</v>
          </cell>
          <cell r="H14">
            <v>145.2825</v>
          </cell>
          <cell r="I14">
            <v>275</v>
          </cell>
          <cell r="J14">
            <v>275</v>
          </cell>
          <cell r="K14">
            <v>275</v>
          </cell>
          <cell r="L14">
            <v>275</v>
          </cell>
          <cell r="M14">
            <v>275</v>
          </cell>
          <cell r="N14">
            <v>275</v>
          </cell>
          <cell r="O14">
            <v>275</v>
          </cell>
        </row>
        <row r="15">
          <cell r="C15" t="str">
            <v>Bghr Furnace V</v>
          </cell>
          <cell r="D15" t="str">
            <v>MT/ day</v>
          </cell>
          <cell r="F15">
            <v>138.17145934272307</v>
          </cell>
          <cell r="G15">
            <v>137.94999999999999</v>
          </cell>
          <cell r="H15">
            <v>112.2975</v>
          </cell>
          <cell r="I15">
            <v>170</v>
          </cell>
          <cell r="J15">
            <v>170</v>
          </cell>
          <cell r="K15">
            <v>170</v>
          </cell>
          <cell r="L15">
            <v>170</v>
          </cell>
          <cell r="M15">
            <v>170</v>
          </cell>
          <cell r="N15">
            <v>170</v>
          </cell>
          <cell r="O15">
            <v>170</v>
          </cell>
        </row>
        <row r="16">
          <cell r="C16" t="str">
            <v>Neemrana Furnace</v>
          </cell>
          <cell r="D16" t="str">
            <v>MT/ day</v>
          </cell>
          <cell r="F16">
            <v>126</v>
          </cell>
          <cell r="G16">
            <v>172.8</v>
          </cell>
          <cell r="H16">
            <v>177.03</v>
          </cell>
          <cell r="I16">
            <v>200</v>
          </cell>
          <cell r="J16">
            <v>200</v>
          </cell>
          <cell r="K16">
            <v>200</v>
          </cell>
          <cell r="L16">
            <v>480</v>
          </cell>
          <cell r="M16">
            <v>502.5</v>
          </cell>
          <cell r="N16">
            <v>525</v>
          </cell>
          <cell r="O16">
            <v>525</v>
          </cell>
        </row>
        <row r="17">
          <cell r="C17" t="str">
            <v>Rishikesh Furnace 1</v>
          </cell>
          <cell r="D17" t="str">
            <v>MT/ day</v>
          </cell>
          <cell r="F17">
            <v>249.33598233995585</v>
          </cell>
          <cell r="G17">
            <v>247.5</v>
          </cell>
          <cell r="H17">
            <v>241.72225</v>
          </cell>
          <cell r="I17">
            <v>290</v>
          </cell>
          <cell r="J17">
            <v>290</v>
          </cell>
          <cell r="K17">
            <v>290</v>
          </cell>
          <cell r="L17">
            <v>290</v>
          </cell>
          <cell r="M17">
            <v>290</v>
          </cell>
          <cell r="N17">
            <v>290</v>
          </cell>
          <cell r="O17">
            <v>290</v>
          </cell>
        </row>
        <row r="18">
          <cell r="C18" t="str">
            <v>Rishikesh Furnace 2</v>
          </cell>
          <cell r="D18" t="str">
            <v>MT/ day</v>
          </cell>
          <cell r="F18">
            <v>115.76313465783664</v>
          </cell>
          <cell r="G18">
            <v>121.5</v>
          </cell>
          <cell r="H18">
            <v>122.9025</v>
          </cell>
          <cell r="I18">
            <v>130</v>
          </cell>
          <cell r="J18">
            <v>130</v>
          </cell>
          <cell r="K18">
            <v>130</v>
          </cell>
          <cell r="L18">
            <v>130</v>
          </cell>
          <cell r="M18">
            <v>130</v>
          </cell>
          <cell r="N18">
            <v>130</v>
          </cell>
          <cell r="O18">
            <v>130</v>
          </cell>
        </row>
        <row r="19">
          <cell r="C19" t="str">
            <v>Pondicherry Furnace 1</v>
          </cell>
          <cell r="D19" t="str">
            <v>MT/ day</v>
          </cell>
          <cell r="F19">
            <v>315.49166666666667</v>
          </cell>
          <cell r="G19">
            <v>325.31399999999996</v>
          </cell>
          <cell r="H19">
            <v>355.40571999999997</v>
          </cell>
          <cell r="I19">
            <v>360</v>
          </cell>
          <cell r="J19">
            <v>360</v>
          </cell>
          <cell r="K19">
            <v>360</v>
          </cell>
          <cell r="L19">
            <v>440</v>
          </cell>
          <cell r="M19">
            <v>463.33333333333331</v>
          </cell>
          <cell r="N19">
            <v>506.25</v>
          </cell>
          <cell r="O19">
            <v>525</v>
          </cell>
        </row>
        <row r="20">
          <cell r="C20" t="str">
            <v>Nashik Furnace 1</v>
          </cell>
          <cell r="D20" t="str">
            <v>MT/ day</v>
          </cell>
          <cell r="F20">
            <v>319.3</v>
          </cell>
          <cell r="G20">
            <v>329.4</v>
          </cell>
          <cell r="H20">
            <v>344.07749999999999</v>
          </cell>
          <cell r="I20">
            <v>360</v>
          </cell>
          <cell r="J20">
            <v>480</v>
          </cell>
          <cell r="K20">
            <v>506.25</v>
          </cell>
          <cell r="L20">
            <v>525</v>
          </cell>
          <cell r="M20">
            <v>525</v>
          </cell>
          <cell r="N20">
            <v>525</v>
          </cell>
          <cell r="O20">
            <v>525</v>
          </cell>
        </row>
        <row r="21">
          <cell r="C21" t="str">
            <v>West Furnace (New)</v>
          </cell>
          <cell r="D21" t="str">
            <v>MT/ day</v>
          </cell>
          <cell r="F21">
            <v>0</v>
          </cell>
          <cell r="G21">
            <v>0</v>
          </cell>
          <cell r="H21">
            <v>0</v>
          </cell>
          <cell r="I21">
            <v>0</v>
          </cell>
          <cell r="J21">
            <v>0</v>
          </cell>
          <cell r="K21">
            <v>500</v>
          </cell>
          <cell r="L21">
            <v>510</v>
          </cell>
          <cell r="M21">
            <v>550</v>
          </cell>
          <cell r="N21">
            <v>580</v>
          </cell>
          <cell r="O21">
            <v>580</v>
          </cell>
        </row>
        <row r="22">
          <cell r="C22" t="str">
            <v>North Furnace (New)</v>
          </cell>
          <cell r="D22" t="str">
            <v>MT/ day</v>
          </cell>
          <cell r="F22">
            <v>0</v>
          </cell>
          <cell r="G22">
            <v>0</v>
          </cell>
          <cell r="H22">
            <v>0</v>
          </cell>
          <cell r="I22">
            <v>0</v>
          </cell>
          <cell r="J22">
            <v>0</v>
          </cell>
          <cell r="K22">
            <v>0</v>
          </cell>
          <cell r="L22">
            <v>500</v>
          </cell>
          <cell r="M22">
            <v>510</v>
          </cell>
          <cell r="N22">
            <v>550</v>
          </cell>
          <cell r="O22">
            <v>580</v>
          </cell>
        </row>
        <row r="23">
          <cell r="C23" t="str">
            <v xml:space="preserve">Andhra Pradesh </v>
          </cell>
          <cell r="D23" t="str">
            <v>MT/ day</v>
          </cell>
          <cell r="F23">
            <v>0</v>
          </cell>
          <cell r="G23">
            <v>0</v>
          </cell>
          <cell r="H23">
            <v>0</v>
          </cell>
          <cell r="I23">
            <v>0</v>
          </cell>
          <cell r="J23">
            <v>0</v>
          </cell>
          <cell r="K23">
            <v>500</v>
          </cell>
          <cell r="L23">
            <v>540</v>
          </cell>
          <cell r="M23">
            <v>580</v>
          </cell>
          <cell r="N23">
            <v>580</v>
          </cell>
          <cell r="O23">
            <v>580</v>
          </cell>
        </row>
        <row r="27">
          <cell r="C27" t="str">
            <v>Rishra Furnace I</v>
          </cell>
          <cell r="D27" t="str">
            <v>%</v>
          </cell>
          <cell r="F27">
            <v>0.90080321926448748</v>
          </cell>
          <cell r="G27">
            <v>0.90624242522178955</v>
          </cell>
          <cell r="H27">
            <v>0.88120358858909309</v>
          </cell>
          <cell r="I27">
            <v>0.9</v>
          </cell>
          <cell r="J27">
            <v>0.875</v>
          </cell>
          <cell r="K27">
            <v>0.9</v>
          </cell>
          <cell r="L27">
            <v>0.9</v>
          </cell>
          <cell r="M27">
            <v>0.9</v>
          </cell>
          <cell r="N27">
            <v>0.9</v>
          </cell>
          <cell r="O27">
            <v>0.9</v>
          </cell>
        </row>
        <row r="28">
          <cell r="C28" t="str">
            <v xml:space="preserve">Rishra Furnace II </v>
          </cell>
          <cell r="D28" t="str">
            <v>%</v>
          </cell>
          <cell r="F28">
            <v>0.90593397891680549</v>
          </cell>
          <cell r="G28">
            <v>0.89874402971873346</v>
          </cell>
          <cell r="H28">
            <v>0.81247040519515656</v>
          </cell>
          <cell r="I28">
            <v>0.9</v>
          </cell>
          <cell r="J28">
            <v>0.9</v>
          </cell>
          <cell r="K28">
            <v>0.9</v>
          </cell>
          <cell r="L28">
            <v>0.9</v>
          </cell>
          <cell r="M28">
            <v>0.9</v>
          </cell>
          <cell r="N28">
            <v>0.9</v>
          </cell>
          <cell r="O28">
            <v>0.9</v>
          </cell>
        </row>
        <row r="29">
          <cell r="C29" t="str">
            <v>Rishra Furnace VI</v>
          </cell>
          <cell r="D29" t="str">
            <v>%</v>
          </cell>
          <cell r="F29">
            <v>0.91365454861715079</v>
          </cell>
          <cell r="G29">
            <v>0.91791853151844416</v>
          </cell>
          <cell r="H29">
            <v>0.89696381884119081</v>
          </cell>
          <cell r="I29">
            <v>0.9</v>
          </cell>
          <cell r="J29">
            <v>0.85</v>
          </cell>
          <cell r="K29">
            <v>0.9</v>
          </cell>
          <cell r="L29">
            <v>0.9</v>
          </cell>
          <cell r="M29">
            <v>0.9</v>
          </cell>
          <cell r="N29">
            <v>0.9</v>
          </cell>
          <cell r="O29">
            <v>0.9</v>
          </cell>
        </row>
        <row r="30">
          <cell r="C30" t="str">
            <v>Bghr Furnace III</v>
          </cell>
          <cell r="D30" t="str">
            <v>%</v>
          </cell>
          <cell r="F30">
            <v>0.86393463230672529</v>
          </cell>
          <cell r="G30">
            <v>0.86348813078372821</v>
          </cell>
          <cell r="H30">
            <v>0.86395126612517914</v>
          </cell>
          <cell r="I30">
            <v>0.9</v>
          </cell>
          <cell r="J30">
            <v>0.9</v>
          </cell>
          <cell r="K30">
            <v>0.9</v>
          </cell>
          <cell r="L30">
            <v>0.9</v>
          </cell>
          <cell r="M30">
            <v>0.9</v>
          </cell>
          <cell r="N30">
            <v>0.9</v>
          </cell>
          <cell r="O30">
            <v>0.9</v>
          </cell>
        </row>
        <row r="31">
          <cell r="C31" t="str">
            <v>Bghr Furnace IV</v>
          </cell>
          <cell r="D31" t="str">
            <v>%</v>
          </cell>
          <cell r="F31">
            <v>0.86297136787214523</v>
          </cell>
          <cell r="G31">
            <v>0.84728479962058334</v>
          </cell>
          <cell r="H31">
            <v>0.87308352348803442</v>
          </cell>
          <cell r="I31">
            <v>0.82857142857142863</v>
          </cell>
          <cell r="J31">
            <v>0.9</v>
          </cell>
          <cell r="K31">
            <v>0.9</v>
          </cell>
          <cell r="L31">
            <v>0.9</v>
          </cell>
          <cell r="M31">
            <v>0.9</v>
          </cell>
          <cell r="N31">
            <v>0.9</v>
          </cell>
          <cell r="O31">
            <v>0.9</v>
          </cell>
        </row>
        <row r="32">
          <cell r="C32" t="str">
            <v>Bghr Furnace V</v>
          </cell>
          <cell r="D32" t="str">
            <v>%</v>
          </cell>
          <cell r="F32">
            <v>0.85521594684385382</v>
          </cell>
          <cell r="G32">
            <v>0.87051719482559708</v>
          </cell>
          <cell r="H32">
            <v>0.84325917290067687</v>
          </cell>
          <cell r="I32">
            <v>0.9</v>
          </cell>
          <cell r="J32">
            <v>0.9</v>
          </cell>
          <cell r="K32">
            <v>0.9</v>
          </cell>
          <cell r="L32">
            <v>0.9</v>
          </cell>
          <cell r="M32">
            <v>0.9</v>
          </cell>
          <cell r="N32">
            <v>0.9</v>
          </cell>
          <cell r="O32">
            <v>0.9</v>
          </cell>
        </row>
        <row r="33">
          <cell r="C33" t="str">
            <v>Neemrana Furnace</v>
          </cell>
          <cell r="D33" t="str">
            <v>%</v>
          </cell>
          <cell r="F33">
            <v>0.8</v>
          </cell>
          <cell r="G33">
            <v>0.85142094220865916</v>
          </cell>
          <cell r="H33">
            <v>0.88534814975314569</v>
          </cell>
          <cell r="I33">
            <v>0.90400000000000003</v>
          </cell>
          <cell r="J33">
            <v>0.90400000000000003</v>
          </cell>
          <cell r="K33">
            <v>0.90400000000000003</v>
          </cell>
          <cell r="L33">
            <v>0.85833333333333328</v>
          </cell>
          <cell r="M33">
            <v>0.9</v>
          </cell>
          <cell r="N33">
            <v>0.9</v>
          </cell>
          <cell r="O33">
            <v>0.9</v>
          </cell>
        </row>
        <row r="34">
          <cell r="C34" t="str">
            <v>Rishikesh Furnace 1</v>
          </cell>
          <cell r="D34" t="str">
            <v>%</v>
          </cell>
          <cell r="F34">
            <v>0.86927602967510875</v>
          </cell>
          <cell r="G34">
            <v>0.87321989096315877</v>
          </cell>
          <cell r="H34">
            <v>0.86259464115700235</v>
          </cell>
          <cell r="I34">
            <v>0.81666666666666676</v>
          </cell>
          <cell r="J34">
            <v>0.9</v>
          </cell>
          <cell r="K34">
            <v>0.9</v>
          </cell>
          <cell r="L34">
            <v>0.9</v>
          </cell>
          <cell r="M34">
            <v>0.9</v>
          </cell>
          <cell r="N34">
            <v>0.9</v>
          </cell>
          <cell r="O34">
            <v>0.9</v>
          </cell>
        </row>
        <row r="35">
          <cell r="C35" t="str">
            <v>Rishikesh Furnace 2</v>
          </cell>
          <cell r="D35" t="str">
            <v>%</v>
          </cell>
          <cell r="F35">
            <v>0.85101732506187522</v>
          </cell>
          <cell r="G35">
            <v>0.87860197478897517</v>
          </cell>
          <cell r="H35">
            <v>0.89052120023184267</v>
          </cell>
          <cell r="I35">
            <v>0.9</v>
          </cell>
          <cell r="J35">
            <v>0.9</v>
          </cell>
          <cell r="K35">
            <v>0.9</v>
          </cell>
          <cell r="L35">
            <v>0.9</v>
          </cell>
          <cell r="M35">
            <v>0.9</v>
          </cell>
          <cell r="N35">
            <v>0.9</v>
          </cell>
          <cell r="O35">
            <v>0.9</v>
          </cell>
        </row>
        <row r="36">
          <cell r="C36" t="str">
            <v>Pondicherry Furnace 1</v>
          </cell>
          <cell r="D36" t="str">
            <v>%</v>
          </cell>
          <cell r="F36">
            <v>0.88921269964253635</v>
          </cell>
          <cell r="G36">
            <v>0.89710031413965319</v>
          </cell>
          <cell r="H36">
            <v>0.88816697110530496</v>
          </cell>
          <cell r="I36">
            <v>0.9</v>
          </cell>
          <cell r="J36">
            <v>0.9</v>
          </cell>
          <cell r="K36">
            <v>0.9</v>
          </cell>
          <cell r="L36">
            <v>0.86428571428571432</v>
          </cell>
          <cell r="M36">
            <v>0.9</v>
          </cell>
          <cell r="N36">
            <v>0.9</v>
          </cell>
          <cell r="O36">
            <v>0.9</v>
          </cell>
        </row>
        <row r="37">
          <cell r="C37" t="str">
            <v>Nashik Furnace 1</v>
          </cell>
          <cell r="D37" t="str">
            <v>%</v>
          </cell>
          <cell r="F37">
            <v>0.84474319120308072</v>
          </cell>
          <cell r="G37">
            <v>0.89861294583883755</v>
          </cell>
          <cell r="H37">
            <v>0.86892960370733108</v>
          </cell>
          <cell r="I37">
            <v>0.89500000000000002</v>
          </cell>
          <cell r="J37">
            <v>0.86428571428571432</v>
          </cell>
          <cell r="K37">
            <v>0.9</v>
          </cell>
          <cell r="L37">
            <v>0.9</v>
          </cell>
          <cell r="M37">
            <v>0.9</v>
          </cell>
          <cell r="N37">
            <v>0.9</v>
          </cell>
          <cell r="O37">
            <v>0.9</v>
          </cell>
        </row>
        <row r="38">
          <cell r="C38" t="str">
            <v>West Furnace (New)</v>
          </cell>
          <cell r="D38" t="str">
            <v>%</v>
          </cell>
          <cell r="F38">
            <v>0</v>
          </cell>
          <cell r="G38">
            <v>0</v>
          </cell>
          <cell r="H38">
            <v>0</v>
          </cell>
          <cell r="I38">
            <v>0</v>
          </cell>
          <cell r="J38">
            <v>0</v>
          </cell>
          <cell r="K38">
            <v>0.7</v>
          </cell>
          <cell r="L38">
            <v>0.91833333333333333</v>
          </cell>
          <cell r="M38">
            <v>0.92</v>
          </cell>
          <cell r="N38">
            <v>0.92</v>
          </cell>
          <cell r="O38">
            <v>0.92</v>
          </cell>
        </row>
        <row r="39">
          <cell r="C39" t="str">
            <v>North Furnace (New)</v>
          </cell>
          <cell r="D39" t="str">
            <v>%</v>
          </cell>
          <cell r="F39">
            <v>0</v>
          </cell>
          <cell r="G39">
            <v>0</v>
          </cell>
          <cell r="H39">
            <v>0</v>
          </cell>
          <cell r="I39">
            <v>0</v>
          </cell>
          <cell r="J39">
            <v>0</v>
          </cell>
          <cell r="K39">
            <v>0</v>
          </cell>
          <cell r="L39">
            <v>0.7</v>
          </cell>
          <cell r="M39">
            <v>0.91833333333333333</v>
          </cell>
          <cell r="N39">
            <v>0.92</v>
          </cell>
          <cell r="O39">
            <v>0.92</v>
          </cell>
        </row>
        <row r="40">
          <cell r="C40" t="str">
            <v xml:space="preserve">Andhra Pradesh </v>
          </cell>
          <cell r="D40" t="str">
            <v>%</v>
          </cell>
          <cell r="F40">
            <v>0</v>
          </cell>
          <cell r="G40">
            <v>0</v>
          </cell>
          <cell r="H40">
            <v>0</v>
          </cell>
          <cell r="I40">
            <v>0</v>
          </cell>
          <cell r="J40">
            <v>0</v>
          </cell>
          <cell r="K40">
            <v>0.86333333333333329</v>
          </cell>
          <cell r="L40">
            <v>0.92</v>
          </cell>
          <cell r="M40">
            <v>0.92</v>
          </cell>
          <cell r="N40">
            <v>0.92</v>
          </cell>
          <cell r="O40">
            <v>0.92</v>
          </cell>
        </row>
        <row r="46">
          <cell r="C46" t="str">
            <v>Rishra Furnace I</v>
          </cell>
          <cell r="F46">
            <v>0</v>
          </cell>
          <cell r="G46">
            <v>85</v>
          </cell>
          <cell r="H46">
            <v>0</v>
          </cell>
          <cell r="I46">
            <v>30</v>
          </cell>
          <cell r="J46">
            <v>60</v>
          </cell>
          <cell r="K46">
            <v>0</v>
          </cell>
          <cell r="L46">
            <v>0</v>
          </cell>
          <cell r="M46">
            <v>0</v>
          </cell>
          <cell r="N46">
            <v>0</v>
          </cell>
          <cell r="O46">
            <v>0</v>
          </cell>
        </row>
        <row r="47">
          <cell r="C47" t="str">
            <v xml:space="preserve">Rishra Furnace II </v>
          </cell>
          <cell r="F47">
            <v>0</v>
          </cell>
          <cell r="G47">
            <v>0</v>
          </cell>
          <cell r="H47">
            <v>90</v>
          </cell>
          <cell r="I47">
            <v>0</v>
          </cell>
          <cell r="J47">
            <v>0</v>
          </cell>
          <cell r="K47">
            <v>0</v>
          </cell>
          <cell r="L47">
            <v>0</v>
          </cell>
          <cell r="M47">
            <v>0</v>
          </cell>
          <cell r="N47">
            <v>0</v>
          </cell>
          <cell r="O47">
            <v>0</v>
          </cell>
        </row>
        <row r="48">
          <cell r="C48" t="str">
            <v>Rishra Furnace VI</v>
          </cell>
          <cell r="F48">
            <v>0</v>
          </cell>
          <cell r="G48">
            <v>0</v>
          </cell>
          <cell r="H48">
            <v>0</v>
          </cell>
          <cell r="I48">
            <v>0</v>
          </cell>
          <cell r="J48">
            <v>90</v>
          </cell>
          <cell r="K48">
            <v>0</v>
          </cell>
          <cell r="L48">
            <v>0</v>
          </cell>
          <cell r="M48">
            <v>0</v>
          </cell>
          <cell r="N48">
            <v>0</v>
          </cell>
          <cell r="O48">
            <v>0</v>
          </cell>
        </row>
        <row r="49">
          <cell r="C49" t="str">
            <v>Bghr Furnace III</v>
          </cell>
          <cell r="F49">
            <v>0</v>
          </cell>
          <cell r="G49">
            <v>66</v>
          </cell>
          <cell r="H49">
            <v>0</v>
          </cell>
          <cell r="I49">
            <v>0</v>
          </cell>
          <cell r="J49">
            <v>0</v>
          </cell>
          <cell r="K49">
            <v>0</v>
          </cell>
          <cell r="L49">
            <v>0</v>
          </cell>
          <cell r="M49">
            <v>0</v>
          </cell>
          <cell r="N49">
            <v>0</v>
          </cell>
          <cell r="O49">
            <v>0</v>
          </cell>
        </row>
        <row r="50">
          <cell r="C50" t="str">
            <v>Bghr Furnace IV</v>
          </cell>
          <cell r="F50">
            <v>0</v>
          </cell>
          <cell r="G50">
            <v>0</v>
          </cell>
          <cell r="H50">
            <v>0</v>
          </cell>
          <cell r="I50">
            <v>135</v>
          </cell>
          <cell r="J50">
            <v>0</v>
          </cell>
          <cell r="K50">
            <v>0</v>
          </cell>
          <cell r="L50">
            <v>0</v>
          </cell>
          <cell r="M50">
            <v>0</v>
          </cell>
          <cell r="N50">
            <v>0</v>
          </cell>
          <cell r="O50">
            <v>0</v>
          </cell>
        </row>
        <row r="51">
          <cell r="C51" t="str">
            <v>Bghr Furnace V</v>
          </cell>
          <cell r="F51">
            <v>0</v>
          </cell>
          <cell r="G51">
            <v>0</v>
          </cell>
          <cell r="H51">
            <v>90</v>
          </cell>
          <cell r="I51">
            <v>0</v>
          </cell>
          <cell r="J51">
            <v>0</v>
          </cell>
          <cell r="K51">
            <v>0</v>
          </cell>
          <cell r="L51">
            <v>0</v>
          </cell>
          <cell r="M51">
            <v>0</v>
          </cell>
          <cell r="N51">
            <v>0</v>
          </cell>
          <cell r="O51">
            <v>0</v>
          </cell>
        </row>
        <row r="52">
          <cell r="C52" t="str">
            <v>Neemrana Furnace</v>
          </cell>
          <cell r="F52">
            <v>347</v>
          </cell>
          <cell r="G52">
            <v>0</v>
          </cell>
          <cell r="H52">
            <v>0</v>
          </cell>
          <cell r="I52">
            <v>0</v>
          </cell>
          <cell r="J52">
            <v>0</v>
          </cell>
          <cell r="K52">
            <v>0</v>
          </cell>
          <cell r="L52">
            <v>120</v>
          </cell>
          <cell r="M52">
            <v>0</v>
          </cell>
          <cell r="N52">
            <v>0</v>
          </cell>
          <cell r="O52">
            <v>0</v>
          </cell>
        </row>
        <row r="53">
          <cell r="C53" t="str">
            <v>Rishikesh Furnace 1</v>
          </cell>
          <cell r="F53">
            <v>0</v>
          </cell>
          <cell r="G53">
            <v>0</v>
          </cell>
          <cell r="H53">
            <v>0</v>
          </cell>
          <cell r="I53">
            <v>60</v>
          </cell>
          <cell r="J53">
            <v>0</v>
          </cell>
          <cell r="K53">
            <v>0</v>
          </cell>
          <cell r="L53">
            <v>0</v>
          </cell>
          <cell r="M53">
            <v>0</v>
          </cell>
          <cell r="N53">
            <v>0</v>
          </cell>
          <cell r="O53">
            <v>0</v>
          </cell>
        </row>
        <row r="54">
          <cell r="C54" t="str">
            <v>Rishikesh Furnace 2</v>
          </cell>
          <cell r="F54">
            <v>90</v>
          </cell>
          <cell r="G54">
            <v>0</v>
          </cell>
          <cell r="H54">
            <v>0</v>
          </cell>
          <cell r="I54">
            <v>0</v>
          </cell>
          <cell r="J54">
            <v>0</v>
          </cell>
          <cell r="K54">
            <v>0</v>
          </cell>
          <cell r="L54">
            <v>0</v>
          </cell>
          <cell r="M54">
            <v>0</v>
          </cell>
          <cell r="N54">
            <v>0</v>
          </cell>
          <cell r="O54">
            <v>0</v>
          </cell>
        </row>
        <row r="55">
          <cell r="C55" t="str">
            <v>Pondicherry Furnace 1</v>
          </cell>
          <cell r="F55">
            <v>0</v>
          </cell>
          <cell r="G55">
            <v>0</v>
          </cell>
          <cell r="H55">
            <v>0</v>
          </cell>
          <cell r="I55">
            <v>0</v>
          </cell>
          <cell r="J55">
            <v>0</v>
          </cell>
          <cell r="K55">
            <v>0</v>
          </cell>
          <cell r="L55">
            <v>90</v>
          </cell>
          <cell r="M55">
            <v>0</v>
          </cell>
          <cell r="N55">
            <v>0</v>
          </cell>
          <cell r="O55">
            <v>0</v>
          </cell>
        </row>
        <row r="56">
          <cell r="C56" t="str">
            <v>Nashik Furnace 1</v>
          </cell>
          <cell r="F56">
            <v>90</v>
          </cell>
          <cell r="G56">
            <v>0</v>
          </cell>
          <cell r="H56">
            <v>0</v>
          </cell>
          <cell r="I56">
            <v>0</v>
          </cell>
          <cell r="J56">
            <v>90</v>
          </cell>
          <cell r="K56">
            <v>0</v>
          </cell>
          <cell r="L56">
            <v>0</v>
          </cell>
          <cell r="M56">
            <v>0</v>
          </cell>
          <cell r="N56">
            <v>0</v>
          </cell>
          <cell r="O56">
            <v>0</v>
          </cell>
        </row>
        <row r="57">
          <cell r="C57" t="str">
            <v>West Furnace (New)</v>
          </cell>
          <cell r="F57">
            <v>0</v>
          </cell>
          <cell r="G57">
            <v>0</v>
          </cell>
          <cell r="H57">
            <v>0</v>
          </cell>
          <cell r="I57">
            <v>0</v>
          </cell>
          <cell r="J57">
            <v>0</v>
          </cell>
          <cell r="K57">
            <v>275</v>
          </cell>
          <cell r="L57">
            <v>0</v>
          </cell>
          <cell r="M57">
            <v>0</v>
          </cell>
          <cell r="N57">
            <v>0</v>
          </cell>
          <cell r="O57">
            <v>0</v>
          </cell>
        </row>
        <row r="58">
          <cell r="C58" t="str">
            <v>North Furnace (New)</v>
          </cell>
          <cell r="F58">
            <v>0</v>
          </cell>
          <cell r="G58">
            <v>0</v>
          </cell>
          <cell r="H58">
            <v>0</v>
          </cell>
          <cell r="I58">
            <v>0</v>
          </cell>
          <cell r="J58">
            <v>0</v>
          </cell>
          <cell r="K58">
            <v>0</v>
          </cell>
          <cell r="L58">
            <v>275</v>
          </cell>
          <cell r="M58">
            <v>0</v>
          </cell>
          <cell r="N58">
            <v>0</v>
          </cell>
          <cell r="O58">
            <v>0</v>
          </cell>
        </row>
        <row r="59">
          <cell r="C59" t="str">
            <v xml:space="preserve">Andhra Pradesh </v>
          </cell>
          <cell r="F59">
            <v>0</v>
          </cell>
          <cell r="G59">
            <v>0</v>
          </cell>
          <cell r="H59">
            <v>0</v>
          </cell>
          <cell r="I59">
            <v>0</v>
          </cell>
          <cell r="J59">
            <v>0</v>
          </cell>
          <cell r="K59">
            <v>0</v>
          </cell>
          <cell r="L59">
            <v>0</v>
          </cell>
          <cell r="M59">
            <v>0</v>
          </cell>
          <cell r="N59">
            <v>0</v>
          </cell>
          <cell r="O59">
            <v>0</v>
          </cell>
        </row>
        <row r="62">
          <cell r="C62" t="str">
            <v>Rishra Furnace I</v>
          </cell>
          <cell r="I62">
            <v>40603</v>
          </cell>
          <cell r="J62">
            <v>40634</v>
          </cell>
          <cell r="K62">
            <v>0</v>
          </cell>
          <cell r="L62">
            <v>0</v>
          </cell>
          <cell r="M62">
            <v>0</v>
          </cell>
          <cell r="N62">
            <v>0</v>
          </cell>
          <cell r="O62">
            <v>0</v>
          </cell>
        </row>
        <row r="63">
          <cell r="C63" t="str">
            <v xml:space="preserve">Rishra Furnace II </v>
          </cell>
          <cell r="I63">
            <v>0</v>
          </cell>
          <cell r="J63">
            <v>0</v>
          </cell>
          <cell r="K63">
            <v>0</v>
          </cell>
          <cell r="L63">
            <v>0</v>
          </cell>
          <cell r="M63">
            <v>0</v>
          </cell>
          <cell r="N63">
            <v>0</v>
          </cell>
          <cell r="O63">
            <v>0</v>
          </cell>
        </row>
        <row r="64">
          <cell r="C64" t="str">
            <v>Rishra Furnace VI</v>
          </cell>
          <cell r="I64">
            <v>0</v>
          </cell>
          <cell r="J64">
            <v>40756</v>
          </cell>
          <cell r="K64">
            <v>0</v>
          </cell>
          <cell r="L64">
            <v>0</v>
          </cell>
          <cell r="M64">
            <v>0</v>
          </cell>
          <cell r="N64">
            <v>0</v>
          </cell>
          <cell r="O64">
            <v>0</v>
          </cell>
        </row>
        <row r="65">
          <cell r="C65" t="str">
            <v>Bghr Furnace III</v>
          </cell>
          <cell r="I65">
            <v>0</v>
          </cell>
          <cell r="J65">
            <v>0</v>
          </cell>
          <cell r="K65">
            <v>0</v>
          </cell>
          <cell r="L65">
            <v>0</v>
          </cell>
          <cell r="M65">
            <v>0</v>
          </cell>
          <cell r="N65">
            <v>0</v>
          </cell>
          <cell r="O65">
            <v>0</v>
          </cell>
        </row>
        <row r="66">
          <cell r="C66" t="str">
            <v>Bghr Furnace IV</v>
          </cell>
          <cell r="I66">
            <v>40391</v>
          </cell>
          <cell r="J66">
            <v>0</v>
          </cell>
          <cell r="K66">
            <v>0</v>
          </cell>
          <cell r="L66">
            <v>0</v>
          </cell>
          <cell r="M66">
            <v>0</v>
          </cell>
          <cell r="N66">
            <v>0</v>
          </cell>
          <cell r="O66">
            <v>0</v>
          </cell>
        </row>
        <row r="67">
          <cell r="C67" t="str">
            <v>Bghr Furnace V</v>
          </cell>
          <cell r="I67">
            <v>0</v>
          </cell>
          <cell r="J67">
            <v>0</v>
          </cell>
          <cell r="K67">
            <v>0</v>
          </cell>
          <cell r="L67">
            <v>0</v>
          </cell>
          <cell r="M67">
            <v>0</v>
          </cell>
          <cell r="N67">
            <v>0</v>
          </cell>
          <cell r="O67">
            <v>0</v>
          </cell>
        </row>
        <row r="68">
          <cell r="C68" t="str">
            <v>Neemrana Furnace</v>
          </cell>
          <cell r="I68">
            <v>0</v>
          </cell>
          <cell r="J68">
            <v>0</v>
          </cell>
          <cell r="K68">
            <v>0</v>
          </cell>
          <cell r="L68">
            <v>41426</v>
          </cell>
          <cell r="M68">
            <v>0</v>
          </cell>
          <cell r="N68">
            <v>0</v>
          </cell>
          <cell r="O68">
            <v>0</v>
          </cell>
        </row>
        <row r="69">
          <cell r="C69" t="str">
            <v>Rishikesh Furnace 1</v>
          </cell>
          <cell r="I69">
            <v>40483</v>
          </cell>
          <cell r="J69">
            <v>0</v>
          </cell>
          <cell r="K69">
            <v>0</v>
          </cell>
          <cell r="L69">
            <v>0</v>
          </cell>
          <cell r="M69">
            <v>0</v>
          </cell>
          <cell r="N69">
            <v>0</v>
          </cell>
          <cell r="O69">
            <v>0</v>
          </cell>
        </row>
        <row r="70">
          <cell r="C70" t="str">
            <v>Rishikesh Furnace 2</v>
          </cell>
          <cell r="I70">
            <v>0</v>
          </cell>
          <cell r="J70">
            <v>0</v>
          </cell>
          <cell r="K70">
            <v>0</v>
          </cell>
          <cell r="L70">
            <v>0</v>
          </cell>
          <cell r="M70">
            <v>0</v>
          </cell>
          <cell r="N70">
            <v>0</v>
          </cell>
          <cell r="O70">
            <v>0</v>
          </cell>
        </row>
        <row r="71">
          <cell r="C71" t="str">
            <v>Pondicherry Furnace 1</v>
          </cell>
          <cell r="I71">
            <v>0</v>
          </cell>
          <cell r="J71">
            <v>0</v>
          </cell>
          <cell r="K71">
            <v>0</v>
          </cell>
          <cell r="L71">
            <v>41426</v>
          </cell>
          <cell r="M71">
            <v>0</v>
          </cell>
          <cell r="N71">
            <v>0</v>
          </cell>
          <cell r="O71">
            <v>0</v>
          </cell>
        </row>
        <row r="72">
          <cell r="C72" t="str">
            <v>Nashik Furnace 1</v>
          </cell>
          <cell r="I72">
            <v>0</v>
          </cell>
          <cell r="J72">
            <v>40695</v>
          </cell>
          <cell r="K72">
            <v>0</v>
          </cell>
          <cell r="L72">
            <v>0</v>
          </cell>
          <cell r="M72">
            <v>0</v>
          </cell>
          <cell r="N72">
            <v>0</v>
          </cell>
          <cell r="O72">
            <v>0</v>
          </cell>
        </row>
        <row r="73">
          <cell r="C73" t="str">
            <v>West Furnace (New)</v>
          </cell>
          <cell r="I73">
            <v>0</v>
          </cell>
          <cell r="J73">
            <v>0</v>
          </cell>
          <cell r="K73">
            <v>41275</v>
          </cell>
          <cell r="L73">
            <v>0</v>
          </cell>
          <cell r="M73">
            <v>0</v>
          </cell>
          <cell r="N73">
            <v>0</v>
          </cell>
          <cell r="O73">
            <v>0</v>
          </cell>
        </row>
        <row r="74">
          <cell r="C74" t="str">
            <v>North Furnace (New)</v>
          </cell>
          <cell r="I74">
            <v>0</v>
          </cell>
          <cell r="J74">
            <v>0</v>
          </cell>
          <cell r="K74">
            <v>0</v>
          </cell>
          <cell r="L74">
            <v>41640</v>
          </cell>
          <cell r="M74">
            <v>0</v>
          </cell>
          <cell r="N74">
            <v>0</v>
          </cell>
          <cell r="O74">
            <v>0</v>
          </cell>
        </row>
        <row r="75">
          <cell r="C75" t="str">
            <v xml:space="preserve">Andhra Pradesh </v>
          </cell>
          <cell r="I75">
            <v>0</v>
          </cell>
          <cell r="J75">
            <v>0</v>
          </cell>
          <cell r="K75">
            <v>41000</v>
          </cell>
          <cell r="L75">
            <v>0</v>
          </cell>
          <cell r="M75">
            <v>0</v>
          </cell>
          <cell r="N75">
            <v>0</v>
          </cell>
          <cell r="O75">
            <v>0</v>
          </cell>
        </row>
        <row r="78">
          <cell r="C78" t="str">
            <v>Number of operating days</v>
          </cell>
          <cell r="D78" t="str">
            <v>days</v>
          </cell>
          <cell r="F78">
            <v>360</v>
          </cell>
          <cell r="G78">
            <v>365</v>
          </cell>
          <cell r="H78">
            <v>365</v>
          </cell>
          <cell r="I78">
            <v>365</v>
          </cell>
          <cell r="J78">
            <v>365</v>
          </cell>
          <cell r="K78">
            <v>365</v>
          </cell>
          <cell r="L78">
            <v>365</v>
          </cell>
          <cell r="M78">
            <v>365</v>
          </cell>
          <cell r="N78">
            <v>365</v>
          </cell>
          <cell r="O78">
            <v>365</v>
          </cell>
        </row>
        <row r="112">
          <cell r="C112" t="str">
            <v>Beer</v>
          </cell>
          <cell r="D112" t="str">
            <v>%</v>
          </cell>
          <cell r="I112">
            <v>0.15928262995705383</v>
          </cell>
          <cell r="J112">
            <v>0.15584631603141827</v>
          </cell>
          <cell r="K112">
            <v>0.1311299263574176</v>
          </cell>
          <cell r="L112">
            <v>0.12926674827298096</v>
          </cell>
          <cell r="M112">
            <v>0.14576541324373016</v>
          </cell>
          <cell r="N112">
            <v>0.14574933188476472</v>
          </cell>
          <cell r="O112">
            <v>0.14551450692800963</v>
          </cell>
        </row>
        <row r="113">
          <cell r="C113" t="str">
            <v>Food &amp; Dairy</v>
          </cell>
          <cell r="D113" t="str">
            <v>%</v>
          </cell>
          <cell r="I113">
            <v>0.11461891212390632</v>
          </cell>
          <cell r="J113">
            <v>0.11465443637129381</v>
          </cell>
          <cell r="K113">
            <v>9.591539897960201E-2</v>
          </cell>
          <cell r="L113">
            <v>8.9499760288270946E-2</v>
          </cell>
          <cell r="M113">
            <v>9.0718228255037003E-2</v>
          </cell>
          <cell r="N113">
            <v>9.0771951377243573E-2</v>
          </cell>
          <cell r="O113">
            <v>9.0625703574381683E-2</v>
          </cell>
        </row>
        <row r="114">
          <cell r="C114" t="str">
            <v xml:space="preserve">Household </v>
          </cell>
          <cell r="D114" t="str">
            <v>%</v>
          </cell>
          <cell r="I114">
            <v>2.2438369640752936E-2</v>
          </cell>
          <cell r="J114">
            <v>2.5308892381671794E-2</v>
          </cell>
          <cell r="K114">
            <v>1.9672742108383594E-2</v>
          </cell>
          <cell r="L114">
            <v>1.9172026051396788E-2</v>
          </cell>
          <cell r="M114">
            <v>1.7301005100597445E-2</v>
          </cell>
          <cell r="N114">
            <v>1.7228960897608486E-2</v>
          </cell>
          <cell r="O114">
            <v>1.720120234842409E-2</v>
          </cell>
        </row>
        <row r="115">
          <cell r="C115" t="str">
            <v>Liquor</v>
          </cell>
          <cell r="D115" t="str">
            <v>%</v>
          </cell>
          <cell r="I115">
            <v>0.49097064844671889</v>
          </cell>
          <cell r="J115">
            <v>0.48293258110285137</v>
          </cell>
          <cell r="K115">
            <v>0.5361634201136537</v>
          </cell>
          <cell r="L115">
            <v>0.54903868157627744</v>
          </cell>
          <cell r="M115">
            <v>0.54554856060922474</v>
          </cell>
          <cell r="N115">
            <v>0.5446891364912545</v>
          </cell>
          <cell r="O115">
            <v>0.54381155714823115</v>
          </cell>
        </row>
        <row r="116">
          <cell r="C116" t="str">
            <v>Pharmaceuticals</v>
          </cell>
          <cell r="D116" t="str">
            <v>%</v>
          </cell>
          <cell r="I116">
            <v>0.10976806933546346</v>
          </cell>
          <cell r="J116">
            <v>0.11174382238837649</v>
          </cell>
          <cell r="K116">
            <v>9.6791116614792214E-2</v>
          </cell>
          <cell r="L116">
            <v>9.5199744872624281E-2</v>
          </cell>
          <cell r="M116">
            <v>9.0276064904791148E-2</v>
          </cell>
          <cell r="N116">
            <v>8.998010610259978E-2</v>
          </cell>
          <cell r="O116">
            <v>8.9835134086254168E-2</v>
          </cell>
        </row>
        <row r="117">
          <cell r="C117" t="str">
            <v>Soft Drinks</v>
          </cell>
          <cell r="D117" t="str">
            <v>%</v>
          </cell>
          <cell r="I117">
            <v>7.5890957481839952E-2</v>
          </cell>
          <cell r="J117">
            <v>7.9172207874258008E-2</v>
          </cell>
          <cell r="K117">
            <v>6.4735238571329373E-2</v>
          </cell>
          <cell r="L117">
            <v>6.211684260161153E-2</v>
          </cell>
          <cell r="M117">
            <v>5.8651120633230136E-2</v>
          </cell>
          <cell r="N117">
            <v>5.8519447353293362E-2</v>
          </cell>
          <cell r="O117">
            <v>5.8425163376026601E-2</v>
          </cell>
        </row>
        <row r="118">
          <cell r="C118" t="str">
            <v>Toiletries</v>
          </cell>
          <cell r="D118" t="str">
            <v>%</v>
          </cell>
          <cell r="I118">
            <v>2.1297207506913742E-2</v>
          </cell>
          <cell r="J118">
            <v>2.3788021199622679E-2</v>
          </cell>
          <cell r="K118">
            <v>3.2895381533926689E-2</v>
          </cell>
          <cell r="L118">
            <v>3.2747693985778085E-2</v>
          </cell>
          <cell r="M118">
            <v>3.0205857415153959E-2</v>
          </cell>
          <cell r="N118">
            <v>3.0763968107830556E-2</v>
          </cell>
          <cell r="O118">
            <v>3.1431333037752307E-2</v>
          </cell>
        </row>
        <row r="119">
          <cell r="C119" t="str">
            <v>Vials</v>
          </cell>
          <cell r="D119" t="str">
            <v>%</v>
          </cell>
          <cell r="I119">
            <v>5.7332055073507672E-3</v>
          </cell>
          <cell r="J119">
            <v>6.553722650507493E-3</v>
          </cell>
          <cell r="K119">
            <v>2.2696775720894829E-2</v>
          </cell>
          <cell r="L119">
            <v>2.2958502351060121E-2</v>
          </cell>
          <cell r="M119">
            <v>2.1533749838235392E-2</v>
          </cell>
          <cell r="N119">
            <v>2.2297097785405069E-2</v>
          </cell>
          <cell r="O119">
            <v>2.3155399500920316E-2</v>
          </cell>
        </row>
        <row r="120">
          <cell r="C120" t="str">
            <v>Tumblers</v>
          </cell>
          <cell r="D120" t="str">
            <v>%</v>
          </cell>
          <cell r="I120">
            <v>0</v>
          </cell>
          <cell r="J120">
            <v>0</v>
          </cell>
          <cell r="K120">
            <v>0</v>
          </cell>
          <cell r="L120">
            <v>0</v>
          </cell>
          <cell r="M120">
            <v>0</v>
          </cell>
          <cell r="N120">
            <v>0</v>
          </cell>
          <cell r="O120">
            <v>0</v>
          </cell>
        </row>
        <row r="123">
          <cell r="C123" t="str">
            <v>Beer</v>
          </cell>
          <cell r="D123" t="str">
            <v>Rs/MT</v>
          </cell>
          <cell r="I123">
            <v>16162.964990077178</v>
          </cell>
          <cell r="J123">
            <v>17213.557714432194</v>
          </cell>
          <cell r="K123">
            <v>18332.438965870286</v>
          </cell>
          <cell r="L123">
            <v>19524.047498651853</v>
          </cell>
          <cell r="M123">
            <v>20793.110586064224</v>
          </cell>
          <cell r="N123">
            <v>22144.662774158398</v>
          </cell>
          <cell r="O123">
            <v>23584.065854478693</v>
          </cell>
        </row>
        <row r="124">
          <cell r="C124" t="str">
            <v>Food &amp; Dairy</v>
          </cell>
          <cell r="D124" t="str">
            <v>Rs/MT</v>
          </cell>
          <cell r="I124">
            <v>19206.157634622476</v>
          </cell>
          <cell r="J124">
            <v>20454.557880872937</v>
          </cell>
          <cell r="K124">
            <v>21784.104143129676</v>
          </cell>
          <cell r="L124">
            <v>23200.070912433104</v>
          </cell>
          <cell r="M124">
            <v>24708.075521741255</v>
          </cell>
          <cell r="N124">
            <v>26314.100430654435</v>
          </cell>
          <cell r="O124">
            <v>28024.516958646971</v>
          </cell>
        </row>
        <row r="125">
          <cell r="C125" t="str">
            <v xml:space="preserve">Household </v>
          </cell>
          <cell r="D125" t="str">
            <v>Rs/MT</v>
          </cell>
          <cell r="I125">
            <v>22909.767614999197</v>
          </cell>
          <cell r="J125">
            <v>24055.255995749158</v>
          </cell>
          <cell r="K125">
            <v>25258.018795536616</v>
          </cell>
          <cell r="L125">
            <v>26520.919735313448</v>
          </cell>
          <cell r="M125">
            <v>27846.96572207912</v>
          </cell>
          <cell r="N125">
            <v>29239.314008183075</v>
          </cell>
          <cell r="O125">
            <v>30701.279708592232</v>
          </cell>
        </row>
        <row r="126">
          <cell r="C126" t="str">
            <v>Liquor</v>
          </cell>
          <cell r="D126" t="str">
            <v>Rs/MT</v>
          </cell>
          <cell r="I126">
            <v>17074.751598227394</v>
          </cell>
          <cell r="J126">
            <v>18184.610452112174</v>
          </cell>
          <cell r="K126">
            <v>19366.610131499463</v>
          </cell>
          <cell r="L126">
            <v>20625.439790046927</v>
          </cell>
          <cell r="M126">
            <v>21966.093376399975</v>
          </cell>
          <cell r="N126">
            <v>23393.889445865971</v>
          </cell>
          <cell r="O126">
            <v>24914.492259847259</v>
          </cell>
        </row>
        <row r="127">
          <cell r="C127" t="str">
            <v>Pharmaceuticals</v>
          </cell>
          <cell r="D127" t="str">
            <v>Rs/MT</v>
          </cell>
          <cell r="I127">
            <v>20241.43354918162</v>
          </cell>
          <cell r="J127">
            <v>20848.676555657068</v>
          </cell>
          <cell r="K127">
            <v>21474.136852326781</v>
          </cell>
          <cell r="L127">
            <v>22118.360957896584</v>
          </cell>
          <cell r="M127">
            <v>22781.911786633482</v>
          </cell>
          <cell r="N127">
            <v>23465.369140232488</v>
          </cell>
          <cell r="O127">
            <v>24169.330214439462</v>
          </cell>
        </row>
        <row r="128">
          <cell r="C128" t="str">
            <v>Soft Drinks</v>
          </cell>
          <cell r="D128" t="str">
            <v>Rs/MT</v>
          </cell>
          <cell r="I128">
            <v>21186.4984973467</v>
          </cell>
          <cell r="J128">
            <v>22563.620899674235</v>
          </cell>
          <cell r="K128">
            <v>24030.256258153058</v>
          </cell>
          <cell r="L128">
            <v>25592.222914933005</v>
          </cell>
          <cell r="M128">
            <v>27255.717404403647</v>
          </cell>
          <cell r="N128">
            <v>29027.339035689882</v>
          </cell>
          <cell r="O128">
            <v>30914.116073009722</v>
          </cell>
        </row>
        <row r="129">
          <cell r="C129" t="str">
            <v>Toiletries</v>
          </cell>
          <cell r="D129" t="str">
            <v>Rs/MT</v>
          </cell>
          <cell r="I129">
            <v>18846.746954176517</v>
          </cell>
          <cell r="J129">
            <v>19789.084301885345</v>
          </cell>
          <cell r="K129">
            <v>20778.538516979614</v>
          </cell>
          <cell r="L129">
            <v>21817.465442828594</v>
          </cell>
          <cell r="M129">
            <v>22908.338714970025</v>
          </cell>
          <cell r="N129">
            <v>24053.755650718525</v>
          </cell>
          <cell r="O129">
            <v>25256.443433254452</v>
          </cell>
        </row>
        <row r="130">
          <cell r="C130" t="str">
            <v>Vials</v>
          </cell>
          <cell r="D130" t="str">
            <v>Rs/MT</v>
          </cell>
          <cell r="I130">
            <v>28691</v>
          </cell>
          <cell r="J130">
            <v>29551.73</v>
          </cell>
          <cell r="K130">
            <v>30438.281900000002</v>
          </cell>
          <cell r="L130">
            <v>31351.430357000001</v>
          </cell>
          <cell r="M130">
            <v>32291.973267710004</v>
          </cell>
          <cell r="N130">
            <v>33260.732465741305</v>
          </cell>
          <cell r="O130">
            <v>34258.554439713545</v>
          </cell>
        </row>
        <row r="131">
          <cell r="C131" t="str">
            <v>Tumblers</v>
          </cell>
          <cell r="D131" t="str">
            <v>Rs/MT</v>
          </cell>
          <cell r="I131">
            <v>0</v>
          </cell>
          <cell r="J131">
            <v>0</v>
          </cell>
          <cell r="K131">
            <v>0</v>
          </cell>
          <cell r="L131">
            <v>0</v>
          </cell>
          <cell r="M131">
            <v>0</v>
          </cell>
          <cell r="N131">
            <v>0</v>
          </cell>
          <cell r="O131">
            <v>0</v>
          </cell>
        </row>
        <row r="354">
          <cell r="C354" t="str">
            <v>Silica Sand</v>
          </cell>
          <cell r="D354" t="str">
            <v>per MT glass produced</v>
          </cell>
          <cell r="F354">
            <v>0.45800000000000002</v>
          </cell>
          <cell r="G354">
            <v>0.45364733824584524</v>
          </cell>
          <cell r="H354">
            <v>0.4769209219406596</v>
          </cell>
          <cell r="I354">
            <v>0.47692039709512624</v>
          </cell>
          <cell r="J354">
            <v>0.47692039709512624</v>
          </cell>
          <cell r="K354">
            <v>0.47692039709512624</v>
          </cell>
          <cell r="L354">
            <v>0.47692039709512624</v>
          </cell>
          <cell r="M354">
            <v>0.47692039709512624</v>
          </cell>
          <cell r="N354">
            <v>0.47692039709512624</v>
          </cell>
          <cell r="O354">
            <v>0.47692039709512624</v>
          </cell>
        </row>
        <row r="355">
          <cell r="C355" t="str">
            <v>Soda Ash</v>
          </cell>
          <cell r="D355" t="str">
            <v>per MT glass produced</v>
          </cell>
          <cell r="F355">
            <v>0.158</v>
          </cell>
          <cell r="G355">
            <v>0.20216518592498936</v>
          </cell>
          <cell r="H355">
            <v>0.16903094358843754</v>
          </cell>
          <cell r="I355">
            <v>0.16903075757198982</v>
          </cell>
          <cell r="J355">
            <v>0.16903075757198982</v>
          </cell>
          <cell r="K355">
            <v>0.16903075757198982</v>
          </cell>
          <cell r="L355">
            <v>0.16903075757198982</v>
          </cell>
          <cell r="M355">
            <v>0.16903075757198982</v>
          </cell>
          <cell r="N355">
            <v>0.16903075757198982</v>
          </cell>
          <cell r="O355">
            <v>0.16903075757198982</v>
          </cell>
        </row>
        <row r="356">
          <cell r="C356" t="str">
            <v>Cullet</v>
          </cell>
          <cell r="D356" t="str">
            <v>per MT glass produced</v>
          </cell>
          <cell r="F356">
            <v>0.33700000000000002</v>
          </cell>
          <cell r="G356">
            <v>0.36601121656937569</v>
          </cell>
          <cell r="H356">
            <v>0.43413981917738442</v>
          </cell>
          <cell r="I356">
            <v>0.43413934141192173</v>
          </cell>
          <cell r="J356">
            <v>0.43413934141192173</v>
          </cell>
          <cell r="K356">
            <v>0.43413934141192173</v>
          </cell>
          <cell r="L356">
            <v>0.43413934141192173</v>
          </cell>
          <cell r="M356">
            <v>0.43413934141192173</v>
          </cell>
          <cell r="N356">
            <v>0.43413934141192173</v>
          </cell>
          <cell r="O356">
            <v>0.43413934141192173</v>
          </cell>
        </row>
        <row r="359">
          <cell r="C359" t="str">
            <v>Silica Sand</v>
          </cell>
          <cell r="D359" t="str">
            <v>Rs/MT</v>
          </cell>
          <cell r="F359">
            <v>1305.6768558951965</v>
          </cell>
          <cell r="G359">
            <v>1434.8456318816952</v>
          </cell>
          <cell r="H359">
            <v>1469.3238920662384</v>
          </cell>
          <cell r="I359">
            <v>1557.4833255902129</v>
          </cell>
          <cell r="J359">
            <v>1650.9323251256258</v>
          </cell>
          <cell r="K359">
            <v>1749.9882646331635</v>
          </cell>
          <cell r="L359">
            <v>1854.9875605111533</v>
          </cell>
          <cell r="M359">
            <v>1966.2868141418226</v>
          </cell>
          <cell r="N359">
            <v>2084.2640229903318</v>
          </cell>
          <cell r="O359">
            <v>2209.3198643697519</v>
          </cell>
        </row>
        <row r="360">
          <cell r="C360" t="str">
            <v>Soda Ash</v>
          </cell>
          <cell r="D360" t="str">
            <v>Rs/MT</v>
          </cell>
          <cell r="F360">
            <v>11822.784810126583</v>
          </cell>
          <cell r="G360">
            <v>11796.769227796494</v>
          </cell>
          <cell r="H360">
            <v>13648.802169654962</v>
          </cell>
          <cell r="I360">
            <v>14467.73029983426</v>
          </cell>
          <cell r="J360">
            <v>15335.794117824316</v>
          </cell>
          <cell r="K360">
            <v>16255.941764893776</v>
          </cell>
          <cell r="L360">
            <v>17231.298270787403</v>
          </cell>
          <cell r="M360">
            <v>18265.17616703465</v>
          </cell>
          <cell r="N360">
            <v>19361.086737056728</v>
          </cell>
          <cell r="O360">
            <v>20522.751941280134</v>
          </cell>
        </row>
        <row r="361">
          <cell r="C361" t="str">
            <v>Cullet</v>
          </cell>
          <cell r="D361" t="str">
            <v>Rs/MT</v>
          </cell>
          <cell r="F361">
            <v>3456.9732937685458</v>
          </cell>
          <cell r="G361">
            <v>3978.2664380296424</v>
          </cell>
          <cell r="H361">
            <v>3179.7201771624673</v>
          </cell>
          <cell r="I361">
            <v>3370.5033877922156</v>
          </cell>
          <cell r="J361">
            <v>3572.7335910597485</v>
          </cell>
          <cell r="K361">
            <v>3787.0976065233335</v>
          </cell>
          <cell r="L361">
            <v>4014.3234629147337</v>
          </cell>
          <cell r="M361">
            <v>4255.1828706896176</v>
          </cell>
          <cell r="N361">
            <v>4510.493842930995</v>
          </cell>
          <cell r="O361">
            <v>4781.1234735068547</v>
          </cell>
        </row>
        <row r="386">
          <cell r="C386" t="str">
            <v>Rishra</v>
          </cell>
          <cell r="D386" t="str">
            <v>per MT glass produced</v>
          </cell>
          <cell r="F386">
            <v>242.63095139062196</v>
          </cell>
          <cell r="G386">
            <v>228.39394822410628</v>
          </cell>
          <cell r="H386">
            <v>223.6435626332507</v>
          </cell>
          <cell r="I386">
            <v>230.35286951224822</v>
          </cell>
          <cell r="J386">
            <v>237.26345559761566</v>
          </cell>
          <cell r="K386">
            <v>244.38135926554415</v>
          </cell>
          <cell r="L386">
            <v>251.71280004351047</v>
          </cell>
          <cell r="M386">
            <v>259.26418404481581</v>
          </cell>
          <cell r="N386">
            <v>267.04210956616026</v>
          </cell>
          <cell r="O386">
            <v>275.05337285314511</v>
          </cell>
        </row>
        <row r="387">
          <cell r="C387" t="str">
            <v>Bahadurgarh</v>
          </cell>
          <cell r="D387" t="str">
            <v>per MT glass produced</v>
          </cell>
          <cell r="F387">
            <v>138.64356623199757</v>
          </cell>
          <cell r="G387">
            <v>211.11836158022973</v>
          </cell>
          <cell r="H387">
            <v>241.14228202022883</v>
          </cell>
          <cell r="I387">
            <v>391.14228202022883</v>
          </cell>
          <cell r="J387">
            <v>402.8765504808357</v>
          </cell>
          <cell r="K387">
            <v>414.9628469952608</v>
          </cell>
          <cell r="L387">
            <v>427.41173240511864</v>
          </cell>
          <cell r="M387">
            <v>440.23408437727221</v>
          </cell>
          <cell r="N387">
            <v>453.44110690859037</v>
          </cell>
          <cell r="O387">
            <v>467.04434011584812</v>
          </cell>
        </row>
        <row r="388">
          <cell r="C388" t="str">
            <v>Neemrana</v>
          </cell>
          <cell r="D388" t="str">
            <v>per MT glass produced</v>
          </cell>
          <cell r="F388">
            <v>99.337748344370866</v>
          </cell>
          <cell r="G388">
            <v>200.82885304659496</v>
          </cell>
          <cell r="H388">
            <v>202.69207237129621</v>
          </cell>
          <cell r="I388">
            <v>208.77283454243511</v>
          </cell>
          <cell r="J388">
            <v>215.03601957870816</v>
          </cell>
          <cell r="K388">
            <v>221.48710016606941</v>
          </cell>
          <cell r="L388">
            <v>228.1317131710515</v>
          </cell>
          <cell r="M388">
            <v>234.97566456618304</v>
          </cell>
          <cell r="N388">
            <v>242.02493450316854</v>
          </cell>
          <cell r="O388">
            <v>249.28568253826361</v>
          </cell>
        </row>
        <row r="389">
          <cell r="C389" t="str">
            <v>Rishikesh</v>
          </cell>
          <cell r="D389" t="str">
            <v>per MT glass produced</v>
          </cell>
          <cell r="F389">
            <v>365.28720252317686</v>
          </cell>
          <cell r="G389">
            <v>150.81206496519721</v>
          </cell>
          <cell r="H389">
            <v>92.777375659187257</v>
          </cell>
          <cell r="I389">
            <v>95.560696928962884</v>
          </cell>
          <cell r="J389">
            <v>98.427517836831768</v>
          </cell>
          <cell r="K389">
            <v>101.38034337193672</v>
          </cell>
          <cell r="L389">
            <v>104.42175367309483</v>
          </cell>
          <cell r="M389">
            <v>107.55440628328768</v>
          </cell>
          <cell r="N389">
            <v>110.7810384717863</v>
          </cell>
          <cell r="O389">
            <v>114.1044696259399</v>
          </cell>
        </row>
        <row r="390">
          <cell r="C390" t="str">
            <v>Pondicherry</v>
          </cell>
          <cell r="D390" t="str">
            <v>per MT glass produced</v>
          </cell>
          <cell r="F390">
            <v>97.826625080449546</v>
          </cell>
          <cell r="G390">
            <v>117.9038481397685</v>
          </cell>
          <cell r="H390">
            <v>202.48704843062558</v>
          </cell>
          <cell r="I390">
            <v>208.56165988354434</v>
          </cell>
          <cell r="J390">
            <v>214.81850968005068</v>
          </cell>
          <cell r="K390">
            <v>221.26306497045221</v>
          </cell>
          <cell r="L390">
            <v>227.90095691956577</v>
          </cell>
          <cell r="M390">
            <v>234.73798562715274</v>
          </cell>
          <cell r="N390">
            <v>241.78012519596732</v>
          </cell>
          <cell r="O390">
            <v>249.03352895184634</v>
          </cell>
        </row>
        <row r="391">
          <cell r="C391" t="str">
            <v>Nashik</v>
          </cell>
          <cell r="D391" t="str">
            <v>per MT glass produced</v>
          </cell>
          <cell r="F391">
            <v>204.5944498606286</v>
          </cell>
          <cell r="G391">
            <v>84.801025264090313</v>
          </cell>
          <cell r="H391">
            <v>58.326002492485891</v>
          </cell>
          <cell r="I391">
            <v>60.075782567260468</v>
          </cell>
          <cell r="J391">
            <v>61.878056044278281</v>
          </cell>
          <cell r="K391">
            <v>63.734397725606634</v>
          </cell>
          <cell r="L391">
            <v>65.646429657374838</v>
          </cell>
          <cell r="M391">
            <v>67.615822547096087</v>
          </cell>
          <cell r="N391">
            <v>69.644297223508971</v>
          </cell>
          <cell r="O391">
            <v>71.733626140214241</v>
          </cell>
        </row>
        <row r="392">
          <cell r="C392" t="str">
            <v>AP</v>
          </cell>
          <cell r="D392" t="str">
            <v>per MT glass produced</v>
          </cell>
          <cell r="F392">
            <v>0</v>
          </cell>
          <cell r="G392">
            <v>0</v>
          </cell>
          <cell r="H392">
            <v>0</v>
          </cell>
          <cell r="I392">
            <v>0</v>
          </cell>
          <cell r="J392">
            <v>0</v>
          </cell>
          <cell r="K392">
            <v>203.92999225547914</v>
          </cell>
          <cell r="L392">
            <v>210.0478920231435</v>
          </cell>
          <cell r="M392">
            <v>216.34932878383782</v>
          </cell>
          <cell r="N392">
            <v>222.83980864735295</v>
          </cell>
          <cell r="O392">
            <v>229.52500290677355</v>
          </cell>
        </row>
        <row r="393">
          <cell r="C393" t="str">
            <v>West_Furnace</v>
          </cell>
          <cell r="D393" t="str">
            <v>per MT glass produced</v>
          </cell>
          <cell r="F393">
            <v>0</v>
          </cell>
          <cell r="G393">
            <v>0</v>
          </cell>
          <cell r="H393">
            <v>0</v>
          </cell>
          <cell r="I393">
            <v>0</v>
          </cell>
          <cell r="J393">
            <v>0</v>
          </cell>
          <cell r="K393">
            <v>63.734397725606634</v>
          </cell>
          <cell r="L393">
            <v>65.646429657374838</v>
          </cell>
          <cell r="M393">
            <v>67.615822547096087</v>
          </cell>
          <cell r="N393">
            <v>69.644297223508971</v>
          </cell>
          <cell r="O393">
            <v>71.733626140214241</v>
          </cell>
        </row>
        <row r="394">
          <cell r="C394" t="str">
            <v>North_Furnace</v>
          </cell>
          <cell r="D394" t="str">
            <v>per MT glass produced</v>
          </cell>
          <cell r="F394">
            <v>0</v>
          </cell>
          <cell r="G394">
            <v>0</v>
          </cell>
          <cell r="H394">
            <v>0</v>
          </cell>
          <cell r="I394">
            <v>0</v>
          </cell>
          <cell r="J394">
            <v>0</v>
          </cell>
          <cell r="K394">
            <v>414.9628469952608</v>
          </cell>
          <cell r="L394">
            <v>427.41173240511864</v>
          </cell>
          <cell r="M394">
            <v>440.23408437727221</v>
          </cell>
          <cell r="N394">
            <v>453.44110690859037</v>
          </cell>
          <cell r="O394">
            <v>467.04434011584812</v>
          </cell>
        </row>
        <row r="587">
          <cell r="C587" t="str">
            <v>Rishra</v>
          </cell>
          <cell r="D587" t="str">
            <v>Rsm</v>
          </cell>
          <cell r="F587">
            <v>0</v>
          </cell>
          <cell r="G587">
            <v>0</v>
          </cell>
          <cell r="H587">
            <v>0</v>
          </cell>
          <cell r="I587">
            <v>0</v>
          </cell>
          <cell r="J587">
            <v>0</v>
          </cell>
          <cell r="K587">
            <v>0</v>
          </cell>
          <cell r="L587">
            <v>0</v>
          </cell>
          <cell r="M587">
            <v>0</v>
          </cell>
          <cell r="N587">
            <v>0</v>
          </cell>
          <cell r="O587">
            <v>0</v>
          </cell>
        </row>
        <row r="588">
          <cell r="C588" t="str">
            <v>Bahadurgarh</v>
          </cell>
          <cell r="D588" t="str">
            <v>Rsm</v>
          </cell>
          <cell r="F588">
            <v>0</v>
          </cell>
          <cell r="G588">
            <v>0</v>
          </cell>
          <cell r="H588">
            <v>0</v>
          </cell>
          <cell r="I588">
            <v>0</v>
          </cell>
          <cell r="J588">
            <v>0</v>
          </cell>
          <cell r="K588">
            <v>0</v>
          </cell>
          <cell r="L588">
            <v>0</v>
          </cell>
          <cell r="M588">
            <v>0</v>
          </cell>
          <cell r="N588">
            <v>0</v>
          </cell>
          <cell r="O588">
            <v>0</v>
          </cell>
        </row>
        <row r="589">
          <cell r="C589" t="str">
            <v>Neemrana</v>
          </cell>
          <cell r="D589" t="str">
            <v>Rsm</v>
          </cell>
          <cell r="F589">
            <v>0</v>
          </cell>
          <cell r="G589">
            <v>0</v>
          </cell>
          <cell r="H589">
            <v>0</v>
          </cell>
          <cell r="I589">
            <v>40</v>
          </cell>
          <cell r="J589">
            <v>80</v>
          </cell>
          <cell r="K589">
            <v>80</v>
          </cell>
          <cell r="L589">
            <v>80</v>
          </cell>
          <cell r="M589">
            <v>80</v>
          </cell>
          <cell r="N589">
            <v>80</v>
          </cell>
          <cell r="O589">
            <v>80</v>
          </cell>
        </row>
        <row r="590">
          <cell r="C590" t="str">
            <v>Rishikesh</v>
          </cell>
          <cell r="D590" t="str">
            <v>Rsm</v>
          </cell>
          <cell r="F590">
            <v>0</v>
          </cell>
          <cell r="G590">
            <v>0</v>
          </cell>
          <cell r="H590">
            <v>0</v>
          </cell>
          <cell r="I590">
            <v>0</v>
          </cell>
          <cell r="J590">
            <v>0</v>
          </cell>
          <cell r="K590">
            <v>0</v>
          </cell>
          <cell r="L590">
            <v>0</v>
          </cell>
          <cell r="M590">
            <v>0</v>
          </cell>
          <cell r="N590">
            <v>0</v>
          </cell>
          <cell r="O590">
            <v>0</v>
          </cell>
        </row>
        <row r="591">
          <cell r="C591" t="str">
            <v>Pondicherry</v>
          </cell>
          <cell r="D591" t="str">
            <v>Rsm</v>
          </cell>
          <cell r="F591">
            <v>0</v>
          </cell>
          <cell r="G591">
            <v>0</v>
          </cell>
          <cell r="H591">
            <v>0</v>
          </cell>
          <cell r="I591">
            <v>0</v>
          </cell>
          <cell r="J591">
            <v>0</v>
          </cell>
          <cell r="K591">
            <v>0</v>
          </cell>
          <cell r="L591">
            <v>0</v>
          </cell>
          <cell r="M591">
            <v>0</v>
          </cell>
          <cell r="N591">
            <v>0</v>
          </cell>
          <cell r="O591">
            <v>0</v>
          </cell>
        </row>
        <row r="592">
          <cell r="C592" t="str">
            <v>Nashik</v>
          </cell>
          <cell r="D592" t="str">
            <v>Rsm</v>
          </cell>
          <cell r="F592">
            <v>0</v>
          </cell>
          <cell r="G592">
            <v>0</v>
          </cell>
          <cell r="H592">
            <v>0</v>
          </cell>
          <cell r="I592">
            <v>0</v>
          </cell>
          <cell r="J592">
            <v>60</v>
          </cell>
          <cell r="K592">
            <v>80</v>
          </cell>
          <cell r="L592">
            <v>80</v>
          </cell>
          <cell r="M592">
            <v>80</v>
          </cell>
          <cell r="N592">
            <v>80</v>
          </cell>
          <cell r="O592">
            <v>80</v>
          </cell>
        </row>
        <row r="593">
          <cell r="C593" t="str">
            <v>AP</v>
          </cell>
          <cell r="D593" t="str">
            <v>Rsm</v>
          </cell>
          <cell r="F593">
            <v>0</v>
          </cell>
          <cell r="G593">
            <v>0</v>
          </cell>
          <cell r="H593">
            <v>0</v>
          </cell>
          <cell r="I593">
            <v>0</v>
          </cell>
          <cell r="J593">
            <v>0</v>
          </cell>
          <cell r="K593">
            <v>0</v>
          </cell>
          <cell r="L593">
            <v>0</v>
          </cell>
          <cell r="M593">
            <v>0</v>
          </cell>
          <cell r="N593">
            <v>0</v>
          </cell>
          <cell r="O593">
            <v>0</v>
          </cell>
        </row>
        <row r="594">
          <cell r="C594" t="str">
            <v>West_Furnace</v>
          </cell>
          <cell r="D594" t="str">
            <v>Rsm</v>
          </cell>
          <cell r="H594">
            <v>0</v>
          </cell>
          <cell r="I594">
            <v>0</v>
          </cell>
          <cell r="J594">
            <v>0</v>
          </cell>
          <cell r="K594">
            <v>0</v>
          </cell>
          <cell r="L594">
            <v>0</v>
          </cell>
          <cell r="M594">
            <v>0</v>
          </cell>
          <cell r="N594">
            <v>0</v>
          </cell>
          <cell r="O594">
            <v>0</v>
          </cell>
        </row>
        <row r="595">
          <cell r="C595" t="str">
            <v>North_Furnace</v>
          </cell>
          <cell r="D595" t="str">
            <v>Rsm</v>
          </cell>
          <cell r="F595">
            <v>0</v>
          </cell>
          <cell r="G595">
            <v>0</v>
          </cell>
          <cell r="H595">
            <v>0</v>
          </cell>
          <cell r="I595">
            <v>0</v>
          </cell>
          <cell r="J595">
            <v>0</v>
          </cell>
          <cell r="K595">
            <v>0</v>
          </cell>
          <cell r="L595">
            <v>0</v>
          </cell>
          <cell r="M595">
            <v>0</v>
          </cell>
          <cell r="N595">
            <v>0</v>
          </cell>
          <cell r="O595">
            <v>0</v>
          </cell>
        </row>
        <row r="692">
          <cell r="C692" t="str">
            <v xml:space="preserve">Land and Railway Sidings </v>
          </cell>
          <cell r="D692" t="str">
            <v>Rsm</v>
          </cell>
          <cell r="I692">
            <v>0</v>
          </cell>
          <cell r="J692">
            <v>0</v>
          </cell>
          <cell r="K692">
            <v>0</v>
          </cell>
          <cell r="L692">
            <v>0</v>
          </cell>
          <cell r="M692">
            <v>0</v>
          </cell>
          <cell r="N692">
            <v>0</v>
          </cell>
          <cell r="O692">
            <v>0</v>
          </cell>
        </row>
        <row r="693">
          <cell r="C693" t="str">
            <v xml:space="preserve">Buildings </v>
          </cell>
          <cell r="D693" t="str">
            <v>Rsm</v>
          </cell>
          <cell r="I693">
            <v>0</v>
          </cell>
          <cell r="J693">
            <v>0</v>
          </cell>
          <cell r="K693">
            <v>0</v>
          </cell>
          <cell r="L693">
            <v>0</v>
          </cell>
          <cell r="M693">
            <v>0</v>
          </cell>
          <cell r="N693">
            <v>0</v>
          </cell>
          <cell r="O693">
            <v>0</v>
          </cell>
        </row>
        <row r="694">
          <cell r="C694" t="str">
            <v>Plant and Machinery</v>
          </cell>
          <cell r="D694" t="str">
            <v>Rsm</v>
          </cell>
          <cell r="I694">
            <v>5</v>
          </cell>
          <cell r="J694">
            <v>5</v>
          </cell>
          <cell r="K694">
            <v>5</v>
          </cell>
          <cell r="L694">
            <v>5</v>
          </cell>
          <cell r="M694">
            <v>5</v>
          </cell>
          <cell r="N694">
            <v>5</v>
          </cell>
          <cell r="O694">
            <v>5</v>
          </cell>
        </row>
        <row r="695">
          <cell r="C695" t="str">
            <v>Furnitures and Fixtures</v>
          </cell>
          <cell r="D695" t="str">
            <v>Rsm</v>
          </cell>
          <cell r="I695">
            <v>1</v>
          </cell>
          <cell r="J695">
            <v>1</v>
          </cell>
          <cell r="K695">
            <v>1</v>
          </cell>
          <cell r="L695">
            <v>1</v>
          </cell>
          <cell r="M695">
            <v>1</v>
          </cell>
          <cell r="N695">
            <v>1</v>
          </cell>
          <cell r="O695">
            <v>1</v>
          </cell>
        </row>
        <row r="696">
          <cell r="C696" t="str">
            <v>Office and Other Equipment</v>
          </cell>
          <cell r="D696" t="str">
            <v>Rsm</v>
          </cell>
          <cell r="I696">
            <v>1</v>
          </cell>
          <cell r="J696">
            <v>1</v>
          </cell>
          <cell r="K696">
            <v>1</v>
          </cell>
          <cell r="L696">
            <v>1</v>
          </cell>
          <cell r="M696">
            <v>1</v>
          </cell>
          <cell r="N696">
            <v>1</v>
          </cell>
          <cell r="O696">
            <v>1</v>
          </cell>
        </row>
        <row r="697">
          <cell r="C697" t="str">
            <v>Vehicles</v>
          </cell>
          <cell r="D697" t="str">
            <v>Rsm</v>
          </cell>
          <cell r="I697">
            <v>0</v>
          </cell>
          <cell r="J697">
            <v>0</v>
          </cell>
          <cell r="K697">
            <v>0</v>
          </cell>
          <cell r="L697">
            <v>0</v>
          </cell>
          <cell r="M697">
            <v>0</v>
          </cell>
          <cell r="N697">
            <v>0</v>
          </cell>
          <cell r="O697">
            <v>0</v>
          </cell>
        </row>
        <row r="698">
          <cell r="C698" t="str">
            <v>Total</v>
          </cell>
          <cell r="D698" t="str">
            <v>Rsm</v>
          </cell>
          <cell r="I698">
            <v>7</v>
          </cell>
          <cell r="J698">
            <v>7</v>
          </cell>
          <cell r="K698">
            <v>7</v>
          </cell>
          <cell r="L698">
            <v>7</v>
          </cell>
          <cell r="M698">
            <v>7</v>
          </cell>
          <cell r="N698">
            <v>7</v>
          </cell>
          <cell r="O698">
            <v>7</v>
          </cell>
        </row>
        <row r="776">
          <cell r="C776" t="str">
            <v xml:space="preserve">Land and Railway Sidings </v>
          </cell>
          <cell r="D776" t="str">
            <v>%</v>
          </cell>
          <cell r="F776">
            <v>0</v>
          </cell>
        </row>
        <row r="777">
          <cell r="C777" t="str">
            <v xml:space="preserve">Buildings </v>
          </cell>
          <cell r="D777" t="str">
            <v>%</v>
          </cell>
          <cell r="F777">
            <v>3.3399999999999999E-2</v>
          </cell>
        </row>
        <row r="778">
          <cell r="C778" t="str">
            <v>Plant and Machinery</v>
          </cell>
          <cell r="D778" t="str">
            <v>%</v>
          </cell>
          <cell r="F778">
            <v>0.105</v>
          </cell>
        </row>
        <row r="779">
          <cell r="C779" t="str">
            <v>Furnitures and Fixtures</v>
          </cell>
          <cell r="D779" t="str">
            <v>%</v>
          </cell>
          <cell r="F779">
            <v>0.1</v>
          </cell>
        </row>
        <row r="780">
          <cell r="C780" t="str">
            <v>Office and Other Equipment</v>
          </cell>
          <cell r="D780" t="str">
            <v>%</v>
          </cell>
          <cell r="F780">
            <v>0.1</v>
          </cell>
        </row>
        <row r="781">
          <cell r="C781" t="str">
            <v>Vehicles</v>
          </cell>
          <cell r="D781" t="str">
            <v>%</v>
          </cell>
          <cell r="F781">
            <v>0.1</v>
          </cell>
        </row>
        <row r="784">
          <cell r="F784">
            <v>0.95</v>
          </cell>
        </row>
        <row r="787">
          <cell r="C787" t="str">
            <v>Buildings - 5%</v>
          </cell>
          <cell r="D787" t="str">
            <v>%</v>
          </cell>
          <cell r="F787">
            <v>0.05</v>
          </cell>
        </row>
        <row r="788">
          <cell r="C788" t="str">
            <v>Buildings - 10%</v>
          </cell>
          <cell r="D788" t="str">
            <v>%</v>
          </cell>
          <cell r="F788">
            <v>0.1</v>
          </cell>
        </row>
        <row r="789">
          <cell r="C789" t="str">
            <v>Plant and Machinery - Melting Furnace</v>
          </cell>
          <cell r="D789" t="str">
            <v>%</v>
          </cell>
          <cell r="F789">
            <v>0.6</v>
          </cell>
        </row>
        <row r="790">
          <cell r="C790" t="str">
            <v>Plant and Machinery - Others</v>
          </cell>
          <cell r="D790" t="str">
            <v>%</v>
          </cell>
          <cell r="F790">
            <v>0.15</v>
          </cell>
        </row>
        <row r="791">
          <cell r="C791" t="str">
            <v>Furnitures and Fixtures</v>
          </cell>
          <cell r="D791" t="str">
            <v>%</v>
          </cell>
          <cell r="F791">
            <v>0.1</v>
          </cell>
        </row>
        <row r="792">
          <cell r="C792" t="str">
            <v>Office and Other Equipment</v>
          </cell>
          <cell r="D792" t="str">
            <v>%</v>
          </cell>
          <cell r="F792">
            <v>0.15</v>
          </cell>
        </row>
        <row r="793">
          <cell r="C793" t="str">
            <v>Vehicles - Class A</v>
          </cell>
          <cell r="D793" t="str">
            <v>%</v>
          </cell>
          <cell r="F793">
            <v>0.15</v>
          </cell>
        </row>
        <row r="794">
          <cell r="C794" t="str">
            <v>Vehicles - Class B</v>
          </cell>
          <cell r="D794" t="str">
            <v>%</v>
          </cell>
          <cell r="F794">
            <v>0.5</v>
          </cell>
        </row>
        <row r="795">
          <cell r="C795" t="str">
            <v>Vehicles - Class C</v>
          </cell>
          <cell r="D795" t="str">
            <v>%</v>
          </cell>
          <cell r="F795">
            <v>0.3</v>
          </cell>
        </row>
        <row r="796">
          <cell r="C796" t="str">
            <v>Others (Energy Saving Device)</v>
          </cell>
          <cell r="D796" t="str">
            <v>%</v>
          </cell>
          <cell r="F796">
            <v>0.8</v>
          </cell>
        </row>
        <row r="799">
          <cell r="F799">
            <v>0.2</v>
          </cell>
        </row>
        <row r="803">
          <cell r="C803" t="str">
            <v>Tax Rate Applicable</v>
          </cell>
          <cell r="D803" t="str">
            <v>%</v>
          </cell>
          <cell r="F803">
            <v>0.33989999999999998</v>
          </cell>
          <cell r="G803">
            <v>0.33989999999999998</v>
          </cell>
          <cell r="H803">
            <v>0.33989999999999998</v>
          </cell>
          <cell r="I803">
            <v>0.332175</v>
          </cell>
          <cell r="J803">
            <v>0.332175</v>
          </cell>
          <cell r="K803">
            <v>0.332175</v>
          </cell>
          <cell r="L803">
            <v>0.332175</v>
          </cell>
          <cell r="M803">
            <v>0.332175</v>
          </cell>
          <cell r="N803">
            <v>0.332175</v>
          </cell>
          <cell r="O803">
            <v>0.332175</v>
          </cell>
        </row>
        <row r="816">
          <cell r="C816" t="str">
            <v>Raw Material Inventory</v>
          </cell>
          <cell r="D816" t="str">
            <v>days</v>
          </cell>
          <cell r="F816">
            <v>32.188098851415418</v>
          </cell>
          <cell r="G816">
            <v>40.746597223847516</v>
          </cell>
          <cell r="H816">
            <v>34.686732627452407</v>
          </cell>
          <cell r="I816">
            <v>30</v>
          </cell>
          <cell r="J816">
            <v>30</v>
          </cell>
          <cell r="K816">
            <v>30</v>
          </cell>
          <cell r="L816">
            <v>30</v>
          </cell>
          <cell r="M816">
            <v>30</v>
          </cell>
          <cell r="N816">
            <v>30</v>
          </cell>
          <cell r="O816">
            <v>30</v>
          </cell>
        </row>
        <row r="817">
          <cell r="C817" t="str">
            <v>Packing Material Inventory</v>
          </cell>
          <cell r="D817" t="str">
            <v>days</v>
          </cell>
          <cell r="F817">
            <v>20.060640166615833</v>
          </cell>
          <cell r="G817">
            <v>25.621559527437189</v>
          </cell>
          <cell r="H817">
            <v>33.012798479654975</v>
          </cell>
          <cell r="I817">
            <v>30</v>
          </cell>
          <cell r="J817">
            <v>30</v>
          </cell>
          <cell r="K817">
            <v>30</v>
          </cell>
          <cell r="L817">
            <v>30</v>
          </cell>
          <cell r="M817">
            <v>30</v>
          </cell>
          <cell r="N817">
            <v>30</v>
          </cell>
          <cell r="O817">
            <v>30</v>
          </cell>
        </row>
        <row r="818">
          <cell r="C818" t="str">
            <v>Stores &amp; Spares Inventory</v>
          </cell>
          <cell r="D818" t="str">
            <v>days</v>
          </cell>
          <cell r="F818">
            <v>451.21142623331673</v>
          </cell>
          <cell r="G818">
            <v>433.06659404037168</v>
          </cell>
          <cell r="H818">
            <v>459.66922445082531</v>
          </cell>
          <cell r="I818">
            <v>365</v>
          </cell>
          <cell r="J818">
            <v>365</v>
          </cell>
          <cell r="K818">
            <v>365</v>
          </cell>
          <cell r="L818">
            <v>365</v>
          </cell>
          <cell r="M818">
            <v>365</v>
          </cell>
          <cell r="N818">
            <v>365</v>
          </cell>
          <cell r="O818">
            <v>365</v>
          </cell>
        </row>
        <row r="819">
          <cell r="C819" t="str">
            <v>WIP Inventory</v>
          </cell>
          <cell r="D819" t="str">
            <v>days</v>
          </cell>
          <cell r="F819">
            <v>2.6135946342335816</v>
          </cell>
          <cell r="G819">
            <v>1.4482101296744461</v>
          </cell>
          <cell r="H819">
            <v>1.8449084082660057</v>
          </cell>
          <cell r="I819">
            <v>2</v>
          </cell>
          <cell r="J819">
            <v>2</v>
          </cell>
          <cell r="K819">
            <v>2</v>
          </cell>
          <cell r="L819">
            <v>2</v>
          </cell>
          <cell r="M819">
            <v>2</v>
          </cell>
          <cell r="N819">
            <v>2</v>
          </cell>
          <cell r="O819">
            <v>2</v>
          </cell>
        </row>
        <row r="820">
          <cell r="C820" t="str">
            <v>Finished Goods Inventory</v>
          </cell>
          <cell r="D820" t="str">
            <v>days</v>
          </cell>
          <cell r="F820">
            <v>23.390105574672493</v>
          </cell>
          <cell r="G820">
            <v>22.241601570892648</v>
          </cell>
          <cell r="H820">
            <v>23.013173309563221</v>
          </cell>
          <cell r="I820">
            <v>15</v>
          </cell>
          <cell r="J820">
            <v>15</v>
          </cell>
          <cell r="K820">
            <v>15</v>
          </cell>
          <cell r="L820">
            <v>15</v>
          </cell>
          <cell r="M820">
            <v>15</v>
          </cell>
          <cell r="N820">
            <v>15</v>
          </cell>
          <cell r="O820">
            <v>15</v>
          </cell>
        </row>
        <row r="822">
          <cell r="C822" t="str">
            <v>Sundry Debtors</v>
          </cell>
          <cell r="D822" t="str">
            <v>days</v>
          </cell>
          <cell r="F822">
            <v>57.983797857038653</v>
          </cell>
          <cell r="G822">
            <v>63.248234716397533</v>
          </cell>
          <cell r="H822">
            <v>59.074369247523812</v>
          </cell>
          <cell r="I822">
            <v>50</v>
          </cell>
          <cell r="J822">
            <v>50</v>
          </cell>
          <cell r="K822">
            <v>50</v>
          </cell>
          <cell r="L822">
            <v>50</v>
          </cell>
          <cell r="M822">
            <v>50</v>
          </cell>
          <cell r="N822">
            <v>50</v>
          </cell>
          <cell r="O822">
            <v>50</v>
          </cell>
        </row>
        <row r="825">
          <cell r="C825" t="str">
            <v>Sundry Creditors</v>
          </cell>
          <cell r="D825" t="str">
            <v>days</v>
          </cell>
          <cell r="F825">
            <v>117.56020326853634</v>
          </cell>
          <cell r="G825">
            <v>101.3523969228909</v>
          </cell>
          <cell r="H825">
            <v>101.00878391694968</v>
          </cell>
          <cell r="I825">
            <v>45</v>
          </cell>
          <cell r="J825">
            <v>45</v>
          </cell>
          <cell r="K825">
            <v>45</v>
          </cell>
          <cell r="L825">
            <v>45</v>
          </cell>
          <cell r="M825">
            <v>45</v>
          </cell>
          <cell r="N825">
            <v>45</v>
          </cell>
          <cell r="O825">
            <v>45</v>
          </cell>
        </row>
        <row r="829">
          <cell r="C829" t="str">
            <v>Rishra</v>
          </cell>
          <cell r="D829" t="str">
            <v>days</v>
          </cell>
          <cell r="F829">
            <v>22.378594891587753</v>
          </cell>
          <cell r="G829">
            <v>40.404581295071686</v>
          </cell>
          <cell r="H829">
            <v>24.373703857320617</v>
          </cell>
          <cell r="I829">
            <v>30</v>
          </cell>
          <cell r="J829">
            <v>30</v>
          </cell>
          <cell r="K829">
            <v>30</v>
          </cell>
          <cell r="L829">
            <v>30</v>
          </cell>
          <cell r="M829">
            <v>30</v>
          </cell>
          <cell r="N829">
            <v>30</v>
          </cell>
          <cell r="O829">
            <v>30</v>
          </cell>
        </row>
        <row r="830">
          <cell r="C830" t="str">
            <v>Bahadurgarh</v>
          </cell>
          <cell r="D830" t="str">
            <v>days</v>
          </cell>
          <cell r="F830">
            <v>23.355859561564071</v>
          </cell>
          <cell r="G830">
            <v>32.93920864044415</v>
          </cell>
          <cell r="H830">
            <v>34.172320217096335</v>
          </cell>
          <cell r="I830">
            <v>30</v>
          </cell>
          <cell r="J830">
            <v>30</v>
          </cell>
          <cell r="K830">
            <v>30</v>
          </cell>
          <cell r="L830">
            <v>30</v>
          </cell>
          <cell r="M830">
            <v>30</v>
          </cell>
          <cell r="N830">
            <v>30</v>
          </cell>
          <cell r="O830">
            <v>30</v>
          </cell>
        </row>
        <row r="831">
          <cell r="C831" t="str">
            <v>Neemrana</v>
          </cell>
          <cell r="D831" t="str">
            <v>days</v>
          </cell>
          <cell r="F831">
            <v>11.1864649112356</v>
          </cell>
          <cell r="G831">
            <v>52.48024500341122</v>
          </cell>
          <cell r="H831">
            <v>44.443323242515973</v>
          </cell>
          <cell r="I831">
            <v>30</v>
          </cell>
          <cell r="J831">
            <v>30</v>
          </cell>
          <cell r="K831">
            <v>30</v>
          </cell>
          <cell r="L831">
            <v>30</v>
          </cell>
          <cell r="M831">
            <v>30</v>
          </cell>
          <cell r="N831">
            <v>30</v>
          </cell>
          <cell r="O831">
            <v>30</v>
          </cell>
        </row>
        <row r="832">
          <cell r="C832" t="str">
            <v>Rishikesh</v>
          </cell>
          <cell r="D832" t="str">
            <v>days</v>
          </cell>
          <cell r="F832">
            <v>22.657579249307418</v>
          </cell>
          <cell r="G832">
            <v>42.997021437261409</v>
          </cell>
          <cell r="H832">
            <v>46.264867743653475</v>
          </cell>
          <cell r="I832">
            <v>30</v>
          </cell>
          <cell r="J832">
            <v>30</v>
          </cell>
          <cell r="K832">
            <v>30</v>
          </cell>
          <cell r="L832">
            <v>30</v>
          </cell>
          <cell r="M832">
            <v>30</v>
          </cell>
          <cell r="N832">
            <v>30</v>
          </cell>
          <cell r="O832">
            <v>30</v>
          </cell>
        </row>
        <row r="833">
          <cell r="C833" t="str">
            <v>Pondicherry</v>
          </cell>
          <cell r="D833" t="str">
            <v>days</v>
          </cell>
          <cell r="F833">
            <v>37.486694766221831</v>
          </cell>
          <cell r="G833">
            <v>73.116959053079626</v>
          </cell>
          <cell r="H833">
            <v>56.35823754789272</v>
          </cell>
          <cell r="I833">
            <v>30</v>
          </cell>
          <cell r="J833">
            <v>30</v>
          </cell>
          <cell r="K833">
            <v>30</v>
          </cell>
          <cell r="L833">
            <v>30</v>
          </cell>
          <cell r="M833">
            <v>30</v>
          </cell>
          <cell r="N833">
            <v>30</v>
          </cell>
          <cell r="O833">
            <v>30</v>
          </cell>
        </row>
        <row r="834">
          <cell r="C834" t="str">
            <v>Nashik</v>
          </cell>
          <cell r="D834" t="str">
            <v>days</v>
          </cell>
          <cell r="F834">
            <v>70.947219395655438</v>
          </cell>
          <cell r="G834">
            <v>16.274633286039524</v>
          </cell>
          <cell r="H834">
            <v>15.567762186115216</v>
          </cell>
          <cell r="I834">
            <v>30</v>
          </cell>
          <cell r="J834">
            <v>30</v>
          </cell>
          <cell r="K834">
            <v>30</v>
          </cell>
          <cell r="L834">
            <v>30</v>
          </cell>
          <cell r="M834">
            <v>30</v>
          </cell>
          <cell r="N834">
            <v>30</v>
          </cell>
          <cell r="O834">
            <v>30</v>
          </cell>
        </row>
        <row r="835">
          <cell r="C835" t="str">
            <v>Nashik_Cosmetic</v>
          </cell>
          <cell r="D835" t="str">
            <v>days</v>
          </cell>
          <cell r="F835">
            <v>0</v>
          </cell>
          <cell r="G835">
            <v>0</v>
          </cell>
          <cell r="H835">
            <v>0</v>
          </cell>
          <cell r="I835">
            <v>0</v>
          </cell>
          <cell r="J835">
            <v>30</v>
          </cell>
          <cell r="K835">
            <v>30</v>
          </cell>
          <cell r="L835">
            <v>30</v>
          </cell>
          <cell r="M835">
            <v>30</v>
          </cell>
          <cell r="N835">
            <v>30</v>
          </cell>
          <cell r="O835">
            <v>30</v>
          </cell>
        </row>
        <row r="836">
          <cell r="C836" t="str">
            <v>AP</v>
          </cell>
          <cell r="D836" t="str">
            <v>days</v>
          </cell>
          <cell r="F836">
            <v>0</v>
          </cell>
          <cell r="G836">
            <v>0</v>
          </cell>
          <cell r="H836">
            <v>0</v>
          </cell>
          <cell r="I836">
            <v>0</v>
          </cell>
          <cell r="J836">
            <v>0</v>
          </cell>
          <cell r="K836">
            <v>30</v>
          </cell>
          <cell r="L836">
            <v>30</v>
          </cell>
          <cell r="M836">
            <v>30</v>
          </cell>
          <cell r="N836">
            <v>30</v>
          </cell>
          <cell r="O836">
            <v>30</v>
          </cell>
        </row>
        <row r="837">
          <cell r="C837" t="str">
            <v>West_Furnace</v>
          </cell>
          <cell r="D837" t="str">
            <v>days</v>
          </cell>
          <cell r="F837">
            <v>0</v>
          </cell>
          <cell r="G837">
            <v>0</v>
          </cell>
          <cell r="H837">
            <v>0</v>
          </cell>
          <cell r="I837">
            <v>0</v>
          </cell>
          <cell r="J837">
            <v>0</v>
          </cell>
          <cell r="K837">
            <v>30</v>
          </cell>
          <cell r="L837">
            <v>30</v>
          </cell>
          <cell r="M837">
            <v>30</v>
          </cell>
          <cell r="N837">
            <v>30</v>
          </cell>
          <cell r="O837">
            <v>30</v>
          </cell>
        </row>
        <row r="838">
          <cell r="C838" t="str">
            <v>North_Furnace</v>
          </cell>
          <cell r="D838" t="str">
            <v>days</v>
          </cell>
          <cell r="F838">
            <v>0</v>
          </cell>
          <cell r="G838">
            <v>0</v>
          </cell>
          <cell r="H838">
            <v>0</v>
          </cell>
          <cell r="I838">
            <v>0</v>
          </cell>
          <cell r="J838">
            <v>0</v>
          </cell>
          <cell r="K838">
            <v>0</v>
          </cell>
          <cell r="L838">
            <v>30</v>
          </cell>
          <cell r="M838">
            <v>30</v>
          </cell>
          <cell r="N838">
            <v>30</v>
          </cell>
          <cell r="O838">
            <v>30</v>
          </cell>
        </row>
        <row r="841">
          <cell r="C841" t="str">
            <v>Rishra</v>
          </cell>
          <cell r="D841" t="str">
            <v>days</v>
          </cell>
          <cell r="F841">
            <v>18.494067558237656</v>
          </cell>
          <cell r="G841">
            <v>26.185807207077147</v>
          </cell>
          <cell r="H841">
            <v>33.504472967716843</v>
          </cell>
          <cell r="I841">
            <v>30</v>
          </cell>
          <cell r="J841">
            <v>30</v>
          </cell>
          <cell r="K841">
            <v>30</v>
          </cell>
          <cell r="L841">
            <v>30</v>
          </cell>
          <cell r="M841">
            <v>30</v>
          </cell>
          <cell r="N841">
            <v>30</v>
          </cell>
          <cell r="O841">
            <v>30</v>
          </cell>
        </row>
        <row r="842">
          <cell r="C842" t="str">
            <v>Bahadurgarh</v>
          </cell>
          <cell r="D842" t="str">
            <v>days</v>
          </cell>
          <cell r="F842">
            <v>23.515411230519092</v>
          </cell>
          <cell r="G842">
            <v>42.690401879082337</v>
          </cell>
          <cell r="H842">
            <v>65.166191832858516</v>
          </cell>
          <cell r="I842">
            <v>30</v>
          </cell>
          <cell r="J842">
            <v>30</v>
          </cell>
          <cell r="K842">
            <v>30</v>
          </cell>
          <cell r="L842">
            <v>30</v>
          </cell>
          <cell r="M842">
            <v>30</v>
          </cell>
          <cell r="N842">
            <v>30</v>
          </cell>
          <cell r="O842">
            <v>30</v>
          </cell>
        </row>
        <row r="843">
          <cell r="C843" t="str">
            <v>Neemrana</v>
          </cell>
          <cell r="D843" t="str">
            <v>days</v>
          </cell>
          <cell r="F843">
            <v>0</v>
          </cell>
          <cell r="G843">
            <v>38.501470124088442</v>
          </cell>
          <cell r="H843">
            <v>23.7012987012987</v>
          </cell>
          <cell r="I843">
            <v>30</v>
          </cell>
          <cell r="J843">
            <v>30</v>
          </cell>
          <cell r="K843">
            <v>30</v>
          </cell>
          <cell r="L843">
            <v>30</v>
          </cell>
          <cell r="M843">
            <v>30</v>
          </cell>
          <cell r="N843">
            <v>30</v>
          </cell>
          <cell r="O843">
            <v>30</v>
          </cell>
        </row>
        <row r="844">
          <cell r="C844" t="str">
            <v>Rishikesh</v>
          </cell>
          <cell r="D844" t="str">
            <v>days</v>
          </cell>
          <cell r="F844">
            <v>28.617451924454759</v>
          </cell>
          <cell r="G844">
            <v>16.140447851765511</v>
          </cell>
          <cell r="H844">
            <v>23.846666666666671</v>
          </cell>
          <cell r="I844">
            <v>30</v>
          </cell>
          <cell r="J844">
            <v>30</v>
          </cell>
          <cell r="K844">
            <v>30</v>
          </cell>
          <cell r="L844">
            <v>30</v>
          </cell>
          <cell r="M844">
            <v>30</v>
          </cell>
          <cell r="N844">
            <v>30</v>
          </cell>
          <cell r="O844">
            <v>30</v>
          </cell>
        </row>
        <row r="845">
          <cell r="C845" t="str">
            <v>Pondicherry</v>
          </cell>
          <cell r="D845" t="str">
            <v>days</v>
          </cell>
          <cell r="F845">
            <v>10.84760539367638</v>
          </cell>
          <cell r="G845">
            <v>15.654104034644773</v>
          </cell>
          <cell r="H845">
            <v>16.841906202723148</v>
          </cell>
          <cell r="I845">
            <v>30</v>
          </cell>
          <cell r="J845">
            <v>30</v>
          </cell>
          <cell r="K845">
            <v>30</v>
          </cell>
          <cell r="L845">
            <v>30</v>
          </cell>
          <cell r="M845">
            <v>30</v>
          </cell>
          <cell r="N845">
            <v>30</v>
          </cell>
          <cell r="O845">
            <v>30</v>
          </cell>
        </row>
        <row r="846">
          <cell r="C846" t="str">
            <v>Nashik</v>
          </cell>
          <cell r="D846" t="str">
            <v>days</v>
          </cell>
          <cell r="F846">
            <v>12.087429166184807</v>
          </cell>
          <cell r="G846">
            <v>15.443970889172682</v>
          </cell>
          <cell r="H846">
            <v>13.054363376251787</v>
          </cell>
          <cell r="I846">
            <v>30</v>
          </cell>
          <cell r="J846">
            <v>30</v>
          </cell>
          <cell r="K846">
            <v>30</v>
          </cell>
          <cell r="L846">
            <v>30</v>
          </cell>
          <cell r="M846">
            <v>30</v>
          </cell>
          <cell r="N846">
            <v>30</v>
          </cell>
          <cell r="O846">
            <v>30</v>
          </cell>
        </row>
        <row r="847">
          <cell r="C847" t="str">
            <v>Nashik_Cosmetic</v>
          </cell>
          <cell r="D847" t="str">
            <v>days</v>
          </cell>
          <cell r="F847">
            <v>0</v>
          </cell>
          <cell r="G847">
            <v>0</v>
          </cell>
          <cell r="H847">
            <v>0</v>
          </cell>
          <cell r="I847">
            <v>0</v>
          </cell>
          <cell r="J847">
            <v>30</v>
          </cell>
          <cell r="K847">
            <v>30</v>
          </cell>
          <cell r="L847">
            <v>30</v>
          </cell>
          <cell r="M847">
            <v>30</v>
          </cell>
          <cell r="N847">
            <v>30</v>
          </cell>
          <cell r="O847">
            <v>30</v>
          </cell>
        </row>
        <row r="848">
          <cell r="C848" t="str">
            <v>AP</v>
          </cell>
          <cell r="D848" t="str">
            <v>days</v>
          </cell>
          <cell r="F848">
            <v>0</v>
          </cell>
          <cell r="G848">
            <v>0</v>
          </cell>
          <cell r="H848">
            <v>0</v>
          </cell>
          <cell r="I848">
            <v>0</v>
          </cell>
          <cell r="J848">
            <v>0</v>
          </cell>
          <cell r="K848">
            <v>30</v>
          </cell>
          <cell r="L848">
            <v>30</v>
          </cell>
          <cell r="M848">
            <v>30</v>
          </cell>
          <cell r="N848">
            <v>30</v>
          </cell>
          <cell r="O848">
            <v>30</v>
          </cell>
        </row>
        <row r="849">
          <cell r="C849" t="str">
            <v>West_Furnace</v>
          </cell>
          <cell r="D849" t="str">
            <v>days</v>
          </cell>
          <cell r="F849">
            <v>0</v>
          </cell>
          <cell r="G849">
            <v>0</v>
          </cell>
          <cell r="H849">
            <v>0</v>
          </cell>
          <cell r="I849">
            <v>0</v>
          </cell>
          <cell r="J849">
            <v>0</v>
          </cell>
          <cell r="K849">
            <v>30</v>
          </cell>
          <cell r="L849">
            <v>30</v>
          </cell>
          <cell r="M849">
            <v>30</v>
          </cell>
          <cell r="N849">
            <v>30</v>
          </cell>
          <cell r="O849">
            <v>30</v>
          </cell>
        </row>
        <row r="850">
          <cell r="C850" t="str">
            <v>North_Furnace</v>
          </cell>
          <cell r="D850" t="str">
            <v>days</v>
          </cell>
          <cell r="F850">
            <v>0</v>
          </cell>
          <cell r="G850">
            <v>0</v>
          </cell>
          <cell r="H850">
            <v>0</v>
          </cell>
          <cell r="I850">
            <v>0</v>
          </cell>
          <cell r="J850">
            <v>0</v>
          </cell>
          <cell r="K850">
            <v>0</v>
          </cell>
          <cell r="L850">
            <v>30</v>
          </cell>
          <cell r="M850">
            <v>30</v>
          </cell>
          <cell r="N850">
            <v>30</v>
          </cell>
          <cell r="O850">
            <v>30</v>
          </cell>
        </row>
        <row r="854">
          <cell r="C854" t="str">
            <v>Rishra</v>
          </cell>
          <cell r="D854" t="str">
            <v>days</v>
          </cell>
          <cell r="F854">
            <v>308.17428525060188</v>
          </cell>
          <cell r="G854">
            <v>407.26310277799695</v>
          </cell>
          <cell r="H854">
            <v>338.43811881188122</v>
          </cell>
          <cell r="I854">
            <v>365</v>
          </cell>
          <cell r="J854">
            <v>365</v>
          </cell>
          <cell r="K854">
            <v>365</v>
          </cell>
          <cell r="L854">
            <v>365</v>
          </cell>
          <cell r="M854">
            <v>365</v>
          </cell>
          <cell r="N854">
            <v>365</v>
          </cell>
          <cell r="O854">
            <v>365</v>
          </cell>
        </row>
        <row r="855">
          <cell r="C855" t="str">
            <v>Bahadurgarh</v>
          </cell>
          <cell r="D855" t="str">
            <v>days</v>
          </cell>
          <cell r="F855">
            <v>462.54910197054119</v>
          </cell>
          <cell r="G855">
            <v>277.52226252869013</v>
          </cell>
          <cell r="H855">
            <v>585.02251125562771</v>
          </cell>
          <cell r="I855">
            <v>365</v>
          </cell>
          <cell r="J855">
            <v>365</v>
          </cell>
          <cell r="K855">
            <v>365</v>
          </cell>
          <cell r="L855">
            <v>365</v>
          </cell>
          <cell r="M855">
            <v>365</v>
          </cell>
          <cell r="N855">
            <v>365</v>
          </cell>
          <cell r="O855">
            <v>365</v>
          </cell>
        </row>
        <row r="856">
          <cell r="C856" t="str">
            <v>Neemrana</v>
          </cell>
          <cell r="D856" t="str">
            <v>days</v>
          </cell>
          <cell r="F856">
            <v>229.42241379310346</v>
          </cell>
          <cell r="G856">
            <v>529.33524973050669</v>
          </cell>
          <cell r="H856">
            <v>383.77142857142854</v>
          </cell>
          <cell r="I856">
            <v>365</v>
          </cell>
          <cell r="J856">
            <v>365</v>
          </cell>
          <cell r="K856">
            <v>365</v>
          </cell>
          <cell r="L856">
            <v>365</v>
          </cell>
          <cell r="M856">
            <v>365</v>
          </cell>
          <cell r="N856">
            <v>365</v>
          </cell>
          <cell r="O856">
            <v>365</v>
          </cell>
        </row>
        <row r="857">
          <cell r="C857" t="str">
            <v>Rishikesh</v>
          </cell>
          <cell r="D857" t="str">
            <v>days</v>
          </cell>
          <cell r="F857">
            <v>1088.4417331492875</v>
          </cell>
          <cell r="G857">
            <v>572.63624572310312</v>
          </cell>
          <cell r="H857">
            <v>444.0899241603467</v>
          </cell>
          <cell r="I857">
            <v>365</v>
          </cell>
          <cell r="J857">
            <v>365</v>
          </cell>
          <cell r="K857">
            <v>365</v>
          </cell>
          <cell r="L857">
            <v>365</v>
          </cell>
          <cell r="M857">
            <v>365</v>
          </cell>
          <cell r="N857">
            <v>365</v>
          </cell>
          <cell r="O857">
            <v>365</v>
          </cell>
        </row>
        <row r="858">
          <cell r="C858" t="str">
            <v>Pondicherry</v>
          </cell>
          <cell r="D858" t="str">
            <v>days</v>
          </cell>
          <cell r="F858">
            <v>761.37485130193409</v>
          </cell>
          <cell r="G858">
            <v>1185.0695114887044</v>
          </cell>
          <cell r="H858">
            <v>501.35057471264372</v>
          </cell>
          <cell r="I858">
            <v>365</v>
          </cell>
          <cell r="J858">
            <v>365</v>
          </cell>
          <cell r="K858">
            <v>365</v>
          </cell>
          <cell r="L858">
            <v>365</v>
          </cell>
          <cell r="M858">
            <v>365</v>
          </cell>
          <cell r="N858">
            <v>365</v>
          </cell>
          <cell r="O858">
            <v>365</v>
          </cell>
        </row>
        <row r="859">
          <cell r="C859" t="str">
            <v>Nashik</v>
          </cell>
          <cell r="D859" t="str">
            <v>days</v>
          </cell>
          <cell r="F859">
            <v>128.64440020206223</v>
          </cell>
          <cell r="G859">
            <v>338.4113199071648</v>
          </cell>
          <cell r="H859">
            <v>434.18300653594764</v>
          </cell>
          <cell r="I859">
            <v>365</v>
          </cell>
          <cell r="J859">
            <v>365</v>
          </cell>
          <cell r="K859">
            <v>365</v>
          </cell>
          <cell r="L859">
            <v>365</v>
          </cell>
          <cell r="M859">
            <v>365</v>
          </cell>
          <cell r="N859">
            <v>365</v>
          </cell>
          <cell r="O859">
            <v>365</v>
          </cell>
        </row>
        <row r="860">
          <cell r="C860" t="str">
            <v>Nashik_Cosmetic</v>
          </cell>
          <cell r="D860" t="str">
            <v>days</v>
          </cell>
          <cell r="F860">
            <v>0</v>
          </cell>
          <cell r="G860">
            <v>0</v>
          </cell>
          <cell r="H860">
            <v>0</v>
          </cell>
          <cell r="I860">
            <v>0</v>
          </cell>
          <cell r="J860">
            <v>365</v>
          </cell>
          <cell r="K860">
            <v>365</v>
          </cell>
          <cell r="L860">
            <v>365</v>
          </cell>
          <cell r="M860">
            <v>365</v>
          </cell>
          <cell r="N860">
            <v>365</v>
          </cell>
          <cell r="O860">
            <v>365</v>
          </cell>
        </row>
        <row r="861">
          <cell r="C861" t="str">
            <v>AP</v>
          </cell>
          <cell r="D861" t="str">
            <v>days</v>
          </cell>
          <cell r="F861">
            <v>0</v>
          </cell>
          <cell r="G861">
            <v>0</v>
          </cell>
          <cell r="H861">
            <v>0</v>
          </cell>
          <cell r="I861">
            <v>0</v>
          </cell>
          <cell r="J861">
            <v>0</v>
          </cell>
          <cell r="K861">
            <v>365</v>
          </cell>
          <cell r="L861">
            <v>365</v>
          </cell>
          <cell r="M861">
            <v>365</v>
          </cell>
          <cell r="N861">
            <v>365</v>
          </cell>
          <cell r="O861">
            <v>365</v>
          </cell>
        </row>
        <row r="862">
          <cell r="C862" t="str">
            <v>West_Furnace</v>
          </cell>
          <cell r="D862" t="str">
            <v>days</v>
          </cell>
          <cell r="F862">
            <v>0</v>
          </cell>
          <cell r="G862">
            <v>0</v>
          </cell>
          <cell r="H862">
            <v>0</v>
          </cell>
          <cell r="I862">
            <v>0</v>
          </cell>
          <cell r="J862">
            <v>0</v>
          </cell>
          <cell r="K862">
            <v>365</v>
          </cell>
          <cell r="L862">
            <v>365</v>
          </cell>
          <cell r="M862">
            <v>365</v>
          </cell>
          <cell r="N862">
            <v>365</v>
          </cell>
          <cell r="O862">
            <v>365</v>
          </cell>
        </row>
        <row r="863">
          <cell r="C863" t="str">
            <v>North_Furnace</v>
          </cell>
          <cell r="D863" t="str">
            <v>days</v>
          </cell>
          <cell r="F863">
            <v>0</v>
          </cell>
          <cell r="G863">
            <v>0</v>
          </cell>
          <cell r="H863">
            <v>0</v>
          </cell>
          <cell r="I863">
            <v>0</v>
          </cell>
          <cell r="J863">
            <v>0</v>
          </cell>
          <cell r="K863">
            <v>0</v>
          </cell>
          <cell r="L863">
            <v>365</v>
          </cell>
          <cell r="M863">
            <v>365</v>
          </cell>
          <cell r="N863">
            <v>365</v>
          </cell>
          <cell r="O863">
            <v>365</v>
          </cell>
        </row>
        <row r="867">
          <cell r="C867" t="str">
            <v>Rishra</v>
          </cell>
          <cell r="D867" t="str">
            <v>days</v>
          </cell>
          <cell r="F867">
            <v>2.1661851258526226</v>
          </cell>
          <cell r="G867">
            <v>1.6796834809611552</v>
          </cell>
          <cell r="H867">
            <v>2.2708419742845294</v>
          </cell>
          <cell r="I867">
            <v>2</v>
          </cell>
          <cell r="J867">
            <v>2</v>
          </cell>
          <cell r="K867">
            <v>2</v>
          </cell>
          <cell r="L867">
            <v>2</v>
          </cell>
          <cell r="M867">
            <v>2</v>
          </cell>
          <cell r="N867">
            <v>2</v>
          </cell>
          <cell r="O867">
            <v>2</v>
          </cell>
        </row>
        <row r="868">
          <cell r="C868" t="str">
            <v>Bahadurgarh</v>
          </cell>
          <cell r="D868" t="str">
            <v>days</v>
          </cell>
          <cell r="F868">
            <v>10.180524039021849</v>
          </cell>
          <cell r="G868">
            <v>5.0261136442030283</v>
          </cell>
          <cell r="H868">
            <v>7.352572800333995</v>
          </cell>
          <cell r="I868">
            <v>2</v>
          </cell>
          <cell r="J868">
            <v>2</v>
          </cell>
          <cell r="K868">
            <v>2</v>
          </cell>
          <cell r="L868">
            <v>2</v>
          </cell>
          <cell r="M868">
            <v>2</v>
          </cell>
          <cell r="N868">
            <v>2</v>
          </cell>
          <cell r="O868">
            <v>2</v>
          </cell>
        </row>
        <row r="869">
          <cell r="C869" t="str">
            <v>Neemrana</v>
          </cell>
          <cell r="D869" t="str">
            <v>days</v>
          </cell>
          <cell r="F869">
            <v>1.5419992851185513</v>
          </cell>
          <cell r="G869">
            <v>3.2161568908942568</v>
          </cell>
          <cell r="H869">
            <v>2.6360842041388213</v>
          </cell>
          <cell r="I869">
            <v>2</v>
          </cell>
          <cell r="J869">
            <v>2</v>
          </cell>
          <cell r="K869">
            <v>2</v>
          </cell>
          <cell r="L869">
            <v>2</v>
          </cell>
          <cell r="M869">
            <v>2</v>
          </cell>
          <cell r="N869">
            <v>2</v>
          </cell>
          <cell r="O869">
            <v>2</v>
          </cell>
        </row>
        <row r="870">
          <cell r="C870" t="str">
            <v>Rishikesh</v>
          </cell>
          <cell r="D870" t="str">
            <v>days</v>
          </cell>
          <cell r="F870">
            <v>2.891420146697306</v>
          </cell>
          <cell r="G870">
            <v>2.5357217770692624</v>
          </cell>
          <cell r="H870">
            <v>2.9806497425883185</v>
          </cell>
          <cell r="I870">
            <v>2</v>
          </cell>
          <cell r="J870">
            <v>2</v>
          </cell>
          <cell r="K870">
            <v>2</v>
          </cell>
          <cell r="L870">
            <v>2</v>
          </cell>
          <cell r="M870">
            <v>2</v>
          </cell>
          <cell r="N870">
            <v>2</v>
          </cell>
          <cell r="O870">
            <v>2</v>
          </cell>
        </row>
        <row r="871">
          <cell r="C871" t="str">
            <v>Pondicherry</v>
          </cell>
          <cell r="D871" t="str">
            <v>days</v>
          </cell>
          <cell r="F871">
            <v>2.9086773039875791</v>
          </cell>
          <cell r="G871">
            <v>2.3588380453033846</v>
          </cell>
          <cell r="H871">
            <v>2.4473180076628354</v>
          </cell>
          <cell r="I871">
            <v>2</v>
          </cell>
          <cell r="J871">
            <v>2</v>
          </cell>
          <cell r="K871">
            <v>2</v>
          </cell>
          <cell r="L871">
            <v>2</v>
          </cell>
          <cell r="M871">
            <v>2</v>
          </cell>
          <cell r="N871">
            <v>2</v>
          </cell>
          <cell r="O871">
            <v>2</v>
          </cell>
        </row>
        <row r="872">
          <cell r="C872" t="str">
            <v>Nashik</v>
          </cell>
          <cell r="D872" t="str">
            <v>days</v>
          </cell>
          <cell r="F872">
            <v>3.0325178073707031</v>
          </cell>
          <cell r="G872">
            <v>2.0173562118571042</v>
          </cell>
          <cell r="H872">
            <v>2.1565731166912854</v>
          </cell>
          <cell r="I872">
            <v>2</v>
          </cell>
          <cell r="J872">
            <v>2</v>
          </cell>
          <cell r="K872">
            <v>2</v>
          </cell>
          <cell r="L872">
            <v>2</v>
          </cell>
          <cell r="M872">
            <v>2</v>
          </cell>
          <cell r="N872">
            <v>2</v>
          </cell>
          <cell r="O872">
            <v>2</v>
          </cell>
        </row>
        <row r="873">
          <cell r="C873" t="str">
            <v>Nashik_Cosmetic</v>
          </cell>
          <cell r="D873" t="str">
            <v>days</v>
          </cell>
          <cell r="F873">
            <v>0</v>
          </cell>
          <cell r="G873">
            <v>0</v>
          </cell>
          <cell r="H873">
            <v>0</v>
          </cell>
          <cell r="I873">
            <v>0</v>
          </cell>
          <cell r="J873">
            <v>2</v>
          </cell>
          <cell r="K873">
            <v>2</v>
          </cell>
          <cell r="L873">
            <v>2</v>
          </cell>
          <cell r="M873">
            <v>2</v>
          </cell>
          <cell r="N873">
            <v>2</v>
          </cell>
          <cell r="O873">
            <v>2</v>
          </cell>
        </row>
        <row r="874">
          <cell r="C874" t="str">
            <v>AP</v>
          </cell>
          <cell r="D874" t="str">
            <v>days</v>
          </cell>
          <cell r="F874">
            <v>0</v>
          </cell>
          <cell r="G874">
            <v>0</v>
          </cell>
          <cell r="H874">
            <v>0</v>
          </cell>
          <cell r="I874">
            <v>0</v>
          </cell>
          <cell r="J874">
            <v>0</v>
          </cell>
          <cell r="K874">
            <v>2</v>
          </cell>
          <cell r="L874">
            <v>2</v>
          </cell>
          <cell r="M874">
            <v>2</v>
          </cell>
          <cell r="N874">
            <v>2</v>
          </cell>
          <cell r="O874">
            <v>2</v>
          </cell>
        </row>
        <row r="875">
          <cell r="C875" t="str">
            <v>West_Furnace</v>
          </cell>
          <cell r="D875" t="str">
            <v>days</v>
          </cell>
          <cell r="F875">
            <v>0</v>
          </cell>
          <cell r="G875">
            <v>0</v>
          </cell>
          <cell r="H875">
            <v>0</v>
          </cell>
          <cell r="I875">
            <v>0</v>
          </cell>
          <cell r="J875">
            <v>0</v>
          </cell>
          <cell r="K875">
            <v>2</v>
          </cell>
          <cell r="L875">
            <v>2</v>
          </cell>
          <cell r="M875">
            <v>2</v>
          </cell>
          <cell r="N875">
            <v>2</v>
          </cell>
          <cell r="O875">
            <v>2</v>
          </cell>
        </row>
        <row r="876">
          <cell r="C876" t="str">
            <v>North_Furnace</v>
          </cell>
          <cell r="D876" t="str">
            <v>days</v>
          </cell>
          <cell r="F876">
            <v>0</v>
          </cell>
          <cell r="G876">
            <v>0</v>
          </cell>
          <cell r="H876">
            <v>0</v>
          </cell>
          <cell r="I876">
            <v>0</v>
          </cell>
          <cell r="J876">
            <v>0</v>
          </cell>
          <cell r="K876">
            <v>0</v>
          </cell>
          <cell r="L876">
            <v>2</v>
          </cell>
          <cell r="M876">
            <v>2</v>
          </cell>
          <cell r="N876">
            <v>2</v>
          </cell>
          <cell r="O876">
            <v>2</v>
          </cell>
        </row>
        <row r="880">
          <cell r="C880" t="str">
            <v>Rishra</v>
          </cell>
          <cell r="D880" t="str">
            <v>days</v>
          </cell>
          <cell r="F880">
            <v>47.704877197171861</v>
          </cell>
          <cell r="G880">
            <v>71.345305803155682</v>
          </cell>
          <cell r="H880">
            <v>76.027788796278429</v>
          </cell>
          <cell r="I880">
            <v>50</v>
          </cell>
          <cell r="J880">
            <v>50</v>
          </cell>
          <cell r="K880">
            <v>50</v>
          </cell>
          <cell r="L880">
            <v>50</v>
          </cell>
          <cell r="M880">
            <v>50</v>
          </cell>
          <cell r="N880">
            <v>50</v>
          </cell>
          <cell r="O880">
            <v>50</v>
          </cell>
        </row>
        <row r="881">
          <cell r="C881" t="str">
            <v>Bahadurgarh</v>
          </cell>
          <cell r="D881" t="str">
            <v>days</v>
          </cell>
          <cell r="F881">
            <v>51.6185047716206</v>
          </cell>
          <cell r="G881">
            <v>44.265805420818666</v>
          </cell>
          <cell r="H881">
            <v>43.817538985681118</v>
          </cell>
          <cell r="I881">
            <v>50</v>
          </cell>
          <cell r="J881">
            <v>50</v>
          </cell>
          <cell r="K881">
            <v>50</v>
          </cell>
          <cell r="L881">
            <v>50</v>
          </cell>
          <cell r="M881">
            <v>50</v>
          </cell>
          <cell r="N881">
            <v>50</v>
          </cell>
          <cell r="O881">
            <v>50</v>
          </cell>
        </row>
        <row r="882">
          <cell r="C882" t="str">
            <v>Neemrana</v>
          </cell>
          <cell r="D882" t="str">
            <v>days</v>
          </cell>
          <cell r="F882">
            <v>16.783216256899149</v>
          </cell>
          <cell r="G882">
            <v>80.782323839069903</v>
          </cell>
          <cell r="H882">
            <v>71.21551580629945</v>
          </cell>
          <cell r="I882">
            <v>50</v>
          </cell>
          <cell r="J882">
            <v>50</v>
          </cell>
          <cell r="K882">
            <v>50</v>
          </cell>
          <cell r="L882">
            <v>50</v>
          </cell>
          <cell r="M882">
            <v>50</v>
          </cell>
          <cell r="N882">
            <v>50</v>
          </cell>
          <cell r="O882">
            <v>50</v>
          </cell>
        </row>
        <row r="883">
          <cell r="C883" t="str">
            <v>Rishikesh</v>
          </cell>
          <cell r="D883" t="str">
            <v>days</v>
          </cell>
          <cell r="F883">
            <v>35.603983518310145</v>
          </cell>
          <cell r="G883">
            <v>37.727849952341074</v>
          </cell>
          <cell r="H883">
            <v>36.851885952719648</v>
          </cell>
          <cell r="I883">
            <v>50</v>
          </cell>
          <cell r="J883">
            <v>50</v>
          </cell>
          <cell r="K883">
            <v>50</v>
          </cell>
          <cell r="L883">
            <v>50</v>
          </cell>
          <cell r="M883">
            <v>50</v>
          </cell>
          <cell r="N883">
            <v>50</v>
          </cell>
          <cell r="O883">
            <v>50</v>
          </cell>
        </row>
        <row r="884">
          <cell r="C884" t="str">
            <v>Pondicherry</v>
          </cell>
          <cell r="D884" t="str">
            <v>days</v>
          </cell>
          <cell r="F884">
            <v>58.164441775153719</v>
          </cell>
          <cell r="G884">
            <v>79.813819710637901</v>
          </cell>
          <cell r="H884">
            <v>50.688485359361728</v>
          </cell>
          <cell r="I884">
            <v>50</v>
          </cell>
          <cell r="J884">
            <v>50</v>
          </cell>
          <cell r="K884">
            <v>50</v>
          </cell>
          <cell r="L884">
            <v>50</v>
          </cell>
          <cell r="M884">
            <v>50</v>
          </cell>
          <cell r="N884">
            <v>50</v>
          </cell>
          <cell r="O884">
            <v>50</v>
          </cell>
        </row>
        <row r="885">
          <cell r="C885" t="str">
            <v>Nashik</v>
          </cell>
          <cell r="D885" t="str">
            <v>days</v>
          </cell>
          <cell r="F885">
            <v>57.881394833262647</v>
          </cell>
          <cell r="G885">
            <v>74.4089960971707</v>
          </cell>
          <cell r="H885">
            <v>80.678528018338753</v>
          </cell>
          <cell r="I885">
            <v>50</v>
          </cell>
          <cell r="J885">
            <v>50</v>
          </cell>
          <cell r="K885">
            <v>50</v>
          </cell>
          <cell r="L885">
            <v>50</v>
          </cell>
          <cell r="M885">
            <v>50</v>
          </cell>
          <cell r="N885">
            <v>50</v>
          </cell>
          <cell r="O885">
            <v>50</v>
          </cell>
        </row>
        <row r="886">
          <cell r="C886" t="str">
            <v>Nashik_Cosmetic</v>
          </cell>
          <cell r="D886" t="str">
            <v>days</v>
          </cell>
          <cell r="F886">
            <v>0</v>
          </cell>
          <cell r="G886">
            <v>0</v>
          </cell>
          <cell r="H886">
            <v>0</v>
          </cell>
          <cell r="I886">
            <v>0</v>
          </cell>
          <cell r="J886">
            <v>50</v>
          </cell>
          <cell r="K886">
            <v>50</v>
          </cell>
          <cell r="L886">
            <v>50</v>
          </cell>
          <cell r="M886">
            <v>50</v>
          </cell>
          <cell r="N886">
            <v>50</v>
          </cell>
          <cell r="O886">
            <v>50</v>
          </cell>
        </row>
        <row r="887">
          <cell r="C887" t="str">
            <v>AP</v>
          </cell>
          <cell r="D887" t="str">
            <v>days</v>
          </cell>
          <cell r="F887">
            <v>0</v>
          </cell>
          <cell r="G887">
            <v>0</v>
          </cell>
          <cell r="H887">
            <v>0</v>
          </cell>
          <cell r="I887">
            <v>0</v>
          </cell>
          <cell r="J887">
            <v>0</v>
          </cell>
          <cell r="K887">
            <v>50</v>
          </cell>
          <cell r="L887">
            <v>50</v>
          </cell>
          <cell r="M887">
            <v>50</v>
          </cell>
          <cell r="N887">
            <v>50</v>
          </cell>
          <cell r="O887">
            <v>50</v>
          </cell>
        </row>
        <row r="888">
          <cell r="C888" t="str">
            <v>West_Furnace</v>
          </cell>
          <cell r="D888" t="str">
            <v>days</v>
          </cell>
          <cell r="F888">
            <v>0</v>
          </cell>
          <cell r="G888">
            <v>0</v>
          </cell>
          <cell r="H888">
            <v>0</v>
          </cell>
          <cell r="I888">
            <v>0</v>
          </cell>
          <cell r="J888">
            <v>0</v>
          </cell>
          <cell r="K888">
            <v>50</v>
          </cell>
          <cell r="L888">
            <v>50</v>
          </cell>
          <cell r="M888">
            <v>50</v>
          </cell>
          <cell r="N888">
            <v>50</v>
          </cell>
          <cell r="O888">
            <v>50</v>
          </cell>
        </row>
        <row r="889">
          <cell r="C889" t="str">
            <v>North_Furnace</v>
          </cell>
          <cell r="D889" t="str">
            <v>days</v>
          </cell>
          <cell r="F889">
            <v>0</v>
          </cell>
          <cell r="G889">
            <v>0</v>
          </cell>
          <cell r="H889">
            <v>0</v>
          </cell>
          <cell r="I889">
            <v>0</v>
          </cell>
          <cell r="J889">
            <v>0</v>
          </cell>
          <cell r="K889">
            <v>0</v>
          </cell>
          <cell r="L889">
            <v>50</v>
          </cell>
          <cell r="M889">
            <v>50</v>
          </cell>
          <cell r="N889">
            <v>50</v>
          </cell>
          <cell r="O889">
            <v>50</v>
          </cell>
        </row>
        <row r="893">
          <cell r="C893" t="str">
            <v>Rishra</v>
          </cell>
          <cell r="D893" t="str">
            <v>days</v>
          </cell>
          <cell r="F893">
            <v>64.034007659653398</v>
          </cell>
          <cell r="G893">
            <v>159.09832299442749</v>
          </cell>
          <cell r="H893">
            <v>23.007398514022896</v>
          </cell>
          <cell r="I893">
            <v>15</v>
          </cell>
          <cell r="J893">
            <v>15</v>
          </cell>
          <cell r="K893">
            <v>15</v>
          </cell>
          <cell r="L893">
            <v>15</v>
          </cell>
          <cell r="M893">
            <v>15</v>
          </cell>
          <cell r="N893">
            <v>15</v>
          </cell>
          <cell r="O893">
            <v>15</v>
          </cell>
        </row>
        <row r="894">
          <cell r="C894" t="str">
            <v>Bahadurgarh</v>
          </cell>
          <cell r="D894" t="str">
            <v>days</v>
          </cell>
          <cell r="F894">
            <v>20.466658492920057</v>
          </cell>
          <cell r="G894">
            <v>21.526855416278408</v>
          </cell>
          <cell r="H894">
            <v>21.095332671300891</v>
          </cell>
          <cell r="I894">
            <v>15</v>
          </cell>
          <cell r="J894">
            <v>15</v>
          </cell>
          <cell r="K894">
            <v>15</v>
          </cell>
          <cell r="L894">
            <v>15</v>
          </cell>
          <cell r="M894">
            <v>15</v>
          </cell>
          <cell r="N894">
            <v>15</v>
          </cell>
          <cell r="O894">
            <v>15</v>
          </cell>
        </row>
        <row r="895">
          <cell r="C895" t="str">
            <v>Neemrana</v>
          </cell>
          <cell r="D895" t="str">
            <v>days</v>
          </cell>
          <cell r="F895">
            <v>24.698243035606914</v>
          </cell>
          <cell r="G895">
            <v>17.713077597898366</v>
          </cell>
          <cell r="H895">
            <v>16.929499072356215</v>
          </cell>
          <cell r="I895">
            <v>15</v>
          </cell>
          <cell r="J895">
            <v>15</v>
          </cell>
          <cell r="K895">
            <v>15</v>
          </cell>
          <cell r="L895">
            <v>15</v>
          </cell>
          <cell r="M895">
            <v>15</v>
          </cell>
          <cell r="N895">
            <v>15</v>
          </cell>
          <cell r="O895">
            <v>15</v>
          </cell>
        </row>
        <row r="896">
          <cell r="C896" t="str">
            <v>Rishikesh</v>
          </cell>
          <cell r="D896" t="str">
            <v>days</v>
          </cell>
          <cell r="F896">
            <v>12.182622031366639</v>
          </cell>
          <cell r="G896">
            <v>7.161032774860419</v>
          </cell>
          <cell r="H896">
            <v>9.7921450151057403</v>
          </cell>
          <cell r="I896">
            <v>15</v>
          </cell>
          <cell r="J896">
            <v>15</v>
          </cell>
          <cell r="K896">
            <v>15</v>
          </cell>
          <cell r="L896">
            <v>15</v>
          </cell>
          <cell r="M896">
            <v>15</v>
          </cell>
          <cell r="N896">
            <v>15</v>
          </cell>
          <cell r="O896">
            <v>15</v>
          </cell>
        </row>
        <row r="897">
          <cell r="C897" t="str">
            <v>Pondicherry</v>
          </cell>
          <cell r="D897" t="str">
            <v>days</v>
          </cell>
          <cell r="F897">
            <v>10.026052132690197</v>
          </cell>
          <cell r="G897">
            <v>19.595468025806337</v>
          </cell>
          <cell r="H897">
            <v>17.968914832266684</v>
          </cell>
          <cell r="I897">
            <v>15</v>
          </cell>
          <cell r="J897">
            <v>15</v>
          </cell>
          <cell r="K897">
            <v>15</v>
          </cell>
          <cell r="L897">
            <v>15</v>
          </cell>
          <cell r="M897">
            <v>15</v>
          </cell>
          <cell r="N897">
            <v>15</v>
          </cell>
          <cell r="O897">
            <v>15</v>
          </cell>
        </row>
        <row r="898">
          <cell r="C898" t="str">
            <v>Nashik</v>
          </cell>
          <cell r="D898" t="str">
            <v>days</v>
          </cell>
          <cell r="F898">
            <v>12.822261366017774</v>
          </cell>
          <cell r="G898">
            <v>12.538373156563173</v>
          </cell>
          <cell r="H898">
            <v>14.376653084566446</v>
          </cell>
          <cell r="I898">
            <v>15</v>
          </cell>
          <cell r="J898">
            <v>15</v>
          </cell>
          <cell r="K898">
            <v>15</v>
          </cell>
          <cell r="L898">
            <v>15</v>
          </cell>
          <cell r="M898">
            <v>15</v>
          </cell>
          <cell r="N898">
            <v>15</v>
          </cell>
          <cell r="O898">
            <v>15</v>
          </cell>
        </row>
        <row r="899">
          <cell r="C899" t="str">
            <v>Nashik_Cosmetic</v>
          </cell>
          <cell r="D899" t="str">
            <v>days</v>
          </cell>
          <cell r="F899">
            <v>0</v>
          </cell>
          <cell r="G899">
            <v>0</v>
          </cell>
          <cell r="H899">
            <v>0</v>
          </cell>
          <cell r="I899">
            <v>0</v>
          </cell>
          <cell r="J899">
            <v>15</v>
          </cell>
          <cell r="K899">
            <v>15</v>
          </cell>
          <cell r="L899">
            <v>15</v>
          </cell>
          <cell r="M899">
            <v>15</v>
          </cell>
          <cell r="N899">
            <v>15</v>
          </cell>
          <cell r="O899">
            <v>15</v>
          </cell>
        </row>
        <row r="900">
          <cell r="C900" t="str">
            <v>AP</v>
          </cell>
          <cell r="D900" t="str">
            <v>days</v>
          </cell>
          <cell r="F900">
            <v>0</v>
          </cell>
          <cell r="G900">
            <v>0</v>
          </cell>
          <cell r="H900">
            <v>0</v>
          </cell>
          <cell r="I900">
            <v>0</v>
          </cell>
          <cell r="J900">
            <v>0</v>
          </cell>
          <cell r="K900">
            <v>15</v>
          </cell>
          <cell r="L900">
            <v>15</v>
          </cell>
          <cell r="M900">
            <v>15</v>
          </cell>
          <cell r="N900">
            <v>15</v>
          </cell>
          <cell r="O900">
            <v>15</v>
          </cell>
        </row>
        <row r="901">
          <cell r="C901" t="str">
            <v>West_Furnace</v>
          </cell>
          <cell r="D901" t="str">
            <v>days</v>
          </cell>
          <cell r="F901">
            <v>0</v>
          </cell>
          <cell r="G901">
            <v>0</v>
          </cell>
          <cell r="H901">
            <v>0</v>
          </cell>
          <cell r="I901">
            <v>0</v>
          </cell>
          <cell r="J901">
            <v>0</v>
          </cell>
          <cell r="K901">
            <v>15</v>
          </cell>
          <cell r="L901">
            <v>15</v>
          </cell>
          <cell r="M901">
            <v>15</v>
          </cell>
          <cell r="N901">
            <v>15</v>
          </cell>
          <cell r="O901">
            <v>15</v>
          </cell>
        </row>
        <row r="902">
          <cell r="C902" t="str">
            <v>North_Furnace</v>
          </cell>
          <cell r="D902" t="str">
            <v>days</v>
          </cell>
          <cell r="F902">
            <v>0</v>
          </cell>
          <cell r="G902">
            <v>0</v>
          </cell>
          <cell r="H902">
            <v>0</v>
          </cell>
          <cell r="I902">
            <v>0</v>
          </cell>
          <cell r="J902">
            <v>0</v>
          </cell>
          <cell r="K902">
            <v>0</v>
          </cell>
          <cell r="L902">
            <v>15</v>
          </cell>
          <cell r="M902">
            <v>15</v>
          </cell>
          <cell r="N902">
            <v>15</v>
          </cell>
          <cell r="O902">
            <v>15</v>
          </cell>
        </row>
        <row r="906">
          <cell r="C906" t="str">
            <v>Rishra</v>
          </cell>
          <cell r="D906" t="str">
            <v>days</v>
          </cell>
          <cell r="F906">
            <v>105.81912681752469</v>
          </cell>
          <cell r="G906">
            <v>113.22334734651518</v>
          </cell>
          <cell r="H906">
            <v>101.92820512820512</v>
          </cell>
          <cell r="I906">
            <v>45</v>
          </cell>
          <cell r="J906">
            <v>45</v>
          </cell>
          <cell r="K906">
            <v>45</v>
          </cell>
          <cell r="L906">
            <v>45</v>
          </cell>
          <cell r="M906">
            <v>45</v>
          </cell>
          <cell r="N906">
            <v>45</v>
          </cell>
          <cell r="O906">
            <v>45</v>
          </cell>
        </row>
        <row r="907">
          <cell r="C907" t="str">
            <v>Bahadurgarh</v>
          </cell>
          <cell r="D907" t="str">
            <v>days</v>
          </cell>
          <cell r="F907">
            <v>121.46350937979048</v>
          </cell>
          <cell r="G907">
            <v>125.16130755592137</v>
          </cell>
          <cell r="H907">
            <v>110.21341151541719</v>
          </cell>
          <cell r="I907">
            <v>45</v>
          </cell>
          <cell r="J907">
            <v>45</v>
          </cell>
          <cell r="K907">
            <v>45</v>
          </cell>
          <cell r="L907">
            <v>45</v>
          </cell>
          <cell r="M907">
            <v>45</v>
          </cell>
          <cell r="N907">
            <v>45</v>
          </cell>
          <cell r="O907">
            <v>45</v>
          </cell>
        </row>
        <row r="908">
          <cell r="C908" t="str">
            <v>Neemrana</v>
          </cell>
          <cell r="D908" t="str">
            <v>days</v>
          </cell>
          <cell r="F908">
            <v>79.172693907511629</v>
          </cell>
          <cell r="G908">
            <v>68.706274294568985</v>
          </cell>
          <cell r="H908">
            <v>58.488956587966484</v>
          </cell>
          <cell r="I908">
            <v>45</v>
          </cell>
          <cell r="J908">
            <v>45</v>
          </cell>
          <cell r="K908">
            <v>45</v>
          </cell>
          <cell r="L908">
            <v>45</v>
          </cell>
          <cell r="M908">
            <v>45</v>
          </cell>
          <cell r="N908">
            <v>45</v>
          </cell>
          <cell r="O908">
            <v>45</v>
          </cell>
        </row>
        <row r="909">
          <cell r="C909" t="str">
            <v>Rishikesh</v>
          </cell>
          <cell r="D909" t="str">
            <v>days</v>
          </cell>
          <cell r="F909">
            <v>99.392585349464511</v>
          </cell>
          <cell r="G909">
            <v>94.543706371698477</v>
          </cell>
          <cell r="H909">
            <v>59.954512164846079</v>
          </cell>
          <cell r="I909">
            <v>45</v>
          </cell>
          <cell r="J909">
            <v>45</v>
          </cell>
          <cell r="K909">
            <v>45</v>
          </cell>
          <cell r="L909">
            <v>45</v>
          </cell>
          <cell r="M909">
            <v>45</v>
          </cell>
          <cell r="N909">
            <v>45</v>
          </cell>
          <cell r="O909">
            <v>45</v>
          </cell>
        </row>
        <row r="910">
          <cell r="C910" t="str">
            <v>Pondicherry</v>
          </cell>
          <cell r="D910" t="str">
            <v>days</v>
          </cell>
          <cell r="F910">
            <v>89.008236496433838</v>
          </cell>
          <cell r="G910">
            <v>103.15020146424975</v>
          </cell>
          <cell r="H910">
            <v>67.439864690721635</v>
          </cell>
          <cell r="I910">
            <v>45</v>
          </cell>
          <cell r="J910">
            <v>45</v>
          </cell>
          <cell r="K910">
            <v>45</v>
          </cell>
          <cell r="L910">
            <v>45</v>
          </cell>
          <cell r="M910">
            <v>45</v>
          </cell>
          <cell r="N910">
            <v>45</v>
          </cell>
          <cell r="O910">
            <v>45</v>
          </cell>
        </row>
        <row r="911">
          <cell r="C911" t="str">
            <v>Nashik</v>
          </cell>
          <cell r="D911" t="str">
            <v>days</v>
          </cell>
          <cell r="F911">
            <v>94.800647974081031</v>
          </cell>
          <cell r="G911">
            <v>51.790850975706263</v>
          </cell>
          <cell r="H911">
            <v>60.371471855642326</v>
          </cell>
          <cell r="I911">
            <v>45</v>
          </cell>
          <cell r="J911">
            <v>45</v>
          </cell>
          <cell r="K911">
            <v>45</v>
          </cell>
          <cell r="L911">
            <v>45</v>
          </cell>
          <cell r="M911">
            <v>45</v>
          </cell>
          <cell r="N911">
            <v>45</v>
          </cell>
          <cell r="O911">
            <v>45</v>
          </cell>
        </row>
        <row r="912">
          <cell r="C912" t="str">
            <v>Nashik_Cosmetic</v>
          </cell>
          <cell r="D912" t="str">
            <v>days</v>
          </cell>
          <cell r="F912">
            <v>0</v>
          </cell>
          <cell r="G912">
            <v>0</v>
          </cell>
          <cell r="H912">
            <v>0</v>
          </cell>
          <cell r="I912">
            <v>0</v>
          </cell>
          <cell r="J912">
            <v>45</v>
          </cell>
          <cell r="K912">
            <v>45</v>
          </cell>
          <cell r="L912">
            <v>45</v>
          </cell>
          <cell r="M912">
            <v>45</v>
          </cell>
          <cell r="N912">
            <v>45</v>
          </cell>
          <cell r="O912">
            <v>45</v>
          </cell>
        </row>
        <row r="913">
          <cell r="C913" t="str">
            <v>AP</v>
          </cell>
          <cell r="D913" t="str">
            <v>days</v>
          </cell>
          <cell r="F913">
            <v>0</v>
          </cell>
          <cell r="G913">
            <v>0</v>
          </cell>
          <cell r="H913">
            <v>0</v>
          </cell>
          <cell r="I913">
            <v>0</v>
          </cell>
          <cell r="J913">
            <v>0</v>
          </cell>
          <cell r="K913">
            <v>45</v>
          </cell>
          <cell r="L913">
            <v>45</v>
          </cell>
          <cell r="M913">
            <v>45</v>
          </cell>
          <cell r="N913">
            <v>45</v>
          </cell>
          <cell r="O913">
            <v>45</v>
          </cell>
        </row>
        <row r="914">
          <cell r="C914" t="str">
            <v>West_Furnace</v>
          </cell>
          <cell r="D914" t="str">
            <v>days</v>
          </cell>
          <cell r="F914">
            <v>0</v>
          </cell>
          <cell r="G914">
            <v>0</v>
          </cell>
          <cell r="H914">
            <v>0</v>
          </cell>
          <cell r="I914">
            <v>0</v>
          </cell>
          <cell r="J914">
            <v>0</v>
          </cell>
          <cell r="K914">
            <v>45</v>
          </cell>
          <cell r="L914">
            <v>45</v>
          </cell>
          <cell r="M914">
            <v>45</v>
          </cell>
          <cell r="N914">
            <v>45</v>
          </cell>
          <cell r="O914">
            <v>45</v>
          </cell>
        </row>
        <row r="915">
          <cell r="C915" t="str">
            <v>North_Furnace</v>
          </cell>
          <cell r="D915" t="str">
            <v>days</v>
          </cell>
          <cell r="F915">
            <v>0</v>
          </cell>
          <cell r="G915">
            <v>0</v>
          </cell>
          <cell r="H915">
            <v>0</v>
          </cell>
          <cell r="I915">
            <v>0</v>
          </cell>
          <cell r="J915">
            <v>0</v>
          </cell>
          <cell r="K915">
            <v>0</v>
          </cell>
          <cell r="L915">
            <v>45</v>
          </cell>
          <cell r="M915">
            <v>45</v>
          </cell>
          <cell r="N915">
            <v>45</v>
          </cell>
          <cell r="O915">
            <v>45</v>
          </cell>
        </row>
        <row r="927">
          <cell r="C927" t="str">
            <v>Investment during the year - Investment/ (sale)</v>
          </cell>
          <cell r="I927">
            <v>2200</v>
          </cell>
          <cell r="J927">
            <v>-500</v>
          </cell>
          <cell r="K927">
            <v>300</v>
          </cell>
          <cell r="L927">
            <v>300</v>
          </cell>
          <cell r="M927">
            <v>2500</v>
          </cell>
          <cell r="N927">
            <v>2900</v>
          </cell>
          <cell r="O927">
            <v>2600</v>
          </cell>
        </row>
        <row r="928">
          <cell r="C928" t="str">
            <v>Return on investments</v>
          </cell>
          <cell r="I928">
            <v>0.08</v>
          </cell>
          <cell r="J928">
            <v>0.08</v>
          </cell>
          <cell r="K928">
            <v>0.08</v>
          </cell>
          <cell r="L928">
            <v>0.08</v>
          </cell>
          <cell r="M928">
            <v>0.08</v>
          </cell>
          <cell r="N928">
            <v>0.08</v>
          </cell>
          <cell r="O928">
            <v>0.08</v>
          </cell>
        </row>
        <row r="936">
          <cell r="C936" t="str">
            <v xml:space="preserve">Proposed Term Loans </v>
          </cell>
          <cell r="D936" t="str">
            <v>Rsm</v>
          </cell>
          <cell r="I936">
            <v>0</v>
          </cell>
          <cell r="J936">
            <v>0</v>
          </cell>
          <cell r="K936">
            <v>0</v>
          </cell>
          <cell r="L936">
            <v>0</v>
          </cell>
          <cell r="M936">
            <v>0</v>
          </cell>
          <cell r="N936">
            <v>0</v>
          </cell>
          <cell r="O936">
            <v>0</v>
          </cell>
        </row>
        <row r="937">
          <cell r="C937" t="str">
            <v>Term Loans HSBC 1</v>
          </cell>
          <cell r="D937" t="str">
            <v>Rsm</v>
          </cell>
          <cell r="I937">
            <v>0</v>
          </cell>
          <cell r="J937">
            <v>0</v>
          </cell>
          <cell r="K937">
            <v>0</v>
          </cell>
          <cell r="L937">
            <v>0</v>
          </cell>
          <cell r="M937">
            <v>0</v>
          </cell>
          <cell r="N937">
            <v>0</v>
          </cell>
          <cell r="O937">
            <v>0</v>
          </cell>
        </row>
        <row r="938">
          <cell r="C938" t="str">
            <v>NCD GIC 2500</v>
          </cell>
          <cell r="D938" t="str">
            <v>Rsm</v>
          </cell>
          <cell r="I938">
            <v>0</v>
          </cell>
          <cell r="J938">
            <v>0</v>
          </cell>
          <cell r="K938">
            <v>0</v>
          </cell>
          <cell r="L938">
            <v>0</v>
          </cell>
          <cell r="M938">
            <v>0</v>
          </cell>
          <cell r="N938">
            <v>0</v>
          </cell>
          <cell r="O938">
            <v>0</v>
          </cell>
        </row>
        <row r="939">
          <cell r="C939" t="str">
            <v>Term Loans SBI</v>
          </cell>
          <cell r="D939" t="str">
            <v>Rsm</v>
          </cell>
          <cell r="I939">
            <v>0</v>
          </cell>
          <cell r="J939">
            <v>0</v>
          </cell>
          <cell r="K939">
            <v>0</v>
          </cell>
          <cell r="L939">
            <v>0</v>
          </cell>
          <cell r="M939">
            <v>0</v>
          </cell>
          <cell r="N939">
            <v>0</v>
          </cell>
          <cell r="O939">
            <v>0</v>
          </cell>
        </row>
        <row r="940">
          <cell r="C940" t="str">
            <v>Term Loans HSBC 2</v>
          </cell>
          <cell r="D940" t="str">
            <v>Rsm</v>
          </cell>
          <cell r="I940">
            <v>0</v>
          </cell>
          <cell r="J940">
            <v>0</v>
          </cell>
          <cell r="K940">
            <v>0</v>
          </cell>
          <cell r="L940">
            <v>0</v>
          </cell>
          <cell r="M940">
            <v>0</v>
          </cell>
          <cell r="N940">
            <v>0</v>
          </cell>
          <cell r="O940">
            <v>0</v>
          </cell>
        </row>
        <row r="941">
          <cell r="C941" t="str">
            <v>NCD LIC</v>
          </cell>
          <cell r="D941" t="str">
            <v>Rsm</v>
          </cell>
          <cell r="I941">
            <v>0</v>
          </cell>
          <cell r="J941">
            <v>0</v>
          </cell>
          <cell r="K941">
            <v>0</v>
          </cell>
          <cell r="L941">
            <v>0</v>
          </cell>
          <cell r="M941">
            <v>0</v>
          </cell>
          <cell r="N941">
            <v>0</v>
          </cell>
          <cell r="O941">
            <v>0</v>
          </cell>
        </row>
        <row r="942">
          <cell r="C942" t="str">
            <v>Term Loan from HSBC for Neemrana</v>
          </cell>
          <cell r="D942" t="str">
            <v>Rsm</v>
          </cell>
          <cell r="I942">
            <v>0</v>
          </cell>
          <cell r="J942">
            <v>0</v>
          </cell>
          <cell r="K942">
            <v>0</v>
          </cell>
          <cell r="L942">
            <v>0</v>
          </cell>
          <cell r="M942">
            <v>0</v>
          </cell>
          <cell r="N942">
            <v>0</v>
          </cell>
          <cell r="O942">
            <v>0</v>
          </cell>
        </row>
        <row r="943">
          <cell r="C943" t="str">
            <v>Long Term Working Capital Loan from EXIM</v>
          </cell>
          <cell r="D943" t="str">
            <v>Rsm</v>
          </cell>
          <cell r="I943">
            <v>0</v>
          </cell>
          <cell r="J943">
            <v>0</v>
          </cell>
          <cell r="K943">
            <v>0</v>
          </cell>
          <cell r="L943">
            <v>0</v>
          </cell>
          <cell r="M943">
            <v>0</v>
          </cell>
          <cell r="N943">
            <v>0</v>
          </cell>
          <cell r="O943">
            <v>0</v>
          </cell>
        </row>
        <row r="944">
          <cell r="C944" t="str">
            <v>ICICI ECB 5 Million</v>
          </cell>
          <cell r="D944" t="str">
            <v>Rsm</v>
          </cell>
          <cell r="I944">
            <v>0</v>
          </cell>
          <cell r="J944">
            <v>0</v>
          </cell>
          <cell r="K944">
            <v>0</v>
          </cell>
          <cell r="L944">
            <v>0</v>
          </cell>
          <cell r="M944">
            <v>0</v>
          </cell>
          <cell r="N944">
            <v>0</v>
          </cell>
          <cell r="O944">
            <v>0</v>
          </cell>
        </row>
        <row r="945">
          <cell r="C945" t="str">
            <v>SBI Term Loan 4000+1000</v>
          </cell>
          <cell r="D945" t="str">
            <v>Rsm</v>
          </cell>
          <cell r="I945">
            <v>0</v>
          </cell>
          <cell r="J945">
            <v>0</v>
          </cell>
          <cell r="K945">
            <v>0</v>
          </cell>
          <cell r="L945">
            <v>0</v>
          </cell>
          <cell r="M945">
            <v>0</v>
          </cell>
          <cell r="N945">
            <v>0</v>
          </cell>
          <cell r="O945">
            <v>0</v>
          </cell>
        </row>
        <row r="946">
          <cell r="C946" t="str">
            <v>EXIM Term Loan 2000</v>
          </cell>
          <cell r="D946" t="str">
            <v>Rsm</v>
          </cell>
          <cell r="I946">
            <v>0</v>
          </cell>
          <cell r="J946">
            <v>0</v>
          </cell>
          <cell r="K946">
            <v>0</v>
          </cell>
          <cell r="L946">
            <v>0</v>
          </cell>
          <cell r="M946">
            <v>0</v>
          </cell>
          <cell r="N946">
            <v>0</v>
          </cell>
          <cell r="O946">
            <v>0</v>
          </cell>
        </row>
        <row r="947">
          <cell r="C947" t="str">
            <v>Term Loan from EXIM Bank</v>
          </cell>
          <cell r="D947" t="str">
            <v>Rsm</v>
          </cell>
          <cell r="I947">
            <v>0</v>
          </cell>
          <cell r="J947">
            <v>0</v>
          </cell>
          <cell r="K947">
            <v>0</v>
          </cell>
          <cell r="L947">
            <v>0</v>
          </cell>
          <cell r="M947">
            <v>0</v>
          </cell>
          <cell r="N947">
            <v>0</v>
          </cell>
          <cell r="O947">
            <v>0</v>
          </cell>
        </row>
        <row r="948">
          <cell r="C948" t="str">
            <v>Term Loan From HSBC for Nashik</v>
          </cell>
          <cell r="D948" t="str">
            <v>Rsm</v>
          </cell>
          <cell r="I948">
            <v>0</v>
          </cell>
          <cell r="J948">
            <v>0</v>
          </cell>
          <cell r="K948">
            <v>0</v>
          </cell>
          <cell r="L948">
            <v>0</v>
          </cell>
          <cell r="M948">
            <v>0</v>
          </cell>
          <cell r="N948">
            <v>0</v>
          </cell>
          <cell r="O948">
            <v>0</v>
          </cell>
        </row>
        <row r="949">
          <cell r="C949" t="str">
            <v>Car Loan and Citicorp Loan</v>
          </cell>
          <cell r="D949" t="str">
            <v>Rsm</v>
          </cell>
          <cell r="I949">
            <v>0</v>
          </cell>
          <cell r="J949">
            <v>0</v>
          </cell>
          <cell r="K949">
            <v>0</v>
          </cell>
          <cell r="L949">
            <v>0</v>
          </cell>
          <cell r="M949">
            <v>0</v>
          </cell>
          <cell r="N949">
            <v>0</v>
          </cell>
          <cell r="O949">
            <v>0</v>
          </cell>
        </row>
        <row r="950">
          <cell r="C950" t="str">
            <v>Working Capital Loans</v>
          </cell>
          <cell r="D950" t="str">
            <v>Rsm</v>
          </cell>
          <cell r="I950">
            <v>2249.3604676878845</v>
          </cell>
          <cell r="J950">
            <v>2554.3160971646066</v>
          </cell>
          <cell r="K950">
            <v>2386.2323103659046</v>
          </cell>
          <cell r="L950">
            <v>2894.5558304861615</v>
          </cell>
          <cell r="M950">
            <v>3710.5247582379502</v>
          </cell>
          <cell r="N950">
            <v>4039.6457257457641</v>
          </cell>
          <cell r="O950">
            <v>4313.9089483413845</v>
          </cell>
        </row>
        <row r="953">
          <cell r="C953" t="str">
            <v>Term Loans HSBC 1</v>
          </cell>
          <cell r="D953" t="str">
            <v>%</v>
          </cell>
          <cell r="I953">
            <v>0</v>
          </cell>
          <cell r="J953">
            <v>0.2</v>
          </cell>
          <cell r="K953">
            <v>0.25</v>
          </cell>
          <cell r="L953">
            <v>0.33333333333333298</v>
          </cell>
          <cell r="M953">
            <v>0.5</v>
          </cell>
          <cell r="N953">
            <v>1</v>
          </cell>
          <cell r="O953">
            <v>0</v>
          </cell>
        </row>
        <row r="954">
          <cell r="C954" t="str">
            <v>NCD GIC 2500</v>
          </cell>
          <cell r="D954" t="str">
            <v>%</v>
          </cell>
          <cell r="I954">
            <v>0</v>
          </cell>
          <cell r="J954">
            <v>0</v>
          </cell>
          <cell r="K954">
            <v>1</v>
          </cell>
          <cell r="L954">
            <v>0</v>
          </cell>
          <cell r="M954">
            <v>0</v>
          </cell>
          <cell r="N954">
            <v>0</v>
          </cell>
          <cell r="O954">
            <v>0</v>
          </cell>
        </row>
        <row r="955">
          <cell r="C955" t="str">
            <v>Term Loans SBI</v>
          </cell>
          <cell r="D955" t="str">
            <v>%</v>
          </cell>
          <cell r="I955">
            <v>0.2</v>
          </cell>
          <cell r="J955">
            <v>0.25</v>
          </cell>
          <cell r="K955">
            <v>0.33333333333333331</v>
          </cell>
          <cell r="L955">
            <v>0.5</v>
          </cell>
          <cell r="M955">
            <v>1</v>
          </cell>
          <cell r="N955">
            <v>0</v>
          </cell>
          <cell r="O955">
            <v>0</v>
          </cell>
        </row>
        <row r="956">
          <cell r="C956" t="str">
            <v>Term Loans HSBC 2</v>
          </cell>
          <cell r="D956" t="str">
            <v>%</v>
          </cell>
          <cell r="I956">
            <v>0.2307726696967439</v>
          </cell>
          <cell r="J956">
            <v>0.30000581181347952</v>
          </cell>
          <cell r="K956">
            <v>0.42858328951374092</v>
          </cell>
          <cell r="L956">
            <v>0.75003632488981453</v>
          </cell>
          <cell r="M956">
            <v>1</v>
          </cell>
          <cell r="N956">
            <v>0</v>
          </cell>
          <cell r="O956">
            <v>0</v>
          </cell>
        </row>
        <row r="957">
          <cell r="C957" t="str">
            <v>NCD LIC</v>
          </cell>
          <cell r="D957" t="str">
            <v>%</v>
          </cell>
          <cell r="I957">
            <v>0</v>
          </cell>
          <cell r="J957">
            <v>1</v>
          </cell>
          <cell r="K957">
            <v>0</v>
          </cell>
          <cell r="L957">
            <v>0</v>
          </cell>
          <cell r="M957">
            <v>0</v>
          </cell>
          <cell r="N957">
            <v>0</v>
          </cell>
          <cell r="O957">
            <v>0</v>
          </cell>
        </row>
        <row r="958">
          <cell r="C958" t="str">
            <v>Term Loan from HSBC for Neemrana</v>
          </cell>
          <cell r="D958" t="str">
            <v>%</v>
          </cell>
          <cell r="I958">
            <v>0</v>
          </cell>
          <cell r="J958">
            <v>0.2</v>
          </cell>
          <cell r="K958">
            <v>0.5</v>
          </cell>
          <cell r="L958">
            <v>1</v>
          </cell>
          <cell r="M958">
            <v>0</v>
          </cell>
          <cell r="N958">
            <v>0</v>
          </cell>
          <cell r="O958">
            <v>0</v>
          </cell>
        </row>
        <row r="959">
          <cell r="C959" t="str">
            <v>Long Term Working Capital Loan from EXIM</v>
          </cell>
          <cell r="D959" t="str">
            <v>%</v>
          </cell>
          <cell r="I959">
            <v>0.36363636363636365</v>
          </cell>
          <cell r="J959">
            <v>0.5714285714285714</v>
          </cell>
          <cell r="K959">
            <v>1</v>
          </cell>
          <cell r="L959">
            <v>0</v>
          </cell>
          <cell r="M959">
            <v>0</v>
          </cell>
          <cell r="N959">
            <v>0</v>
          </cell>
          <cell r="O959">
            <v>0</v>
          </cell>
        </row>
        <row r="960">
          <cell r="C960" t="str">
            <v>ICICI ECB 5 Million</v>
          </cell>
          <cell r="D960" t="str">
            <v>%</v>
          </cell>
          <cell r="I960">
            <v>0.70910991425129322</v>
          </cell>
          <cell r="J960">
            <v>1</v>
          </cell>
          <cell r="K960">
            <v>0</v>
          </cell>
          <cell r="L960">
            <v>0</v>
          </cell>
          <cell r="M960">
            <v>0</v>
          </cell>
          <cell r="N960">
            <v>0</v>
          </cell>
          <cell r="O960">
            <v>0</v>
          </cell>
        </row>
        <row r="961">
          <cell r="C961" t="str">
            <v>SBI Term Loan 4000+1000</v>
          </cell>
          <cell r="D961" t="str">
            <v>%</v>
          </cell>
          <cell r="I961">
            <v>0</v>
          </cell>
          <cell r="J961">
            <v>0</v>
          </cell>
          <cell r="K961">
            <v>0</v>
          </cell>
          <cell r="L961">
            <v>0</v>
          </cell>
          <cell r="M961">
            <v>0</v>
          </cell>
          <cell r="N961">
            <v>0</v>
          </cell>
          <cell r="O961">
            <v>0</v>
          </cell>
        </row>
        <row r="962">
          <cell r="C962" t="str">
            <v>EXIM Term Loan 2000</v>
          </cell>
          <cell r="D962" t="str">
            <v>%</v>
          </cell>
          <cell r="I962">
            <v>1</v>
          </cell>
          <cell r="J962">
            <v>0</v>
          </cell>
          <cell r="K962">
            <v>0</v>
          </cell>
          <cell r="L962">
            <v>0</v>
          </cell>
          <cell r="M962">
            <v>0</v>
          </cell>
          <cell r="N962">
            <v>0</v>
          </cell>
          <cell r="O962">
            <v>0</v>
          </cell>
        </row>
        <row r="963">
          <cell r="C963" t="str">
            <v>Term Loan from EXIM Bank</v>
          </cell>
          <cell r="D963" t="str">
            <v>%</v>
          </cell>
          <cell r="I963">
            <v>0</v>
          </cell>
          <cell r="J963">
            <v>0</v>
          </cell>
          <cell r="K963">
            <v>0</v>
          </cell>
          <cell r="L963">
            <v>0</v>
          </cell>
          <cell r="M963">
            <v>0</v>
          </cell>
          <cell r="N963">
            <v>0</v>
          </cell>
          <cell r="O963">
            <v>0</v>
          </cell>
        </row>
        <row r="964">
          <cell r="C964" t="str">
            <v>Term Loan From HSBC for Nashik</v>
          </cell>
          <cell r="D964" t="str">
            <v>%</v>
          </cell>
          <cell r="I964">
            <v>1</v>
          </cell>
          <cell r="J964">
            <v>0</v>
          </cell>
          <cell r="K964">
            <v>0</v>
          </cell>
          <cell r="L964">
            <v>0</v>
          </cell>
          <cell r="M964">
            <v>0</v>
          </cell>
          <cell r="N964">
            <v>0</v>
          </cell>
          <cell r="O964">
            <v>0</v>
          </cell>
        </row>
        <row r="965">
          <cell r="C965" t="str">
            <v>Car Loan and Citicorp Loan</v>
          </cell>
          <cell r="D965" t="str">
            <v>%</v>
          </cell>
          <cell r="I965">
            <v>0</v>
          </cell>
          <cell r="J965">
            <v>0</v>
          </cell>
          <cell r="K965">
            <v>0</v>
          </cell>
          <cell r="L965">
            <v>0</v>
          </cell>
          <cell r="M965">
            <v>0</v>
          </cell>
          <cell r="N965">
            <v>0</v>
          </cell>
          <cell r="O965">
            <v>0</v>
          </cell>
        </row>
        <row r="966">
          <cell r="C966" t="str">
            <v>Working Capital Loans</v>
          </cell>
          <cell r="D966" t="str">
            <v>%</v>
          </cell>
          <cell r="I966">
            <v>1</v>
          </cell>
          <cell r="J966">
            <v>1</v>
          </cell>
          <cell r="K966">
            <v>1</v>
          </cell>
          <cell r="L966">
            <v>1</v>
          </cell>
          <cell r="M966">
            <v>1</v>
          </cell>
          <cell r="N966">
            <v>1</v>
          </cell>
          <cell r="O966">
            <v>1</v>
          </cell>
        </row>
        <row r="969">
          <cell r="C969" t="str">
            <v xml:space="preserve">Proposed Term Loans </v>
          </cell>
          <cell r="D969" t="str">
            <v>%</v>
          </cell>
          <cell r="F969">
            <v>0.09</v>
          </cell>
        </row>
        <row r="970">
          <cell r="C970" t="str">
            <v>Term Loans HSBC 1</v>
          </cell>
          <cell r="D970" t="str">
            <v>%</v>
          </cell>
          <cell r="F970">
            <v>8.4000000000000005E-2</v>
          </cell>
        </row>
        <row r="971">
          <cell r="C971" t="str">
            <v>NCD GIC 2500</v>
          </cell>
          <cell r="D971" t="str">
            <v>%</v>
          </cell>
          <cell r="F971">
            <v>0.11749999999999999</v>
          </cell>
        </row>
        <row r="972">
          <cell r="C972" t="str">
            <v>Term Loans SBI</v>
          </cell>
          <cell r="D972" t="str">
            <v>%</v>
          </cell>
          <cell r="F972">
            <v>0.1075</v>
          </cell>
        </row>
        <row r="973">
          <cell r="C973" t="str">
            <v>Term Loans HSBC 2</v>
          </cell>
          <cell r="D973" t="str">
            <v>%</v>
          </cell>
          <cell r="F973">
            <v>0.10249999999999999</v>
          </cell>
        </row>
        <row r="974">
          <cell r="C974" t="str">
            <v>NCD LIC</v>
          </cell>
          <cell r="D974" t="str">
            <v>%</v>
          </cell>
          <cell r="F974">
            <v>0.1275</v>
          </cell>
        </row>
        <row r="975">
          <cell r="C975" t="str">
            <v>Term Loan from HSBC for Neemrana</v>
          </cell>
          <cell r="D975" t="str">
            <v>%</v>
          </cell>
          <cell r="F975">
            <v>0.05</v>
          </cell>
        </row>
        <row r="976">
          <cell r="C976" t="str">
            <v>Long Term Working Capital Loan from EXIM</v>
          </cell>
          <cell r="D976" t="str">
            <v>%</v>
          </cell>
          <cell r="F976">
            <v>0.11</v>
          </cell>
        </row>
        <row r="977">
          <cell r="C977" t="str">
            <v>ICICI ECB 5 Million</v>
          </cell>
          <cell r="D977" t="str">
            <v>%</v>
          </cell>
          <cell r="F977">
            <v>7.2400000000000006E-2</v>
          </cell>
        </row>
        <row r="978">
          <cell r="C978" t="str">
            <v>SBI Term Loan 4000+1000</v>
          </cell>
          <cell r="D978" t="str">
            <v>%</v>
          </cell>
          <cell r="F978">
            <v>9.5000000000000001E-2</v>
          </cell>
        </row>
        <row r="979">
          <cell r="C979" t="str">
            <v>EXIM Term Loan 2000</v>
          </cell>
          <cell r="D979" t="str">
            <v>%</v>
          </cell>
          <cell r="F979">
            <v>0.11</v>
          </cell>
        </row>
        <row r="980">
          <cell r="C980" t="str">
            <v>Term Loan from EXIM Bank</v>
          </cell>
          <cell r="D980" t="str">
            <v>%</v>
          </cell>
          <cell r="F980">
            <v>0.11</v>
          </cell>
        </row>
        <row r="981">
          <cell r="C981" t="str">
            <v>Term Loan From HSBC for Nashik</v>
          </cell>
          <cell r="D981" t="str">
            <v>%</v>
          </cell>
          <cell r="F981">
            <v>7.2499999999999995E-2</v>
          </cell>
        </row>
        <row r="982">
          <cell r="C982" t="str">
            <v>Car Loan and Citicorp Loan</v>
          </cell>
          <cell r="D982" t="str">
            <v>%</v>
          </cell>
          <cell r="F982">
            <v>0</v>
          </cell>
        </row>
        <row r="983">
          <cell r="C983" t="str">
            <v>Working Capital Loans</v>
          </cell>
          <cell r="D983" t="str">
            <v>%</v>
          </cell>
          <cell r="F983">
            <v>7.0000000000000007E-2</v>
          </cell>
        </row>
        <row r="988">
          <cell r="C988" t="str">
            <v>Interest Free Loan</v>
          </cell>
          <cell r="D988" t="str">
            <v>Rsm</v>
          </cell>
          <cell r="I988">
            <v>0</v>
          </cell>
          <cell r="J988">
            <v>0</v>
          </cell>
          <cell r="K988">
            <v>0</v>
          </cell>
          <cell r="L988">
            <v>0</v>
          </cell>
          <cell r="M988">
            <v>0</v>
          </cell>
          <cell r="N988">
            <v>0</v>
          </cell>
          <cell r="O988">
            <v>0</v>
          </cell>
        </row>
        <row r="989">
          <cell r="C989" t="str">
            <v>Trade Deposits</v>
          </cell>
          <cell r="D989" t="str">
            <v>Rsm</v>
          </cell>
          <cell r="I989">
            <v>0</v>
          </cell>
          <cell r="J989">
            <v>0</v>
          </cell>
          <cell r="K989">
            <v>0</v>
          </cell>
          <cell r="L989">
            <v>0</v>
          </cell>
          <cell r="M989">
            <v>0</v>
          </cell>
          <cell r="N989">
            <v>0</v>
          </cell>
          <cell r="O989">
            <v>0</v>
          </cell>
        </row>
        <row r="990">
          <cell r="C990" t="str">
            <v>From Banks</v>
          </cell>
          <cell r="D990" t="str">
            <v>Rsm</v>
          </cell>
          <cell r="I990">
            <v>0</v>
          </cell>
          <cell r="J990">
            <v>0</v>
          </cell>
          <cell r="K990">
            <v>0</v>
          </cell>
          <cell r="L990">
            <v>0</v>
          </cell>
          <cell r="M990">
            <v>0</v>
          </cell>
          <cell r="N990">
            <v>0</v>
          </cell>
          <cell r="O990">
            <v>0</v>
          </cell>
        </row>
        <row r="991">
          <cell r="C991" t="str">
            <v>From Mutual Funds</v>
          </cell>
          <cell r="D991" t="str">
            <v>Rsm</v>
          </cell>
          <cell r="I991">
            <v>0</v>
          </cell>
          <cell r="J991">
            <v>0</v>
          </cell>
          <cell r="K991">
            <v>0</v>
          </cell>
          <cell r="L991">
            <v>0</v>
          </cell>
          <cell r="M991">
            <v>0</v>
          </cell>
          <cell r="N991">
            <v>0</v>
          </cell>
          <cell r="O991">
            <v>0</v>
          </cell>
        </row>
        <row r="992">
          <cell r="C992" t="str">
            <v>Sales Tax Deferment Loan</v>
          </cell>
          <cell r="D992" t="str">
            <v>Rsm</v>
          </cell>
          <cell r="I992">
            <v>0</v>
          </cell>
          <cell r="J992">
            <v>0</v>
          </cell>
          <cell r="K992">
            <v>0</v>
          </cell>
          <cell r="L992">
            <v>0</v>
          </cell>
          <cell r="M992">
            <v>0</v>
          </cell>
          <cell r="N992">
            <v>0</v>
          </cell>
          <cell r="O992">
            <v>0</v>
          </cell>
        </row>
        <row r="995">
          <cell r="C995" t="str">
            <v>Interest Free Loan</v>
          </cell>
          <cell r="D995" t="str">
            <v>%</v>
          </cell>
          <cell r="I995">
            <v>0</v>
          </cell>
          <cell r="J995">
            <v>0</v>
          </cell>
          <cell r="K995">
            <v>0</v>
          </cell>
          <cell r="L995">
            <v>0</v>
          </cell>
          <cell r="M995">
            <v>0</v>
          </cell>
          <cell r="N995">
            <v>0</v>
          </cell>
          <cell r="O995">
            <v>0</v>
          </cell>
        </row>
        <row r="996">
          <cell r="C996" t="str">
            <v>Trade Deposits</v>
          </cell>
          <cell r="D996" t="str">
            <v>%</v>
          </cell>
          <cell r="I996">
            <v>0</v>
          </cell>
          <cell r="J996">
            <v>0</v>
          </cell>
          <cell r="K996">
            <v>0</v>
          </cell>
          <cell r="L996">
            <v>0</v>
          </cell>
          <cell r="M996">
            <v>0</v>
          </cell>
          <cell r="N996">
            <v>0</v>
          </cell>
          <cell r="O996">
            <v>0</v>
          </cell>
        </row>
        <row r="997">
          <cell r="C997" t="str">
            <v>From Banks</v>
          </cell>
          <cell r="D997" t="str">
            <v>%</v>
          </cell>
          <cell r="I997">
            <v>0</v>
          </cell>
          <cell r="J997">
            <v>0</v>
          </cell>
          <cell r="K997">
            <v>0</v>
          </cell>
          <cell r="L997">
            <v>0</v>
          </cell>
          <cell r="M997">
            <v>0</v>
          </cell>
          <cell r="N997">
            <v>0</v>
          </cell>
          <cell r="O997">
            <v>0</v>
          </cell>
        </row>
        <row r="998">
          <cell r="C998" t="str">
            <v>From Mutual Funds</v>
          </cell>
          <cell r="D998" t="str">
            <v>%</v>
          </cell>
          <cell r="I998">
            <v>0</v>
          </cell>
          <cell r="J998">
            <v>0</v>
          </cell>
          <cell r="K998">
            <v>0</v>
          </cell>
          <cell r="L998">
            <v>0</v>
          </cell>
          <cell r="M998">
            <v>0</v>
          </cell>
          <cell r="N998">
            <v>0</v>
          </cell>
          <cell r="O998">
            <v>0</v>
          </cell>
        </row>
        <row r="999">
          <cell r="C999" t="str">
            <v>Sales Tax Deferment Loan</v>
          </cell>
          <cell r="D999" t="str">
            <v>%</v>
          </cell>
          <cell r="I999">
            <v>0</v>
          </cell>
          <cell r="J999">
            <v>0</v>
          </cell>
          <cell r="K999">
            <v>0</v>
          </cell>
          <cell r="L999">
            <v>0</v>
          </cell>
          <cell r="M999">
            <v>0</v>
          </cell>
          <cell r="N999">
            <v>0</v>
          </cell>
          <cell r="O999">
            <v>0</v>
          </cell>
        </row>
        <row r="1002">
          <cell r="C1002" t="str">
            <v>Interest Free Loan</v>
          </cell>
          <cell r="D1002" t="str">
            <v>%</v>
          </cell>
          <cell r="F1002">
            <v>0</v>
          </cell>
        </row>
        <row r="1003">
          <cell r="C1003" t="str">
            <v>Trade Deposits</v>
          </cell>
          <cell r="D1003" t="str">
            <v>%</v>
          </cell>
          <cell r="F1003">
            <v>0</v>
          </cell>
        </row>
        <row r="1004">
          <cell r="C1004" t="str">
            <v>From Banks</v>
          </cell>
          <cell r="D1004" t="str">
            <v>%</v>
          </cell>
          <cell r="F1004">
            <v>0.1</v>
          </cell>
        </row>
        <row r="1005">
          <cell r="C1005" t="str">
            <v>From Mutual Funds</v>
          </cell>
          <cell r="D1005" t="str">
            <v>%</v>
          </cell>
          <cell r="F1005">
            <v>0</v>
          </cell>
        </row>
        <row r="1006">
          <cell r="C1006" t="str">
            <v>Sales Tax Deferment Loan</v>
          </cell>
          <cell r="D1006" t="str">
            <v>%</v>
          </cell>
          <cell r="F1006">
            <v>0</v>
          </cell>
        </row>
        <row r="1017">
          <cell r="D1017">
            <v>1000000</v>
          </cell>
        </row>
      </sheetData>
      <sheetData sheetId="5" refreshError="1"/>
      <sheetData sheetId="6" refreshError="1"/>
      <sheetData sheetId="7" refreshError="1"/>
      <sheetData sheetId="8" refreshError="1"/>
      <sheetData sheetId="9" refreshError="1">
        <row r="77">
          <cell r="C77" t="str">
            <v>Rishra Furnace I</v>
          </cell>
          <cell r="D77" t="str">
            <v>MT</v>
          </cell>
          <cell r="F77">
            <v>62623</v>
          </cell>
          <cell r="G77">
            <v>61883</v>
          </cell>
          <cell r="H77">
            <v>59522</v>
          </cell>
          <cell r="I77">
            <v>56950</v>
          </cell>
          <cell r="J77">
            <v>68625</v>
          </cell>
          <cell r="K77">
            <v>82125</v>
          </cell>
          <cell r="L77">
            <v>82125</v>
          </cell>
          <cell r="M77">
            <v>82125</v>
          </cell>
          <cell r="N77">
            <v>82125</v>
          </cell>
          <cell r="O77">
            <v>82125</v>
          </cell>
        </row>
        <row r="78">
          <cell r="C78" t="str">
            <v xml:space="preserve">Rishra Furnace II </v>
          </cell>
          <cell r="D78" t="str">
            <v>MT</v>
          </cell>
          <cell r="F78">
            <v>60617</v>
          </cell>
          <cell r="G78">
            <v>56530</v>
          </cell>
          <cell r="H78">
            <v>59132</v>
          </cell>
          <cell r="I78">
            <v>82125</v>
          </cell>
          <cell r="J78">
            <v>82125</v>
          </cell>
          <cell r="K78">
            <v>82125</v>
          </cell>
          <cell r="L78">
            <v>82125</v>
          </cell>
          <cell r="M78">
            <v>82125</v>
          </cell>
          <cell r="N78">
            <v>82125</v>
          </cell>
          <cell r="O78">
            <v>82125</v>
          </cell>
        </row>
        <row r="79">
          <cell r="C79" t="str">
            <v>Rishra Furnace VI</v>
          </cell>
          <cell r="D79" t="str">
            <v>MT</v>
          </cell>
          <cell r="F79">
            <v>114980</v>
          </cell>
          <cell r="G79">
            <v>119089</v>
          </cell>
          <cell r="H79">
            <v>118570</v>
          </cell>
          <cell r="I79">
            <v>124100</v>
          </cell>
          <cell r="J79">
            <v>108800</v>
          </cell>
          <cell r="K79">
            <v>166683.33333333334</v>
          </cell>
          <cell r="L79">
            <v>182043.75</v>
          </cell>
          <cell r="M79">
            <v>191625</v>
          </cell>
          <cell r="N79">
            <v>191625</v>
          </cell>
          <cell r="O79">
            <v>191625</v>
          </cell>
        </row>
        <row r="80">
          <cell r="C80" t="str">
            <v>Bghr Furnace III</v>
          </cell>
          <cell r="D80" t="str">
            <v>MT</v>
          </cell>
          <cell r="F80">
            <v>119325</v>
          </cell>
          <cell r="G80">
            <v>94446</v>
          </cell>
          <cell r="H80">
            <v>125580</v>
          </cell>
          <cell r="I80">
            <v>129575</v>
          </cell>
          <cell r="J80">
            <v>129575</v>
          </cell>
          <cell r="K80">
            <v>129575</v>
          </cell>
          <cell r="L80">
            <v>129575</v>
          </cell>
          <cell r="M80">
            <v>129575</v>
          </cell>
          <cell r="N80">
            <v>129575</v>
          </cell>
          <cell r="O80">
            <v>129575</v>
          </cell>
        </row>
        <row r="81">
          <cell r="C81" t="str">
            <v>Bghr Furnace IV</v>
          </cell>
          <cell r="D81" t="str">
            <v>MT</v>
          </cell>
          <cell r="F81">
            <v>62133</v>
          </cell>
          <cell r="G81">
            <v>59038</v>
          </cell>
          <cell r="H81">
            <v>53027</v>
          </cell>
          <cell r="I81">
            <v>47424.464999999997</v>
          </cell>
          <cell r="J81">
            <v>100375</v>
          </cell>
          <cell r="K81">
            <v>100375</v>
          </cell>
          <cell r="L81">
            <v>100375</v>
          </cell>
          <cell r="M81">
            <v>100375</v>
          </cell>
          <cell r="N81">
            <v>100375</v>
          </cell>
          <cell r="O81">
            <v>100375</v>
          </cell>
        </row>
        <row r="82">
          <cell r="C82" t="str">
            <v>Bghr Furnace V</v>
          </cell>
          <cell r="D82" t="str">
            <v>MT</v>
          </cell>
          <cell r="F82">
            <v>45150</v>
          </cell>
          <cell r="G82">
            <v>40739</v>
          </cell>
          <cell r="H82">
            <v>30879</v>
          </cell>
          <cell r="I82">
            <v>62050</v>
          </cell>
          <cell r="J82">
            <v>62050</v>
          </cell>
          <cell r="K82">
            <v>62050</v>
          </cell>
          <cell r="L82">
            <v>62050</v>
          </cell>
          <cell r="M82">
            <v>62050</v>
          </cell>
          <cell r="N82">
            <v>62050</v>
          </cell>
          <cell r="O82">
            <v>62050</v>
          </cell>
        </row>
        <row r="83">
          <cell r="C83" t="str">
            <v>Neemrana Furnace</v>
          </cell>
          <cell r="D83" t="str">
            <v>MT</v>
          </cell>
          <cell r="F83">
            <v>1510</v>
          </cell>
          <cell r="G83">
            <v>62916</v>
          </cell>
          <cell r="H83">
            <v>64613</v>
          </cell>
          <cell r="I83">
            <v>73000</v>
          </cell>
          <cell r="J83">
            <v>73000</v>
          </cell>
          <cell r="K83">
            <v>73000</v>
          </cell>
          <cell r="L83">
            <v>100520</v>
          </cell>
          <cell r="M83">
            <v>183412.5</v>
          </cell>
          <cell r="N83">
            <v>191625</v>
          </cell>
          <cell r="O83">
            <v>191625</v>
          </cell>
        </row>
        <row r="84">
          <cell r="C84" t="str">
            <v>Rishikesh Furnace 1</v>
          </cell>
          <cell r="D84" t="str">
            <v>MT</v>
          </cell>
          <cell r="F84">
            <v>89907</v>
          </cell>
          <cell r="G84">
            <v>90795</v>
          </cell>
          <cell r="H84">
            <v>88228</v>
          </cell>
          <cell r="I84">
            <v>78118.561500000011</v>
          </cell>
          <cell r="J84">
            <v>105850</v>
          </cell>
          <cell r="K84">
            <v>105850</v>
          </cell>
          <cell r="L84">
            <v>105850</v>
          </cell>
          <cell r="M84">
            <v>105850</v>
          </cell>
          <cell r="N84">
            <v>105850</v>
          </cell>
          <cell r="O84">
            <v>105850</v>
          </cell>
        </row>
        <row r="85">
          <cell r="C85" t="str">
            <v>Rishikesh Furnace 2</v>
          </cell>
          <cell r="D85" t="str">
            <v>MT</v>
          </cell>
          <cell r="F85">
            <v>31111</v>
          </cell>
          <cell r="G85">
            <v>44663</v>
          </cell>
          <cell r="H85">
            <v>44858</v>
          </cell>
          <cell r="I85">
            <v>47450</v>
          </cell>
          <cell r="J85">
            <v>47450</v>
          </cell>
          <cell r="K85">
            <v>47450</v>
          </cell>
          <cell r="L85">
            <v>47450</v>
          </cell>
          <cell r="M85">
            <v>47450</v>
          </cell>
          <cell r="N85">
            <v>47450</v>
          </cell>
          <cell r="O85">
            <v>47450</v>
          </cell>
        </row>
        <row r="86">
          <cell r="C86" t="str">
            <v>Pondicherry Furnace 1</v>
          </cell>
          <cell r="D86" t="str">
            <v>MT</v>
          </cell>
          <cell r="F86">
            <v>113578</v>
          </cell>
          <cell r="G86">
            <v>118737</v>
          </cell>
          <cell r="H86">
            <v>129747</v>
          </cell>
          <cell r="I86">
            <v>131400</v>
          </cell>
          <cell r="J86">
            <v>131400</v>
          </cell>
          <cell r="K86">
            <v>131400</v>
          </cell>
          <cell r="L86">
            <v>116120</v>
          </cell>
          <cell r="M86">
            <v>169116.66666666666</v>
          </cell>
          <cell r="N86">
            <v>184781.25</v>
          </cell>
          <cell r="O86">
            <v>191625</v>
          </cell>
        </row>
        <row r="87">
          <cell r="C87" t="str">
            <v>Nashik Furnace 1</v>
          </cell>
          <cell r="D87" t="str">
            <v>MT</v>
          </cell>
          <cell r="F87">
            <v>86212</v>
          </cell>
          <cell r="G87">
            <v>118092</v>
          </cell>
          <cell r="H87">
            <v>125589</v>
          </cell>
          <cell r="I87">
            <v>131400</v>
          </cell>
          <cell r="J87">
            <v>124680</v>
          </cell>
          <cell r="K87">
            <v>184781.25</v>
          </cell>
          <cell r="L87">
            <v>191625</v>
          </cell>
          <cell r="M87">
            <v>191625</v>
          </cell>
          <cell r="N87">
            <v>191625</v>
          </cell>
          <cell r="O87">
            <v>191625</v>
          </cell>
        </row>
        <row r="88">
          <cell r="C88" t="str">
            <v>West Furnace (New)</v>
          </cell>
          <cell r="D88" t="str">
            <v>MT</v>
          </cell>
          <cell r="F88">
            <v>0</v>
          </cell>
          <cell r="G88">
            <v>0</v>
          </cell>
          <cell r="H88">
            <v>0</v>
          </cell>
          <cell r="I88">
            <v>0</v>
          </cell>
          <cell r="J88">
            <v>0</v>
          </cell>
          <cell r="K88">
            <v>45000</v>
          </cell>
          <cell r="L88">
            <v>186150</v>
          </cell>
          <cell r="M88">
            <v>200750</v>
          </cell>
          <cell r="N88">
            <v>211700</v>
          </cell>
          <cell r="O88">
            <v>211700</v>
          </cell>
        </row>
        <row r="89">
          <cell r="C89" t="str">
            <v>North Furnace (New)</v>
          </cell>
          <cell r="D89" t="str">
            <v>MT</v>
          </cell>
          <cell r="F89">
            <v>0</v>
          </cell>
          <cell r="G89">
            <v>0</v>
          </cell>
          <cell r="H89">
            <v>0</v>
          </cell>
          <cell r="I89">
            <v>0</v>
          </cell>
          <cell r="J89">
            <v>0</v>
          </cell>
          <cell r="K89">
            <v>0</v>
          </cell>
          <cell r="L89">
            <v>45000</v>
          </cell>
          <cell r="M89">
            <v>186150</v>
          </cell>
          <cell r="N89">
            <v>200750</v>
          </cell>
          <cell r="O89">
            <v>211700</v>
          </cell>
        </row>
        <row r="90">
          <cell r="C90" t="str">
            <v xml:space="preserve">Andhra Pradesh </v>
          </cell>
          <cell r="D90" t="str">
            <v>MT</v>
          </cell>
          <cell r="F90">
            <v>0</v>
          </cell>
          <cell r="G90">
            <v>0</v>
          </cell>
          <cell r="H90">
            <v>0</v>
          </cell>
          <cell r="I90">
            <v>0</v>
          </cell>
          <cell r="J90">
            <v>0</v>
          </cell>
          <cell r="K90">
            <v>182500</v>
          </cell>
          <cell r="L90">
            <v>197100</v>
          </cell>
          <cell r="M90">
            <v>211700</v>
          </cell>
          <cell r="N90">
            <v>211700</v>
          </cell>
          <cell r="O90">
            <v>211700</v>
          </cell>
        </row>
        <row r="91">
          <cell r="C91" t="str">
            <v>Total</v>
          </cell>
          <cell r="D91" t="str">
            <v>MT</v>
          </cell>
          <cell r="F91">
            <v>787146</v>
          </cell>
          <cell r="G91">
            <v>866928</v>
          </cell>
          <cell r="H91">
            <v>899745</v>
          </cell>
          <cell r="I91">
            <v>963593.02649999992</v>
          </cell>
          <cell r="J91">
            <v>1033930</v>
          </cell>
          <cell r="K91">
            <v>1392914.5833333335</v>
          </cell>
          <cell r="L91">
            <v>1628108.75</v>
          </cell>
          <cell r="M91">
            <v>1943929.1666666667</v>
          </cell>
          <cell r="N91">
            <v>1993356.25</v>
          </cell>
          <cell r="O91">
            <v>2011150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213">
          <cell r="C213">
            <v>45.14</v>
          </cell>
        </row>
      </sheetData>
      <sheetData sheetId="4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BS"/>
      <sheetName val="Assumption"/>
      <sheetName val="key numbers at glance"/>
      <sheetName val="PPT"/>
      <sheetName val="Consolidated P&amp;L"/>
      <sheetName val="Cash Flow"/>
      <sheetName val="600 TPD"/>
      <sheetName val="900 TPD"/>
      <sheetName val="1200 TPD"/>
      <sheetName val="Processing Plant"/>
      <sheetName val="Mirror Glass"/>
      <sheetName val="Debts"/>
      <sheetName val="Working Capital"/>
      <sheetName val="Deprec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ns"/>
      <sheetName val="Assum"/>
      <sheetName val="Outputs-&gt;&gt;"/>
      <sheetName val="DebtRatios"/>
      <sheetName val="Returns"/>
      <sheetName val="Financial statements-&gt;&gt;"/>
      <sheetName val="BS"/>
      <sheetName val="IS"/>
      <sheetName val="CFS"/>
      <sheetName val="Workings-&gt;&gt;"/>
      <sheetName val="Gateway Util"/>
      <sheetName val="Util"/>
      <sheetName val="Revenues"/>
      <sheetName val="Costs"/>
      <sheetName val="Capex"/>
      <sheetName val="Debt"/>
      <sheetName val="WCap"/>
      <sheetName val="Tax"/>
      <sheetName val="Tax-U"/>
      <sheetName val="Dep"/>
    </sheetNames>
    <sheetDataSet>
      <sheetData sheetId="0" refreshError="1"/>
      <sheetData sheetId="1" refreshError="1"/>
      <sheetData sheetId="2" refreshError="1">
        <row r="5">
          <cell r="E5">
            <v>40452</v>
          </cell>
        </row>
        <row r="7">
          <cell r="E7">
            <v>41639</v>
          </cell>
        </row>
        <row r="8">
          <cell r="E8">
            <v>41640</v>
          </cell>
        </row>
        <row r="10">
          <cell r="E10">
            <v>47118</v>
          </cell>
        </row>
        <row r="268">
          <cell r="E268">
            <v>0.33217499999999994</v>
          </cell>
        </row>
        <row r="274">
          <cell r="E274">
            <v>0.16608749999999997</v>
          </cell>
        </row>
        <row r="299">
          <cell r="F299">
            <v>48</v>
          </cell>
          <cell r="G299">
            <v>48.96</v>
          </cell>
          <cell r="H299">
            <v>49.9392</v>
          </cell>
          <cell r="I299">
            <v>50.937984</v>
          </cell>
          <cell r="J299">
            <v>51.956743680000002</v>
          </cell>
          <cell r="K299">
            <v>52.476311116800005</v>
          </cell>
          <cell r="L299">
            <v>53.001074227968004</v>
          </cell>
          <cell r="M299">
            <v>53.531084970247683</v>
          </cell>
          <cell r="N299">
            <v>54.066395819950159</v>
          </cell>
          <cell r="O299">
            <v>54.607059778149662</v>
          </cell>
          <cell r="P299">
            <v>55.153130375931156</v>
          </cell>
          <cell r="Q299">
            <v>55.704661679690467</v>
          </cell>
          <cell r="R299">
            <v>56.26170829648737</v>
          </cell>
          <cell r="S299">
            <v>56.824325379452247</v>
          </cell>
          <cell r="T299">
            <v>57.392568633246768</v>
          </cell>
          <cell r="U299">
            <v>57.966494319579233</v>
          </cell>
          <cell r="V299">
            <v>58.546159262775028</v>
          </cell>
          <cell r="W299">
            <v>59.13162085540278</v>
          </cell>
          <cell r="X299">
            <v>59.722937063956806</v>
          </cell>
          <cell r="Y299">
            <v>60.320166434596374</v>
          </cell>
        </row>
        <row r="309">
          <cell r="E309">
            <v>40269</v>
          </cell>
        </row>
        <row r="310">
          <cell r="E310">
            <v>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Gainloss computation FY 09-10"/>
      <sheetName val="Summary"/>
      <sheetName val="Issue sheet"/>
      <sheetName val="Tables_True up FY 09-10"/>
      <sheetName val="Assumption_PwC"/>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s>
    <sheetDataSet>
      <sheetData sheetId="0">
        <row r="16">
          <cell r="B16">
            <v>0.13</v>
          </cell>
        </row>
      </sheetData>
      <sheetData sheetId="1" refreshError="1"/>
      <sheetData sheetId="2" refreshError="1"/>
      <sheetData sheetId="3" refreshError="1"/>
      <sheetData sheetId="4" refreshError="1"/>
      <sheetData sheetId="5">
        <row r="7">
          <cell r="D7">
            <v>0.1074</v>
          </cell>
          <cell r="E7">
            <v>0.1055</v>
          </cell>
        </row>
        <row r="8">
          <cell r="D8">
            <v>8.1799999999999998E-2</v>
          </cell>
        </row>
        <row r="116">
          <cell r="C116">
            <v>0.11749999999999999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y Table"/>
      <sheetName val="Assumptions"/>
      <sheetName val="Capex Scheduling"/>
      <sheetName val="Tax Schedule"/>
      <sheetName val="Applicable Tariffs"/>
      <sheetName val="LT"/>
      <sheetName val="Workings"/>
      <sheetName val="Debt Schedule"/>
      <sheetName val="Working Capital Schedule"/>
      <sheetName val="Depreciation Schedule"/>
      <sheetName val="Statements"/>
      <sheetName val="Output"/>
      <sheetName val="PIM related"/>
      <sheetName val="PFSBU"/>
      <sheetName val="Sensitivity"/>
    </sheetNames>
    <sheetDataSet>
      <sheetData sheetId="0"/>
      <sheetData sheetId="1">
        <row r="4">
          <cell r="D4">
            <v>72</v>
          </cell>
        </row>
        <row r="8">
          <cell r="H8">
            <v>6.45</v>
          </cell>
        </row>
        <row r="31">
          <cell r="I31">
            <v>1.3222758083113</v>
          </cell>
        </row>
        <row r="32">
          <cell r="I32">
            <v>1.2181267280054444</v>
          </cell>
        </row>
        <row r="37">
          <cell r="L37">
            <v>0</v>
          </cell>
        </row>
        <row r="38">
          <cell r="L38">
            <v>0</v>
          </cell>
        </row>
        <row r="40">
          <cell r="L40">
            <v>0</v>
          </cell>
        </row>
        <row r="41">
          <cell r="L41">
            <v>0</v>
          </cell>
        </row>
      </sheetData>
      <sheetData sheetId="2">
        <row r="35">
          <cell r="F35">
            <v>3.9659708650000005</v>
          </cell>
          <cell r="G35">
            <v>7.931941730000001</v>
          </cell>
          <cell r="H35">
            <v>13.219902883333333</v>
          </cell>
          <cell r="I35">
            <v>14.541893171666667</v>
          </cell>
          <cell r="J35">
            <v>17.744209085481582</v>
          </cell>
          <cell r="K35">
            <v>20.035433698214721</v>
          </cell>
          <cell r="L35">
            <v>21.535191691865165</v>
          </cell>
          <cell r="M35">
            <v>23.04491192022952</v>
          </cell>
          <cell r="N35">
            <v>24.564660557949367</v>
          </cell>
          <cell r="O35">
            <v>26.094504219198839</v>
          </cell>
          <cell r="P35">
            <v>27.636786883114102</v>
          </cell>
          <cell r="Q35">
            <v>30.096064002752019</v>
          </cell>
          <cell r="R35">
            <v>0</v>
          </cell>
          <cell r="S35">
            <v>0</v>
          </cell>
          <cell r="T35">
            <v>0</v>
          </cell>
        </row>
      </sheetData>
      <sheetData sheetId="3"/>
      <sheetData sheetId="4"/>
      <sheetData sheetId="5"/>
      <sheetData sheetId="6"/>
      <sheetData sheetId="7"/>
      <sheetData sheetId="8"/>
      <sheetData sheetId="9"/>
      <sheetData sheetId="10">
        <row r="86">
          <cell r="E86">
            <v>1017.711978364682</v>
          </cell>
        </row>
      </sheetData>
      <sheetData sheetId="11"/>
      <sheetData sheetId="12">
        <row r="10">
          <cell r="B10">
            <v>4.6701961265249059</v>
          </cell>
        </row>
      </sheetData>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hyperlink" Target="https://in.investing.com/rates-bonds/india-10-year-bond-yield-historical-data" TargetMode="External"/><Relationship Id="rId1" Type="http://schemas.openxmlformats.org/officeDocument/2006/relationships/hyperlink" Target="https://kunaldesai.blog/nifty-returns/"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499984740745262"/>
  </sheetPr>
  <dimension ref="B2:I76"/>
  <sheetViews>
    <sheetView showGridLines="0" topLeftCell="A31" workbookViewId="0">
      <selection activeCell="F50" sqref="F50"/>
    </sheetView>
  </sheetViews>
  <sheetFormatPr defaultRowHeight="14.4"/>
  <cols>
    <col min="1" max="1" width="3.44140625" customWidth="1"/>
    <col min="2" max="2" width="40" customWidth="1"/>
    <col min="3" max="3" width="0" hidden="1" customWidth="1"/>
    <col min="4" max="4" width="35.33203125" customWidth="1"/>
    <col min="5" max="5" width="28.33203125" customWidth="1"/>
    <col min="6" max="6" width="23" customWidth="1"/>
  </cols>
  <sheetData>
    <row r="2" spans="2:6" ht="25.5" customHeight="1">
      <c r="B2" s="121" t="s">
        <v>541</v>
      </c>
      <c r="C2" s="121"/>
      <c r="D2" s="121"/>
      <c r="E2" s="121"/>
    </row>
    <row r="3" spans="2:6">
      <c r="B3" s="122"/>
      <c r="C3" s="122"/>
      <c r="D3" s="122"/>
      <c r="E3" s="122"/>
    </row>
    <row r="4" spans="2:6" ht="18.75" customHeight="1">
      <c r="B4" s="123" t="s">
        <v>0</v>
      </c>
      <c r="C4" s="123"/>
      <c r="D4" s="123"/>
      <c r="E4" s="123"/>
    </row>
    <row r="5" spans="2:6">
      <c r="B5" s="122"/>
      <c r="C5" s="122"/>
      <c r="D5" s="122"/>
      <c r="E5" s="122"/>
    </row>
    <row r="6" spans="2:6" ht="36.75" customHeight="1">
      <c r="B6" s="124" t="s">
        <v>4</v>
      </c>
      <c r="C6" s="125"/>
      <c r="D6" s="126" t="s">
        <v>35</v>
      </c>
      <c r="E6" s="127" t="s">
        <v>1</v>
      </c>
    </row>
    <row r="7" spans="2:6" ht="20.25" customHeight="1">
      <c r="B7" s="129" t="s">
        <v>2</v>
      </c>
      <c r="C7" s="122"/>
      <c r="D7" s="128"/>
      <c r="E7" s="128"/>
    </row>
    <row r="8" spans="2:6" ht="18.600000000000001" customHeight="1">
      <c r="B8" s="130" t="s">
        <v>3</v>
      </c>
      <c r="C8" s="122"/>
      <c r="D8" s="128"/>
      <c r="E8" s="128"/>
    </row>
    <row r="9" spans="2:6" ht="16.2" customHeight="1">
      <c r="B9" s="131" t="s">
        <v>36</v>
      </c>
      <c r="C9" s="122"/>
      <c r="D9" s="132">
        <f>1985421949/10^7</f>
        <v>198.5421949</v>
      </c>
      <c r="E9" s="132">
        <f>'Non-Current Assets'!H19</f>
        <v>195.24306387678388</v>
      </c>
      <c r="F9" s="31"/>
    </row>
    <row r="10" spans="2:6" ht="16.2" customHeight="1">
      <c r="B10" s="131" t="s">
        <v>538</v>
      </c>
      <c r="C10" s="122"/>
      <c r="D10" s="362"/>
      <c r="E10" s="133"/>
      <c r="F10" s="31"/>
    </row>
    <row r="11" spans="2:6" ht="16.2" customHeight="1">
      <c r="B11" s="131" t="s">
        <v>535</v>
      </c>
      <c r="C11" s="122"/>
      <c r="D11" s="132">
        <f>188962420/10^7</f>
        <v>18.896242000000001</v>
      </c>
      <c r="E11" s="132">
        <f>'Non-Current Assets'!H38</f>
        <v>3.5184875</v>
      </c>
      <c r="F11" s="31"/>
    </row>
    <row r="12" spans="2:6" ht="16.2" customHeight="1">
      <c r="B12" s="131" t="s">
        <v>536</v>
      </c>
      <c r="C12" s="122"/>
      <c r="D12" s="132">
        <f>26876530/10^7</f>
        <v>2.6876530000000001</v>
      </c>
      <c r="E12" s="132">
        <f>'Non-Current Assets'!H55</f>
        <v>2.3715872510999998</v>
      </c>
      <c r="F12" s="31"/>
    </row>
    <row r="13" spans="2:6" ht="16.2" customHeight="1">
      <c r="B13" s="131" t="s">
        <v>537</v>
      </c>
      <c r="C13" s="122"/>
      <c r="D13" s="132">
        <f>62961698/10^7</f>
        <v>6.2961698000000004</v>
      </c>
      <c r="E13" s="132">
        <f>'Non-Current Assets'!H64</f>
        <v>5.0398591849000001</v>
      </c>
      <c r="F13" s="31"/>
    </row>
    <row r="14" spans="2:6" ht="18.600000000000001" customHeight="1">
      <c r="B14" s="393" t="s">
        <v>8</v>
      </c>
      <c r="C14" s="394"/>
      <c r="D14" s="395">
        <f>SUM(D9,D11:D13)</f>
        <v>226.42225970000001</v>
      </c>
      <c r="E14" s="395">
        <f>SUM(E9,E11:E13)</f>
        <v>206.17299781278388</v>
      </c>
      <c r="F14" s="6"/>
    </row>
    <row r="15" spans="2:6">
      <c r="B15" s="130" t="s">
        <v>7</v>
      </c>
      <c r="C15" s="122"/>
      <c r="D15" s="132"/>
      <c r="E15" s="132"/>
      <c r="F15" s="6"/>
    </row>
    <row r="16" spans="2:6">
      <c r="B16" s="363" t="s">
        <v>668</v>
      </c>
      <c r="C16" s="122"/>
      <c r="D16" s="132">
        <f>6547330/10^7</f>
        <v>0.65473300000000001</v>
      </c>
      <c r="E16" s="132">
        <f>'Current Assets'!E10</f>
        <v>0.58925972429999995</v>
      </c>
      <c r="F16" s="6"/>
    </row>
    <row r="17" spans="2:6">
      <c r="B17" s="136" t="s">
        <v>39</v>
      </c>
      <c r="C17" s="122"/>
      <c r="D17" s="362"/>
      <c r="E17" s="132"/>
      <c r="F17" s="6"/>
    </row>
    <row r="18" spans="2:6">
      <c r="B18" s="137" t="s">
        <v>37</v>
      </c>
      <c r="C18" s="122"/>
      <c r="D18" s="132">
        <f>38586623/10^7</f>
        <v>3.8586623000000002</v>
      </c>
      <c r="E18" s="132">
        <f>'Current Assets'!E17</f>
        <v>3.1145769227000004</v>
      </c>
      <c r="F18" s="6"/>
    </row>
    <row r="19" spans="2:6">
      <c r="B19" s="137" t="s">
        <v>38</v>
      </c>
      <c r="C19" s="122"/>
      <c r="D19" s="132">
        <f>21318936/10^7</f>
        <v>2.1318936000000002</v>
      </c>
      <c r="E19" s="132">
        <f>'Current Assets'!E24</f>
        <v>2.1318935889999997</v>
      </c>
      <c r="F19" s="6"/>
    </row>
    <row r="20" spans="2:6">
      <c r="B20" s="363" t="s">
        <v>539</v>
      </c>
      <c r="C20" s="122"/>
      <c r="D20" s="132">
        <f>56239172/10^7</f>
        <v>5.6239172000000002</v>
      </c>
      <c r="E20" s="132">
        <f>'Current Assets'!E32</f>
        <v>4.1312589983999999</v>
      </c>
      <c r="F20" s="6"/>
    </row>
    <row r="21" spans="2:6">
      <c r="B21" s="396" t="s">
        <v>5</v>
      </c>
      <c r="C21" s="391"/>
      <c r="D21" s="395">
        <f>SUM(D16:D17,D18:D20)</f>
        <v>12.269206100000002</v>
      </c>
      <c r="E21" s="395">
        <f>SUM(E16:E17,E18:E20)</f>
        <v>9.9669892343999997</v>
      </c>
      <c r="F21" s="6"/>
    </row>
    <row r="22" spans="2:6">
      <c r="B22" s="397" t="s">
        <v>40</v>
      </c>
      <c r="C22" s="391"/>
      <c r="D22" s="395">
        <f>D14+D21</f>
        <v>238.6914658</v>
      </c>
      <c r="E22" s="395">
        <f>E14+E21</f>
        <v>216.13998704718387</v>
      </c>
      <c r="F22" s="6"/>
    </row>
    <row r="23" spans="2:6" ht="17.399999999999999">
      <c r="B23" s="129" t="s">
        <v>9</v>
      </c>
      <c r="C23" s="122"/>
      <c r="D23" s="132"/>
      <c r="E23" s="132"/>
      <c r="F23" s="6"/>
    </row>
    <row r="24" spans="2:6">
      <c r="B24" s="139" t="s">
        <v>41</v>
      </c>
      <c r="C24" s="122"/>
      <c r="D24" s="132"/>
      <c r="E24" s="132"/>
    </row>
    <row r="25" spans="2:6">
      <c r="B25" s="136" t="s">
        <v>42</v>
      </c>
      <c r="C25" s="122"/>
      <c r="D25" s="132">
        <f>424052240/10^7</f>
        <v>42.405223999999997</v>
      </c>
      <c r="E25" s="132">
        <f>'Equity &amp; Liabilities'!H28</f>
        <v>42.405223999999997</v>
      </c>
      <c r="F25" s="6"/>
    </row>
    <row r="26" spans="2:6" ht="15.6">
      <c r="B26" s="140" t="s">
        <v>43</v>
      </c>
      <c r="C26" s="122"/>
      <c r="D26" s="141">
        <f>-4483258600/10^7</f>
        <v>-448.32585999999998</v>
      </c>
      <c r="E26" s="141">
        <f>'Equity &amp; Liabilities'!H59</f>
        <v>-448.32585944830333</v>
      </c>
      <c r="F26" s="6"/>
    </row>
    <row r="27" spans="2:6">
      <c r="B27" s="398" t="s">
        <v>10</v>
      </c>
      <c r="C27" s="391"/>
      <c r="D27" s="399">
        <f>SUM(D25:D26)</f>
        <v>-405.920636</v>
      </c>
      <c r="E27" s="399">
        <f>SUM(E25:E26)</f>
        <v>-405.92063544830336</v>
      </c>
      <c r="F27" s="6"/>
    </row>
    <row r="28" spans="2:6">
      <c r="B28" s="142" t="s">
        <v>44</v>
      </c>
      <c r="C28" s="122"/>
      <c r="D28" s="132"/>
      <c r="E28" s="132"/>
      <c r="F28" s="6"/>
    </row>
    <row r="29" spans="2:6">
      <c r="B29" s="143" t="s">
        <v>49</v>
      </c>
      <c r="C29" s="122"/>
      <c r="D29" s="132"/>
      <c r="E29" s="132"/>
      <c r="F29" s="6"/>
    </row>
    <row r="30" spans="2:6">
      <c r="B30" s="136" t="s">
        <v>45</v>
      </c>
      <c r="C30" s="122"/>
      <c r="D30" s="132"/>
      <c r="E30" s="132"/>
      <c r="F30" s="6"/>
    </row>
    <row r="31" spans="2:6">
      <c r="B31" s="144" t="s">
        <v>46</v>
      </c>
      <c r="C31" s="122"/>
      <c r="D31" s="132">
        <f>3817302287/10^7</f>
        <v>381.7302287</v>
      </c>
      <c r="E31" s="132">
        <f>'Equity &amp; Liabilities'!H81</f>
        <v>381.73022872800004</v>
      </c>
      <c r="F31" s="6"/>
    </row>
    <row r="32" spans="2:6">
      <c r="B32" s="145" t="s">
        <v>47</v>
      </c>
      <c r="C32" s="122"/>
      <c r="D32" s="132">
        <f>292167827/10^7</f>
        <v>29.2167827</v>
      </c>
      <c r="E32" s="132">
        <f>'Equity &amp; Liabilities'!H88</f>
        <v>29.216782690624221</v>
      </c>
      <c r="F32" s="6"/>
    </row>
    <row r="33" spans="2:7" ht="15.6">
      <c r="B33" s="136" t="s">
        <v>48</v>
      </c>
      <c r="C33" s="122"/>
      <c r="D33" s="132">
        <f>15891790/10^7</f>
        <v>1.5891789999999999</v>
      </c>
      <c r="E33" s="132">
        <f>'Equity &amp; Liabilities'!H92</f>
        <v>1.5891790100000001</v>
      </c>
      <c r="F33" s="6"/>
    </row>
    <row r="34" spans="2:7">
      <c r="B34" s="400" t="s">
        <v>50</v>
      </c>
      <c r="C34" s="391"/>
      <c r="D34" s="395">
        <f>SUM(D31:D33)</f>
        <v>412.53619040000001</v>
      </c>
      <c r="E34" s="395">
        <f>SUM(E31:E33)</f>
        <v>412.53619042862425</v>
      </c>
      <c r="F34" s="6"/>
    </row>
    <row r="35" spans="2:7">
      <c r="B35" s="143" t="s">
        <v>52</v>
      </c>
      <c r="C35" s="122"/>
      <c r="D35" s="132"/>
      <c r="E35" s="132"/>
      <c r="F35" s="6"/>
    </row>
    <row r="36" spans="2:7">
      <c r="B36" s="136" t="s">
        <v>45</v>
      </c>
      <c r="C36" s="122"/>
      <c r="D36" s="132"/>
      <c r="E36" s="132"/>
      <c r="F36" s="6"/>
    </row>
    <row r="37" spans="2:7">
      <c r="B37" s="144" t="s">
        <v>46</v>
      </c>
      <c r="C37" s="122"/>
      <c r="D37" s="132">
        <f>10613391/10^7</f>
        <v>1.0613391000000001</v>
      </c>
      <c r="E37" s="132">
        <f>'Equity &amp; Liabilities'!H101</f>
        <v>1.0613391289999998</v>
      </c>
      <c r="F37" s="6"/>
    </row>
    <row r="38" spans="2:7">
      <c r="B38" s="369" t="s">
        <v>662</v>
      </c>
      <c r="C38" s="122"/>
      <c r="D38" s="132">
        <f>176375119/10^7</f>
        <v>17.6375119</v>
      </c>
      <c r="E38" s="132">
        <f>'Equity &amp; Liabilities'!H106</f>
        <v>17.637511878000002</v>
      </c>
      <c r="F38" s="6"/>
    </row>
    <row r="39" spans="2:7">
      <c r="B39" s="146" t="s">
        <v>540</v>
      </c>
      <c r="C39" s="122"/>
      <c r="D39" s="132">
        <f>1947876846/10^7</f>
        <v>194.78768460000001</v>
      </c>
      <c r="E39" s="132">
        <f>'Equity &amp; Liabilities'!H122</f>
        <v>194.78768490199997</v>
      </c>
      <c r="F39" s="6"/>
    </row>
    <row r="40" spans="2:7">
      <c r="B40" s="146" t="s">
        <v>51</v>
      </c>
      <c r="C40" s="122"/>
      <c r="D40" s="132">
        <f>185893758/10^7</f>
        <v>18.589375799999999</v>
      </c>
      <c r="E40" s="132">
        <f>'Equity &amp; Liabilities'!H132</f>
        <v>18.588232221000002</v>
      </c>
      <c r="F40" s="6"/>
    </row>
    <row r="41" spans="2:7">
      <c r="B41" s="401" t="s">
        <v>53</v>
      </c>
      <c r="C41" s="391"/>
      <c r="D41" s="395">
        <f>SUM(D37:D40)</f>
        <v>232.0759114</v>
      </c>
      <c r="E41" s="395">
        <f>SUM(E37:E40)</f>
        <v>232.07476812999997</v>
      </c>
      <c r="F41" s="6"/>
    </row>
    <row r="42" spans="2:7">
      <c r="B42" s="147"/>
      <c r="C42" s="122"/>
      <c r="D42" s="138"/>
      <c r="E42" s="132"/>
      <c r="F42" s="6"/>
    </row>
    <row r="43" spans="2:7">
      <c r="B43" s="402" t="s">
        <v>54</v>
      </c>
      <c r="C43" s="391"/>
      <c r="D43" s="395">
        <f>SUM(D41,D34,D27)</f>
        <v>238.6914658</v>
      </c>
      <c r="E43" s="395">
        <f>SUM(E41,E34,E27)</f>
        <v>238.69032311032089</v>
      </c>
      <c r="F43" s="6"/>
    </row>
    <row r="44" spans="2:7" ht="17.25" customHeight="1">
      <c r="B44" s="122" t="s">
        <v>6</v>
      </c>
      <c r="C44" s="122"/>
      <c r="D44" s="148">
        <f>SUM(D38:D40)-'Equity &amp; Liabilities'!E109-'Equity &amp; Liabilities'!E110</f>
        <v>53.404532632000027</v>
      </c>
      <c r="E44" s="148">
        <f>SUM(E38:E40)-'Equity &amp; Liabilities'!H109-'Equity &amp; Liabilities'!H110</f>
        <v>53.403389332999993</v>
      </c>
    </row>
    <row r="45" spans="2:7" ht="17.25" customHeight="1">
      <c r="B45" s="122" t="s">
        <v>24</v>
      </c>
      <c r="C45" s="122"/>
      <c r="D45" s="309">
        <v>0</v>
      </c>
      <c r="E45" s="148">
        <f>D45</f>
        <v>0</v>
      </c>
      <c r="G45" s="4"/>
    </row>
    <row r="46" spans="2:7" ht="17.25" customHeight="1">
      <c r="B46" s="382" t="s">
        <v>25</v>
      </c>
      <c r="C46" s="382"/>
      <c r="D46" s="403"/>
      <c r="E46" s="403">
        <f>SUM(E44:E45)</f>
        <v>53.403389332999993</v>
      </c>
    </row>
    <row r="47" spans="2:7">
      <c r="B47" s="130"/>
      <c r="C47" s="130"/>
      <c r="D47" s="135"/>
      <c r="E47" s="135"/>
    </row>
    <row r="48" spans="2:7" ht="21" customHeight="1">
      <c r="B48" s="124" t="s">
        <v>26</v>
      </c>
      <c r="C48" s="149"/>
      <c r="D48" s="149"/>
      <c r="E48" s="150">
        <f>E22-E46</f>
        <v>162.73659771418386</v>
      </c>
    </row>
    <row r="49" spans="2:9" ht="18.75" customHeight="1">
      <c r="B49" s="3"/>
      <c r="C49" s="3"/>
      <c r="D49" s="8"/>
      <c r="E49" s="8"/>
    </row>
    <row r="50" spans="2:9">
      <c r="B50" s="3"/>
      <c r="C50" s="3"/>
      <c r="D50" s="8"/>
      <c r="E50" s="8"/>
      <c r="I50" s="6"/>
    </row>
    <row r="51" spans="2:9">
      <c r="B51" s="3"/>
      <c r="C51" s="3"/>
      <c r="D51" s="8"/>
      <c r="E51" s="8"/>
    </row>
    <row r="52" spans="2:9">
      <c r="B52" s="3"/>
      <c r="C52" s="3"/>
      <c r="D52" s="8"/>
      <c r="E52" s="8"/>
    </row>
    <row r="53" spans="2:9">
      <c r="B53" s="3"/>
      <c r="C53" s="3"/>
      <c r="D53" s="8"/>
      <c r="E53" s="8"/>
    </row>
    <row r="54" spans="2:9">
      <c r="B54" s="3"/>
      <c r="C54" s="3"/>
      <c r="D54" s="8"/>
      <c r="E54" s="8"/>
    </row>
    <row r="55" spans="2:9" ht="20.25" customHeight="1">
      <c r="B55" s="3"/>
      <c r="C55" s="3"/>
      <c r="D55" s="8"/>
      <c r="E55" s="8"/>
    </row>
    <row r="56" spans="2:9">
      <c r="B56" s="3"/>
      <c r="C56" s="3"/>
      <c r="D56" s="8"/>
      <c r="E56" s="8"/>
    </row>
    <row r="57" spans="2:9">
      <c r="B57" s="3"/>
      <c r="C57" s="3"/>
      <c r="D57" s="8"/>
      <c r="E57" s="8"/>
    </row>
    <row r="58" spans="2:9">
      <c r="B58" s="3"/>
      <c r="C58" s="3"/>
      <c r="D58" s="8"/>
      <c r="E58" s="8"/>
    </row>
    <row r="59" spans="2:9">
      <c r="B59" s="3"/>
      <c r="C59" s="3"/>
      <c r="D59" s="8"/>
      <c r="E59" s="8"/>
    </row>
    <row r="60" spans="2:9">
      <c r="B60" s="3"/>
      <c r="C60" s="3"/>
      <c r="D60" s="8"/>
      <c r="E60" s="8"/>
    </row>
    <row r="61" spans="2:9">
      <c r="B61" s="3"/>
      <c r="C61" s="3"/>
      <c r="D61" s="8"/>
      <c r="E61" s="8"/>
    </row>
    <row r="62" spans="2:9">
      <c r="B62" s="3"/>
      <c r="C62" s="3"/>
      <c r="D62" s="8"/>
      <c r="E62" s="8"/>
    </row>
    <row r="63" spans="2:9">
      <c r="B63" s="3"/>
      <c r="C63" s="3"/>
      <c r="D63" s="8"/>
      <c r="E63" s="8"/>
    </row>
    <row r="64" spans="2:9">
      <c r="B64" s="3"/>
      <c r="C64" s="3"/>
      <c r="D64" s="8"/>
      <c r="E64" s="8"/>
    </row>
    <row r="65" spans="2:5" ht="21.75" customHeight="1">
      <c r="B65" s="3"/>
      <c r="C65" s="3"/>
      <c r="D65" s="8"/>
      <c r="E65" s="8"/>
    </row>
    <row r="66" spans="2:5">
      <c r="B66" s="3"/>
      <c r="C66" s="3"/>
      <c r="D66" s="8"/>
      <c r="E66" s="8"/>
    </row>
    <row r="67" spans="2:5">
      <c r="B67" s="3"/>
      <c r="C67" s="3"/>
      <c r="D67" s="8"/>
      <c r="E67" s="8"/>
    </row>
    <row r="68" spans="2:5">
      <c r="B68" s="3"/>
      <c r="C68" s="3"/>
      <c r="D68" s="8"/>
      <c r="E68" s="8"/>
    </row>
    <row r="69" spans="2:5">
      <c r="B69" s="3"/>
      <c r="C69" s="3"/>
      <c r="D69" s="8"/>
      <c r="E69" s="8"/>
    </row>
    <row r="70" spans="2:5">
      <c r="B70" s="3"/>
      <c r="C70" s="3"/>
      <c r="D70" s="8"/>
      <c r="E70" s="8"/>
    </row>
    <row r="71" spans="2:5" ht="26.25" customHeight="1">
      <c r="B71" s="3"/>
      <c r="C71" s="3"/>
      <c r="D71" s="8"/>
      <c r="E71" s="8"/>
    </row>
    <row r="72" spans="2:5">
      <c r="B72" s="3"/>
      <c r="C72" s="3"/>
      <c r="D72" s="8"/>
      <c r="E72" s="8"/>
    </row>
    <row r="73" spans="2:5">
      <c r="B73" s="3"/>
      <c r="C73" s="3"/>
      <c r="D73" s="8"/>
      <c r="E73" s="8"/>
    </row>
    <row r="74" spans="2:5">
      <c r="B74" s="3"/>
      <c r="C74" s="3"/>
      <c r="D74" s="8"/>
      <c r="E74" s="8"/>
    </row>
    <row r="75" spans="2:5">
      <c r="B75" s="3"/>
      <c r="C75" s="3"/>
      <c r="D75" s="8"/>
      <c r="E75" s="8"/>
    </row>
    <row r="76" spans="2:5">
      <c r="B76" s="3"/>
      <c r="C76" s="3"/>
      <c r="D76" s="8"/>
      <c r="E76" s="8"/>
    </row>
  </sheetData>
  <pageMargins left="0.7" right="0.7" top="0.75" bottom="0.75" header="0.3" footer="0.3"/>
  <pageSetup paperSize="9"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69"/>
  <sheetViews>
    <sheetView topLeftCell="A24" workbookViewId="0">
      <selection activeCell="K39" sqref="K39"/>
    </sheetView>
  </sheetViews>
  <sheetFormatPr defaultRowHeight="14.4"/>
  <cols>
    <col min="1" max="1" width="8.88671875" style="511"/>
    <col min="2" max="2" width="28.109375" style="511" bestFit="1" customWidth="1"/>
    <col min="3" max="4" width="8.88671875" style="511"/>
    <col min="5" max="5" width="9" style="511" bestFit="1" customWidth="1"/>
    <col min="6" max="15" width="9.6640625" style="511" bestFit="1" customWidth="1"/>
    <col min="16" max="259" width="8.88671875" style="511"/>
    <col min="260" max="260" width="9" style="511" bestFit="1" customWidth="1"/>
    <col min="261" max="271" width="9.6640625" style="511" bestFit="1" customWidth="1"/>
    <col min="272" max="515" width="8.88671875" style="511"/>
    <col min="516" max="516" width="9" style="511" bestFit="1" customWidth="1"/>
    <col min="517" max="527" width="9.6640625" style="511" bestFit="1" customWidth="1"/>
    <col min="528" max="771" width="8.88671875" style="511"/>
    <col min="772" max="772" width="9" style="511" bestFit="1" customWidth="1"/>
    <col min="773" max="783" width="9.6640625" style="511" bestFit="1" customWidth="1"/>
    <col min="784" max="1027" width="8.88671875" style="511"/>
    <col min="1028" max="1028" width="9" style="511" bestFit="1" customWidth="1"/>
    <col min="1029" max="1039" width="9.6640625" style="511" bestFit="1" customWidth="1"/>
    <col min="1040" max="1283" width="8.88671875" style="511"/>
    <col min="1284" max="1284" width="9" style="511" bestFit="1" customWidth="1"/>
    <col min="1285" max="1295" width="9.6640625" style="511" bestFit="1" customWidth="1"/>
    <col min="1296" max="1539" width="8.88671875" style="511"/>
    <col min="1540" max="1540" width="9" style="511" bestFit="1" customWidth="1"/>
    <col min="1541" max="1551" width="9.6640625" style="511" bestFit="1" customWidth="1"/>
    <col min="1552" max="1795" width="8.88671875" style="511"/>
    <col min="1796" max="1796" width="9" style="511" bestFit="1" customWidth="1"/>
    <col min="1797" max="1807" width="9.6640625" style="511" bestFit="1" customWidth="1"/>
    <col min="1808" max="2051" width="8.88671875" style="511"/>
    <col min="2052" max="2052" width="9" style="511" bestFit="1" customWidth="1"/>
    <col min="2053" max="2063" width="9.6640625" style="511" bestFit="1" customWidth="1"/>
    <col min="2064" max="2307" width="8.88671875" style="511"/>
    <col min="2308" max="2308" width="9" style="511" bestFit="1" customWidth="1"/>
    <col min="2309" max="2319" width="9.6640625" style="511" bestFit="1" customWidth="1"/>
    <col min="2320" max="2563" width="8.88671875" style="511"/>
    <col min="2564" max="2564" width="9" style="511" bestFit="1" customWidth="1"/>
    <col min="2565" max="2575" width="9.6640625" style="511" bestFit="1" customWidth="1"/>
    <col min="2576" max="2819" width="8.88671875" style="511"/>
    <col min="2820" max="2820" width="9" style="511" bestFit="1" customWidth="1"/>
    <col min="2821" max="2831" width="9.6640625" style="511" bestFit="1" customWidth="1"/>
    <col min="2832" max="3075" width="8.88671875" style="511"/>
    <col min="3076" max="3076" width="9" style="511" bestFit="1" customWidth="1"/>
    <col min="3077" max="3087" width="9.6640625" style="511" bestFit="1" customWidth="1"/>
    <col min="3088" max="3331" width="8.88671875" style="511"/>
    <col min="3332" max="3332" width="9" style="511" bestFit="1" customWidth="1"/>
    <col min="3333" max="3343" width="9.6640625" style="511" bestFit="1" customWidth="1"/>
    <col min="3344" max="3587" width="8.88671875" style="511"/>
    <col min="3588" max="3588" width="9" style="511" bestFit="1" customWidth="1"/>
    <col min="3589" max="3599" width="9.6640625" style="511" bestFit="1" customWidth="1"/>
    <col min="3600" max="3843" width="8.88671875" style="511"/>
    <col min="3844" max="3844" width="9" style="511" bestFit="1" customWidth="1"/>
    <col min="3845" max="3855" width="9.6640625" style="511" bestFit="1" customWidth="1"/>
    <col min="3856" max="4099" width="8.88671875" style="511"/>
    <col min="4100" max="4100" width="9" style="511" bestFit="1" customWidth="1"/>
    <col min="4101" max="4111" width="9.6640625" style="511" bestFit="1" customWidth="1"/>
    <col min="4112" max="4355" width="8.88671875" style="511"/>
    <col min="4356" max="4356" width="9" style="511" bestFit="1" customWidth="1"/>
    <col min="4357" max="4367" width="9.6640625" style="511" bestFit="1" customWidth="1"/>
    <col min="4368" max="4611" width="8.88671875" style="511"/>
    <col min="4612" max="4612" width="9" style="511" bestFit="1" customWidth="1"/>
    <col min="4613" max="4623" width="9.6640625" style="511" bestFit="1" customWidth="1"/>
    <col min="4624" max="4867" width="8.88671875" style="511"/>
    <col min="4868" max="4868" width="9" style="511" bestFit="1" customWidth="1"/>
    <col min="4869" max="4879" width="9.6640625" style="511" bestFit="1" customWidth="1"/>
    <col min="4880" max="5123" width="8.88671875" style="511"/>
    <col min="5124" max="5124" width="9" style="511" bestFit="1" customWidth="1"/>
    <col min="5125" max="5135" width="9.6640625" style="511" bestFit="1" customWidth="1"/>
    <col min="5136" max="5379" width="8.88671875" style="511"/>
    <col min="5380" max="5380" width="9" style="511" bestFit="1" customWidth="1"/>
    <col min="5381" max="5391" width="9.6640625" style="511" bestFit="1" customWidth="1"/>
    <col min="5392" max="5635" width="8.88671875" style="511"/>
    <col min="5636" max="5636" width="9" style="511" bestFit="1" customWidth="1"/>
    <col min="5637" max="5647" width="9.6640625" style="511" bestFit="1" customWidth="1"/>
    <col min="5648" max="5891" width="8.88671875" style="511"/>
    <col min="5892" max="5892" width="9" style="511" bestFit="1" customWidth="1"/>
    <col min="5893" max="5903" width="9.6640625" style="511" bestFit="1" customWidth="1"/>
    <col min="5904" max="6147" width="8.88671875" style="511"/>
    <col min="6148" max="6148" width="9" style="511" bestFit="1" customWidth="1"/>
    <col min="6149" max="6159" width="9.6640625" style="511" bestFit="1" customWidth="1"/>
    <col min="6160" max="6403" width="8.88671875" style="511"/>
    <col min="6404" max="6404" width="9" style="511" bestFit="1" customWidth="1"/>
    <col min="6405" max="6415" width="9.6640625" style="511" bestFit="1" customWidth="1"/>
    <col min="6416" max="6659" width="8.88671875" style="511"/>
    <col min="6660" max="6660" width="9" style="511" bestFit="1" customWidth="1"/>
    <col min="6661" max="6671" width="9.6640625" style="511" bestFit="1" customWidth="1"/>
    <col min="6672" max="6915" width="8.88671875" style="511"/>
    <col min="6916" max="6916" width="9" style="511" bestFit="1" customWidth="1"/>
    <col min="6917" max="6927" width="9.6640625" style="511" bestFit="1" customWidth="1"/>
    <col min="6928" max="7171" width="8.88671875" style="511"/>
    <col min="7172" max="7172" width="9" style="511" bestFit="1" customWidth="1"/>
    <col min="7173" max="7183" width="9.6640625" style="511" bestFit="1" customWidth="1"/>
    <col min="7184" max="7427" width="8.88671875" style="511"/>
    <col min="7428" max="7428" width="9" style="511" bestFit="1" customWidth="1"/>
    <col min="7429" max="7439" width="9.6640625" style="511" bestFit="1" customWidth="1"/>
    <col min="7440" max="7683" width="8.88671875" style="511"/>
    <col min="7684" max="7684" width="9" style="511" bestFit="1" customWidth="1"/>
    <col min="7685" max="7695" width="9.6640625" style="511" bestFit="1" customWidth="1"/>
    <col min="7696" max="7939" width="8.88671875" style="511"/>
    <col min="7940" max="7940" width="9" style="511" bestFit="1" customWidth="1"/>
    <col min="7941" max="7951" width="9.6640625" style="511" bestFit="1" customWidth="1"/>
    <col min="7952" max="8195" width="8.88671875" style="511"/>
    <col min="8196" max="8196" width="9" style="511" bestFit="1" customWidth="1"/>
    <col min="8197" max="8207" width="9.6640625" style="511" bestFit="1" customWidth="1"/>
    <col min="8208" max="8451" width="8.88671875" style="511"/>
    <col min="8452" max="8452" width="9" style="511" bestFit="1" customWidth="1"/>
    <col min="8453" max="8463" width="9.6640625" style="511" bestFit="1" customWidth="1"/>
    <col min="8464" max="8707" width="8.88671875" style="511"/>
    <col min="8708" max="8708" width="9" style="511" bestFit="1" customWidth="1"/>
    <col min="8709" max="8719" width="9.6640625" style="511" bestFit="1" customWidth="1"/>
    <col min="8720" max="8963" width="8.88671875" style="511"/>
    <col min="8964" max="8964" width="9" style="511" bestFit="1" customWidth="1"/>
    <col min="8965" max="8975" width="9.6640625" style="511" bestFit="1" customWidth="1"/>
    <col min="8976" max="9219" width="8.88671875" style="511"/>
    <col min="9220" max="9220" width="9" style="511" bestFit="1" customWidth="1"/>
    <col min="9221" max="9231" width="9.6640625" style="511" bestFit="1" customWidth="1"/>
    <col min="9232" max="9475" width="8.88671875" style="511"/>
    <col min="9476" max="9476" width="9" style="511" bestFit="1" customWidth="1"/>
    <col min="9477" max="9487" width="9.6640625" style="511" bestFit="1" customWidth="1"/>
    <col min="9488" max="9731" width="8.88671875" style="511"/>
    <col min="9732" max="9732" width="9" style="511" bestFit="1" customWidth="1"/>
    <col min="9733" max="9743" width="9.6640625" style="511" bestFit="1" customWidth="1"/>
    <col min="9744" max="9987" width="8.88671875" style="511"/>
    <col min="9988" max="9988" width="9" style="511" bestFit="1" customWidth="1"/>
    <col min="9989" max="9999" width="9.6640625" style="511" bestFit="1" customWidth="1"/>
    <col min="10000" max="10243" width="8.88671875" style="511"/>
    <col min="10244" max="10244" width="9" style="511" bestFit="1" customWidth="1"/>
    <col min="10245" max="10255" width="9.6640625" style="511" bestFit="1" customWidth="1"/>
    <col min="10256" max="10499" width="8.88671875" style="511"/>
    <col min="10500" max="10500" width="9" style="511" bestFit="1" customWidth="1"/>
    <col min="10501" max="10511" width="9.6640625" style="511" bestFit="1" customWidth="1"/>
    <col min="10512" max="10755" width="8.88671875" style="511"/>
    <col min="10756" max="10756" width="9" style="511" bestFit="1" customWidth="1"/>
    <col min="10757" max="10767" width="9.6640625" style="511" bestFit="1" customWidth="1"/>
    <col min="10768" max="11011" width="8.88671875" style="511"/>
    <col min="11012" max="11012" width="9" style="511" bestFit="1" customWidth="1"/>
    <col min="11013" max="11023" width="9.6640625" style="511" bestFit="1" customWidth="1"/>
    <col min="11024" max="11267" width="8.88671875" style="511"/>
    <col min="11268" max="11268" width="9" style="511" bestFit="1" customWidth="1"/>
    <col min="11269" max="11279" width="9.6640625" style="511" bestFit="1" customWidth="1"/>
    <col min="11280" max="11523" width="8.88671875" style="511"/>
    <col min="11524" max="11524" width="9" style="511" bestFit="1" customWidth="1"/>
    <col min="11525" max="11535" width="9.6640625" style="511" bestFit="1" customWidth="1"/>
    <col min="11536" max="11779" width="8.88671875" style="511"/>
    <col min="11780" max="11780" width="9" style="511" bestFit="1" customWidth="1"/>
    <col min="11781" max="11791" width="9.6640625" style="511" bestFit="1" customWidth="1"/>
    <col min="11792" max="12035" width="8.88671875" style="511"/>
    <col min="12036" max="12036" width="9" style="511" bestFit="1" customWidth="1"/>
    <col min="12037" max="12047" width="9.6640625" style="511" bestFit="1" customWidth="1"/>
    <col min="12048" max="12291" width="8.88671875" style="511"/>
    <col min="12292" max="12292" width="9" style="511" bestFit="1" customWidth="1"/>
    <col min="12293" max="12303" width="9.6640625" style="511" bestFit="1" customWidth="1"/>
    <col min="12304" max="12547" width="8.88671875" style="511"/>
    <col min="12548" max="12548" width="9" style="511" bestFit="1" customWidth="1"/>
    <col min="12549" max="12559" width="9.6640625" style="511" bestFit="1" customWidth="1"/>
    <col min="12560" max="12803" width="8.88671875" style="511"/>
    <col min="12804" max="12804" width="9" style="511" bestFit="1" customWidth="1"/>
    <col min="12805" max="12815" width="9.6640625" style="511" bestFit="1" customWidth="1"/>
    <col min="12816" max="13059" width="8.88671875" style="511"/>
    <col min="13060" max="13060" width="9" style="511" bestFit="1" customWidth="1"/>
    <col min="13061" max="13071" width="9.6640625" style="511" bestFit="1" customWidth="1"/>
    <col min="13072" max="13315" width="8.88671875" style="511"/>
    <col min="13316" max="13316" width="9" style="511" bestFit="1" customWidth="1"/>
    <col min="13317" max="13327" width="9.6640625" style="511" bestFit="1" customWidth="1"/>
    <col min="13328" max="13571" width="8.88671875" style="511"/>
    <col min="13572" max="13572" width="9" style="511" bestFit="1" customWidth="1"/>
    <col min="13573" max="13583" width="9.6640625" style="511" bestFit="1" customWidth="1"/>
    <col min="13584" max="13827" width="8.88671875" style="511"/>
    <col min="13828" max="13828" width="9" style="511" bestFit="1" customWidth="1"/>
    <col min="13829" max="13839" width="9.6640625" style="511" bestFit="1" customWidth="1"/>
    <col min="13840" max="14083" width="8.88671875" style="511"/>
    <col min="14084" max="14084" width="9" style="511" bestFit="1" customWidth="1"/>
    <col min="14085" max="14095" width="9.6640625" style="511" bestFit="1" customWidth="1"/>
    <col min="14096" max="14339" width="8.88671875" style="511"/>
    <col min="14340" max="14340" width="9" style="511" bestFit="1" customWidth="1"/>
    <col min="14341" max="14351" width="9.6640625" style="511" bestFit="1" customWidth="1"/>
    <col min="14352" max="14595" width="8.88671875" style="511"/>
    <col min="14596" max="14596" width="9" style="511" bestFit="1" customWidth="1"/>
    <col min="14597" max="14607" width="9.6640625" style="511" bestFit="1" customWidth="1"/>
    <col min="14608" max="14851" width="8.88671875" style="511"/>
    <col min="14852" max="14852" width="9" style="511" bestFit="1" customWidth="1"/>
    <col min="14853" max="14863" width="9.6640625" style="511" bestFit="1" customWidth="1"/>
    <col min="14864" max="15107" width="8.88671875" style="511"/>
    <col min="15108" max="15108" width="9" style="511" bestFit="1" customWidth="1"/>
    <col min="15109" max="15119" width="9.6640625" style="511" bestFit="1" customWidth="1"/>
    <col min="15120" max="15363" width="8.88671875" style="511"/>
    <col min="15364" max="15364" width="9" style="511" bestFit="1" customWidth="1"/>
    <col min="15365" max="15375" width="9.6640625" style="511" bestFit="1" customWidth="1"/>
    <col min="15376" max="15619" width="8.88671875" style="511"/>
    <col min="15620" max="15620" width="9" style="511" bestFit="1" customWidth="1"/>
    <col min="15621" max="15631" width="9.6640625" style="511" bestFit="1" customWidth="1"/>
    <col min="15632" max="15875" width="8.88671875" style="511"/>
    <col min="15876" max="15876" width="9" style="511" bestFit="1" customWidth="1"/>
    <col min="15877" max="15887" width="9.6640625" style="511" bestFit="1" customWidth="1"/>
    <col min="15888" max="16131" width="8.88671875" style="511"/>
    <col min="16132" max="16132" width="9" style="511" bestFit="1" customWidth="1"/>
    <col min="16133" max="16143" width="9.6640625" style="511" bestFit="1" customWidth="1"/>
    <col min="16144" max="16384" width="8.88671875" style="511"/>
  </cols>
  <sheetData>
    <row r="1" spans="1:15" hidden="1"/>
    <row r="2" spans="1:15" hidden="1">
      <c r="F2" s="512">
        <f>DATE(2020,4,1)</f>
        <v>43922</v>
      </c>
      <c r="G2" s="512">
        <f>F3+1</f>
        <v>44287</v>
      </c>
      <c r="H2" s="512">
        <f t="shared" ref="H2:O2" si="0">G3+1</f>
        <v>44652</v>
      </c>
      <c r="I2" s="512">
        <f t="shared" si="0"/>
        <v>45017</v>
      </c>
      <c r="J2" s="512">
        <f t="shared" si="0"/>
        <v>45383</v>
      </c>
      <c r="K2" s="512">
        <f t="shared" si="0"/>
        <v>45748</v>
      </c>
      <c r="L2" s="512">
        <f t="shared" si="0"/>
        <v>46113</v>
      </c>
      <c r="M2" s="512">
        <f t="shared" si="0"/>
        <v>46478</v>
      </c>
      <c r="N2" s="512">
        <f t="shared" si="0"/>
        <v>46844</v>
      </c>
      <c r="O2" s="512">
        <f t="shared" si="0"/>
        <v>47209</v>
      </c>
    </row>
    <row r="3" spans="1:15" hidden="1">
      <c r="B3" s="513" t="s">
        <v>1007</v>
      </c>
      <c r="C3" s="513"/>
      <c r="D3" s="513"/>
      <c r="E3" s="513"/>
      <c r="F3" s="512">
        <f>DATE((IF(MONTH(F2)&gt;3,YEAR(F2)+1,YEAR(F2))),3,31)</f>
        <v>44286</v>
      </c>
      <c r="G3" s="512">
        <f>DATE((IF(MONTH(G2)&gt;3,YEAR(G2)+1,YEAR(G2))),3,31)</f>
        <v>44651</v>
      </c>
      <c r="H3" s="512">
        <f t="shared" ref="H3:O3" si="1">DATE((IF(MONTH(H2)&gt;3,YEAR(H2)+1,YEAR(H2))),3,31)</f>
        <v>45016</v>
      </c>
      <c r="I3" s="512">
        <f t="shared" si="1"/>
        <v>45382</v>
      </c>
      <c r="J3" s="512">
        <f t="shared" si="1"/>
        <v>45747</v>
      </c>
      <c r="K3" s="512">
        <f t="shared" si="1"/>
        <v>46112</v>
      </c>
      <c r="L3" s="512">
        <f t="shared" si="1"/>
        <v>46477</v>
      </c>
      <c r="M3" s="512">
        <f t="shared" si="1"/>
        <v>46843</v>
      </c>
      <c r="N3" s="512">
        <f t="shared" si="1"/>
        <v>47208</v>
      </c>
      <c r="O3" s="512">
        <f t="shared" si="1"/>
        <v>47573</v>
      </c>
    </row>
    <row r="4" spans="1:15" hidden="1">
      <c r="B4" s="513" t="s">
        <v>1008</v>
      </c>
      <c r="C4" s="513"/>
      <c r="D4" s="513"/>
      <c r="E4" s="513"/>
      <c r="F4" s="514">
        <f>F3-F2+1</f>
        <v>365</v>
      </c>
      <c r="G4" s="514">
        <f>G3-G2+1</f>
        <v>365</v>
      </c>
      <c r="H4" s="514">
        <f t="shared" ref="H4:O4" si="2">H3-H2+1</f>
        <v>365</v>
      </c>
      <c r="I4" s="514">
        <f t="shared" si="2"/>
        <v>366</v>
      </c>
      <c r="J4" s="514">
        <f t="shared" si="2"/>
        <v>365</v>
      </c>
      <c r="K4" s="514">
        <f t="shared" si="2"/>
        <v>365</v>
      </c>
      <c r="L4" s="514">
        <f t="shared" si="2"/>
        <v>365</v>
      </c>
      <c r="M4" s="514">
        <f t="shared" si="2"/>
        <v>366</v>
      </c>
      <c r="N4" s="514">
        <f t="shared" si="2"/>
        <v>365</v>
      </c>
      <c r="O4" s="514">
        <f t="shared" si="2"/>
        <v>365</v>
      </c>
    </row>
    <row r="5" spans="1:15" hidden="1"/>
    <row r="6" spans="1:15" hidden="1">
      <c r="A6" s="531" t="s">
        <v>1021</v>
      </c>
      <c r="B6" s="530" t="s">
        <v>1018</v>
      </c>
      <c r="C6" s="515"/>
      <c r="D6" s="515"/>
      <c r="E6" s="515"/>
      <c r="F6" s="515"/>
      <c r="G6" s="515"/>
    </row>
    <row r="7" spans="1:15" hidden="1">
      <c r="B7" s="516" t="s">
        <v>273</v>
      </c>
      <c r="C7" s="517" t="s">
        <v>1009</v>
      </c>
      <c r="D7" s="518"/>
      <c r="E7" s="519">
        <f>'Historical RK P&amp;L'!D158+'Historical RK P&amp;L'!D162</f>
        <v>81.932100000000005</v>
      </c>
      <c r="F7" s="519">
        <f>'Historical RK P&amp;L'!E158+'Historical RK P&amp;L'!E162</f>
        <v>82.444900000000004</v>
      </c>
      <c r="G7" s="519">
        <f>'Historical RK P&amp;L'!F158+'Historical RK P&amp;L'!F162</f>
        <v>98.104299999999995</v>
      </c>
      <c r="H7" s="519">
        <f>'Historical RK P&amp;L'!G158+'Historical RK P&amp;L'!G162</f>
        <v>91.7363</v>
      </c>
      <c r="I7" s="519">
        <f>'Historical RK P&amp;L'!H158+'Historical RK P&amp;L'!H162</f>
        <v>57.7136</v>
      </c>
      <c r="J7" s="520">
        <f t="shared" ref="J7:O7" si="3">J8/365*J9</f>
        <v>91.674377834538959</v>
      </c>
      <c r="K7" s="520">
        <f t="shared" si="3"/>
        <v>68.243567686571055</v>
      </c>
      <c r="L7" s="520">
        <f t="shared" si="3"/>
        <v>121.59227493623916</v>
      </c>
      <c r="M7" s="520">
        <f t="shared" si="3"/>
        <v>96.294592705658687</v>
      </c>
      <c r="N7" s="520">
        <f t="shared" si="3"/>
        <v>107.37449808485391</v>
      </c>
      <c r="O7" s="520">
        <f t="shared" si="3"/>
        <v>112.83986003737299</v>
      </c>
    </row>
    <row r="8" spans="1:15" hidden="1">
      <c r="B8" s="516" t="s">
        <v>1010</v>
      </c>
      <c r="C8" s="517" t="s">
        <v>1009</v>
      </c>
      <c r="D8" s="518"/>
      <c r="E8" s="519"/>
      <c r="F8" s="519">
        <f>'Historical RK P&amp;L'!D8+'Historical RK P&amp;L'!D10+'Historical RK P&amp;L'!D12</f>
        <v>936.93999999999994</v>
      </c>
      <c r="G8" s="519">
        <f>'Historical RK P&amp;L'!E8+'Historical RK P&amp;L'!E10+'Historical RK P&amp;L'!E12</f>
        <v>697.47</v>
      </c>
      <c r="H8" s="519">
        <f>'Historical RK P&amp;L'!F8+'Historical RK P&amp;L'!F10+'Historical RK P&amp;L'!F12</f>
        <v>1242.7100000000003</v>
      </c>
      <c r="I8" s="519">
        <f>'Historical RK P&amp;L'!G8+'Historical RK P&amp;L'!G10+'Historical RK P&amp;L'!G12</f>
        <v>984.16</v>
      </c>
      <c r="J8" s="519">
        <f>'Projection RK P&amp;L'!H8+'Projection RK P&amp;L'!H9+'Projection RK P&amp;L'!H10</f>
        <v>936.93999999999994</v>
      </c>
      <c r="K8" s="519">
        <f>'Projection RK P&amp;L'!I8+'Projection RK P&amp;L'!I9+'Projection RK P&amp;L'!I10</f>
        <v>697.47</v>
      </c>
      <c r="L8" s="519">
        <f>'Projection RK P&amp;L'!J8+'Projection RK P&amp;L'!J9+'Projection RK P&amp;L'!J10</f>
        <v>1242.7100000000003</v>
      </c>
      <c r="M8" s="519">
        <f>'Projection RK P&amp;L'!K8+'Projection RK P&amp;L'!K9+'Projection RK P&amp;L'!K10</f>
        <v>984.16</v>
      </c>
      <c r="N8" s="519">
        <f>'Projection RK P&amp;L'!L8+'Projection RK P&amp;L'!L9+'Projection RK P&amp;L'!L10</f>
        <v>1097.3999999999999</v>
      </c>
      <c r="O8" s="519">
        <f>'Projection RK P&amp;L'!M8+'Projection RK P&amp;L'!M9+'Projection RK P&amp;L'!M10</f>
        <v>1153.2576599999998</v>
      </c>
    </row>
    <row r="9" spans="1:15" hidden="1">
      <c r="B9" s="516" t="s">
        <v>1011</v>
      </c>
      <c r="C9" s="517" t="s">
        <v>1012</v>
      </c>
      <c r="D9" s="521"/>
      <c r="E9" s="519"/>
      <c r="F9" s="522">
        <f>(AVERAGE(E7:F7)/F8)*F4</f>
        <v>32.017847994535408</v>
      </c>
      <c r="G9" s="522">
        <f>(AVERAGE(F7:G7)/G8)*G4</f>
        <v>47.242503620227389</v>
      </c>
      <c r="H9" s="522">
        <f>(AVERAGE(G7:H7)/H8)*H4</f>
        <v>27.879319793032963</v>
      </c>
      <c r="I9" s="523">
        <f>AVERAGE($F$9:$H$9)</f>
        <v>35.713223802598584</v>
      </c>
      <c r="J9" s="524">
        <f>I9</f>
        <v>35.713223802598584</v>
      </c>
      <c r="K9" s="524">
        <f t="shared" ref="K9:O9" si="4">J9</f>
        <v>35.713223802598584</v>
      </c>
      <c r="L9" s="524">
        <f t="shared" si="4"/>
        <v>35.713223802598584</v>
      </c>
      <c r="M9" s="524">
        <f t="shared" si="4"/>
        <v>35.713223802598584</v>
      </c>
      <c r="N9" s="524">
        <f t="shared" si="4"/>
        <v>35.713223802598584</v>
      </c>
      <c r="O9" s="524">
        <f t="shared" si="4"/>
        <v>35.713223802598584</v>
      </c>
    </row>
    <row r="10" spans="1:15" hidden="1">
      <c r="B10" s="515"/>
      <c r="C10" s="525"/>
      <c r="D10" s="526"/>
      <c r="E10" s="527"/>
      <c r="F10" s="527"/>
      <c r="G10" s="527"/>
      <c r="H10" s="528"/>
      <c r="I10" s="528"/>
      <c r="J10" s="528"/>
      <c r="K10" s="528"/>
      <c r="L10" s="528"/>
      <c r="M10" s="528"/>
      <c r="N10" s="528"/>
      <c r="O10" s="528"/>
    </row>
    <row r="11" spans="1:15" hidden="1">
      <c r="A11" s="531" t="s">
        <v>1022</v>
      </c>
      <c r="B11" s="530" t="s">
        <v>1019</v>
      </c>
      <c r="C11" s="515"/>
      <c r="D11" s="515"/>
      <c r="E11" s="527"/>
      <c r="F11" s="527"/>
      <c r="G11" s="527"/>
      <c r="H11" s="528"/>
      <c r="I11" s="528"/>
      <c r="J11" s="528"/>
      <c r="K11" s="528"/>
      <c r="L11" s="528"/>
      <c r="M11" s="528"/>
      <c r="N11" s="528"/>
      <c r="O11" s="528"/>
    </row>
    <row r="12" spans="1:15" hidden="1">
      <c r="B12" s="516" t="s">
        <v>271</v>
      </c>
      <c r="C12" s="517" t="s">
        <v>1009</v>
      </c>
      <c r="D12" s="518"/>
      <c r="E12" s="519">
        <f>'Historical RK P&amp;L'!D167</f>
        <v>118.5043</v>
      </c>
      <c r="F12" s="519">
        <f>'Historical RK P&amp;L'!E167</f>
        <v>118.83279999999999</v>
      </c>
      <c r="G12" s="519">
        <f>'Historical RK P&amp;L'!F167</f>
        <v>116.4134</v>
      </c>
      <c r="H12" s="519">
        <f>'Historical RK P&amp;L'!G167</f>
        <v>174.7422</v>
      </c>
      <c r="I12" s="519">
        <f>'Historical RK P&amp;L'!H167</f>
        <v>162.51349999999999</v>
      </c>
      <c r="J12" s="520">
        <f t="shared" ref="J12:O12" si="5">J13/365*J14</f>
        <v>193.63769730782045</v>
      </c>
      <c r="K12" s="520">
        <f t="shared" si="5"/>
        <v>173.34945388352858</v>
      </c>
      <c r="L12" s="520">
        <f t="shared" si="5"/>
        <v>182.17294108620024</v>
      </c>
      <c r="M12" s="520">
        <f t="shared" si="5"/>
        <v>191.44554378748779</v>
      </c>
      <c r="N12" s="520">
        <f t="shared" si="5"/>
        <v>201.19012196627094</v>
      </c>
      <c r="O12" s="520">
        <f t="shared" si="5"/>
        <v>211.43069917435406</v>
      </c>
    </row>
    <row r="13" spans="1:15" hidden="1">
      <c r="B13" s="516" t="s">
        <v>1013</v>
      </c>
      <c r="C13" s="517" t="s">
        <v>1009</v>
      </c>
      <c r="D13" s="521"/>
      <c r="E13" s="519"/>
      <c r="F13" s="520">
        <f>'Historical RK P&amp;L'!D17</f>
        <v>528.86</v>
      </c>
      <c r="G13" s="520">
        <f>'Historical RK P&amp;L'!E17</f>
        <v>355.04</v>
      </c>
      <c r="H13" s="520">
        <f>'Historical RK P&amp;L'!F17</f>
        <v>754.91</v>
      </c>
      <c r="I13" s="520">
        <f>'Historical RK P&amp;L'!G17</f>
        <v>613.85</v>
      </c>
      <c r="J13" s="520">
        <f>'Projection RK P&amp;L'!L14</f>
        <v>776.07999999999993</v>
      </c>
      <c r="K13" s="520">
        <f>'Projection RK P&amp;L'!M14</f>
        <v>694.76680439999984</v>
      </c>
      <c r="L13" s="520">
        <f>'Projection RK P&amp;L'!N14</f>
        <v>730.13043474396</v>
      </c>
      <c r="M13" s="520">
        <f>'Projection RK P&amp;L'!O14</f>
        <v>767.29407387242748</v>
      </c>
      <c r="N13" s="520">
        <f>'Projection RK P&amp;L'!P14</f>
        <v>806.34934223253401</v>
      </c>
      <c r="O13" s="520">
        <f>'Projection RK P&amp;L'!Q14</f>
        <v>847.39252375216984</v>
      </c>
    </row>
    <row r="14" spans="1:15" hidden="1">
      <c r="B14" s="516" t="s">
        <v>1014</v>
      </c>
      <c r="C14" s="517" t="s">
        <v>1012</v>
      </c>
      <c r="D14" s="521"/>
      <c r="E14" s="519"/>
      <c r="F14" s="522">
        <f>(AVERAGE(E12:F12)/F13)*F4</f>
        <v>81.900731289944403</v>
      </c>
      <c r="G14" s="522">
        <f>(AVERAGE(F12:G12)/G13)*G4</f>
        <v>120.92280165615141</v>
      </c>
      <c r="H14" s="522">
        <f>(AVERAGE(G12:H12)/H13)*H4</f>
        <v>70.387062033884831</v>
      </c>
      <c r="I14" s="523">
        <f>AVERAGE($F$14:$H$14)</f>
        <v>91.070198326660218</v>
      </c>
      <c r="J14" s="524">
        <f>I14</f>
        <v>91.070198326660218</v>
      </c>
      <c r="K14" s="524">
        <f t="shared" ref="K14:O14" si="6">J14</f>
        <v>91.070198326660218</v>
      </c>
      <c r="L14" s="524">
        <f t="shared" si="6"/>
        <v>91.070198326660218</v>
      </c>
      <c r="M14" s="524">
        <f t="shared" si="6"/>
        <v>91.070198326660218</v>
      </c>
      <c r="N14" s="524">
        <f t="shared" si="6"/>
        <v>91.070198326660218</v>
      </c>
      <c r="O14" s="524">
        <f t="shared" si="6"/>
        <v>91.070198326660218</v>
      </c>
    </row>
    <row r="15" spans="1:15" hidden="1">
      <c r="B15" s="515"/>
      <c r="C15" s="525"/>
      <c r="D15" s="526"/>
      <c r="E15" s="527"/>
      <c r="F15" s="527"/>
      <c r="G15" s="527"/>
      <c r="H15" s="528"/>
      <c r="I15" s="528"/>
      <c r="J15" s="528"/>
      <c r="K15" s="528"/>
      <c r="L15" s="528"/>
      <c r="M15" s="528"/>
      <c r="N15" s="528"/>
      <c r="O15" s="528"/>
    </row>
    <row r="16" spans="1:15" hidden="1">
      <c r="A16" s="531" t="s">
        <v>1023</v>
      </c>
      <c r="B16" s="530" t="s">
        <v>1020</v>
      </c>
      <c r="C16" s="515"/>
      <c r="D16" s="515"/>
      <c r="E16" s="527"/>
      <c r="F16" s="527"/>
      <c r="G16" s="527"/>
      <c r="H16" s="528"/>
      <c r="I16" s="528"/>
      <c r="J16" s="528"/>
      <c r="K16" s="528"/>
      <c r="L16" s="528"/>
      <c r="M16" s="528"/>
      <c r="N16" s="528"/>
      <c r="O16" s="528"/>
    </row>
    <row r="17" spans="2:15" hidden="1">
      <c r="B17" s="516" t="s">
        <v>1015</v>
      </c>
      <c r="C17" s="517" t="s">
        <v>1009</v>
      </c>
      <c r="D17" s="518"/>
      <c r="E17" s="519">
        <f>'Historical RK P&amp;L'!D99</f>
        <v>129.00309999999999</v>
      </c>
      <c r="F17" s="519">
        <f>'Historical RK P&amp;L'!E99</f>
        <v>154.8142</v>
      </c>
      <c r="G17" s="519">
        <f>'Historical RK P&amp;L'!F99</f>
        <v>138.09350000000001</v>
      </c>
      <c r="H17" s="519">
        <f>'Historical RK P&amp;L'!G99</f>
        <v>139.17830000000001</v>
      </c>
      <c r="I17" s="519">
        <f>'Historical RK P&amp;L'!H99</f>
        <v>147.5608</v>
      </c>
      <c r="J17" s="519">
        <f>'Historical RK P&amp;L'!I99</f>
        <v>115.1</v>
      </c>
      <c r="K17" s="520">
        <f t="shared" ref="K17:O17" si="7">K18/365*K19</f>
        <v>200.20273062325757</v>
      </c>
      <c r="L17" s="520">
        <f t="shared" si="7"/>
        <v>210.39304961198144</v>
      </c>
      <c r="M17" s="520">
        <f t="shared" si="7"/>
        <v>221.10205583723126</v>
      </c>
      <c r="N17" s="520">
        <f t="shared" si="7"/>
        <v>232.35615047934635</v>
      </c>
      <c r="O17" s="520">
        <f t="shared" si="7"/>
        <v>244.18307853874501</v>
      </c>
    </row>
    <row r="18" spans="2:15" hidden="1">
      <c r="B18" s="516" t="s">
        <v>1017</v>
      </c>
      <c r="C18" s="517" t="s">
        <v>1009</v>
      </c>
      <c r="D18" s="521"/>
      <c r="E18" s="519"/>
      <c r="F18" s="519">
        <f>F13</f>
        <v>528.86</v>
      </c>
      <c r="G18" s="519">
        <f t="shared" ref="G18:I18" si="8">G13</f>
        <v>355.04</v>
      </c>
      <c r="H18" s="519">
        <f t="shared" si="8"/>
        <v>754.91</v>
      </c>
      <c r="I18" s="519">
        <f t="shared" si="8"/>
        <v>613.85</v>
      </c>
      <c r="J18" s="520">
        <f>J13</f>
        <v>776.07999999999993</v>
      </c>
      <c r="K18" s="520">
        <f t="shared" ref="K18:O18" si="9">K13</f>
        <v>694.76680439999984</v>
      </c>
      <c r="L18" s="520">
        <f t="shared" si="9"/>
        <v>730.13043474396</v>
      </c>
      <c r="M18" s="520">
        <f t="shared" si="9"/>
        <v>767.29407387242748</v>
      </c>
      <c r="N18" s="520">
        <f t="shared" si="9"/>
        <v>806.34934223253401</v>
      </c>
      <c r="O18" s="520">
        <f t="shared" si="9"/>
        <v>847.39252375216984</v>
      </c>
    </row>
    <row r="19" spans="2:15" hidden="1">
      <c r="B19" s="516" t="s">
        <v>1016</v>
      </c>
      <c r="C19" s="517" t="s">
        <v>1012</v>
      </c>
      <c r="D19" s="521"/>
      <c r="E19" s="519"/>
      <c r="F19" s="522">
        <f>(AVERAGE(E17:F17)/F18)*F4</f>
        <v>97.940205820065799</v>
      </c>
      <c r="G19" s="522">
        <f>(AVERAGE(F17:G17)/G18)*G4</f>
        <v>150.56234579202342</v>
      </c>
      <c r="H19" s="522">
        <f>(AVERAGE(G17:H17)/H18)*H4</f>
        <v>67.030644050284138</v>
      </c>
      <c r="I19" s="523">
        <f>AVERAGE($F$19:$H$19)</f>
        <v>105.1777318874578</v>
      </c>
      <c r="J19" s="524">
        <f>I19</f>
        <v>105.1777318874578</v>
      </c>
      <c r="K19" s="524">
        <f t="shared" ref="K19:O19" si="10">J19</f>
        <v>105.1777318874578</v>
      </c>
      <c r="L19" s="524">
        <f t="shared" si="10"/>
        <v>105.1777318874578</v>
      </c>
      <c r="M19" s="524">
        <f t="shared" si="10"/>
        <v>105.1777318874578</v>
      </c>
      <c r="N19" s="524">
        <f t="shared" si="10"/>
        <v>105.1777318874578</v>
      </c>
      <c r="O19" s="524">
        <f t="shared" si="10"/>
        <v>105.1777318874578</v>
      </c>
    </row>
    <row r="20" spans="2:15" hidden="1">
      <c r="B20" s="515"/>
      <c r="C20" s="515"/>
      <c r="D20" s="515"/>
      <c r="E20" s="515"/>
      <c r="F20" s="515"/>
      <c r="G20" s="515"/>
      <c r="H20" s="529"/>
    </row>
    <row r="21" spans="2:15" hidden="1">
      <c r="B21" s="532" t="s">
        <v>1024</v>
      </c>
      <c r="C21" s="533" t="s">
        <v>1025</v>
      </c>
      <c r="F21" s="528">
        <f>F8+F13-F18</f>
        <v>936.93999999999994</v>
      </c>
      <c r="G21" s="528">
        <f t="shared" ref="G21:O21" si="11">G8+G13-G18</f>
        <v>697.47</v>
      </c>
      <c r="H21" s="528">
        <f t="shared" si="11"/>
        <v>1242.7100000000005</v>
      </c>
      <c r="I21" s="528">
        <f t="shared" si="11"/>
        <v>984.16</v>
      </c>
      <c r="J21" s="528">
        <f t="shared" si="11"/>
        <v>936.94</v>
      </c>
      <c r="K21" s="528">
        <f t="shared" si="11"/>
        <v>697.47000000000014</v>
      </c>
      <c r="L21" s="528">
        <f t="shared" si="11"/>
        <v>1242.7100000000003</v>
      </c>
      <c r="M21" s="528">
        <f t="shared" si="11"/>
        <v>984.16</v>
      </c>
      <c r="N21" s="528">
        <f t="shared" si="11"/>
        <v>1097.3999999999996</v>
      </c>
      <c r="O21" s="528">
        <f t="shared" si="11"/>
        <v>1153.2576599999998</v>
      </c>
    </row>
    <row r="22" spans="2:15" hidden="1"/>
    <row r="23" spans="2:15" hidden="1"/>
    <row r="24" spans="2:15">
      <c r="D24" s="511">
        <v>365</v>
      </c>
      <c r="E24" s="531">
        <f t="shared" ref="E24:H24" si="12">E25-D25</f>
        <v>366</v>
      </c>
      <c r="F24" s="531">
        <f t="shared" si="12"/>
        <v>365</v>
      </c>
      <c r="G24" s="531">
        <f t="shared" si="12"/>
        <v>365</v>
      </c>
      <c r="H24" s="531">
        <f t="shared" si="12"/>
        <v>365</v>
      </c>
    </row>
    <row r="25" spans="2:15">
      <c r="B25" s="531" t="s">
        <v>1021</v>
      </c>
      <c r="C25" s="530" t="s">
        <v>1018</v>
      </c>
      <c r="D25" s="548">
        <v>43555</v>
      </c>
      <c r="E25" s="548">
        <f t="shared" ref="E25:H25" si="13">EDATE(D25,12)</f>
        <v>43921</v>
      </c>
      <c r="F25" s="548">
        <f t="shared" si="13"/>
        <v>44286</v>
      </c>
      <c r="G25" s="548">
        <f t="shared" si="13"/>
        <v>44651</v>
      </c>
      <c r="H25" s="548">
        <f t="shared" si="13"/>
        <v>45016</v>
      </c>
      <c r="I25" s="531"/>
    </row>
    <row r="26" spans="2:15">
      <c r="B26" s="531"/>
      <c r="C26" s="534" t="s">
        <v>273</v>
      </c>
      <c r="D26" s="534"/>
      <c r="E26" s="536">
        <f>'Historical RK P&amp;L'!D158+'Historical RK P&amp;L'!D162</f>
        <v>81.932100000000005</v>
      </c>
      <c r="F26" s="536">
        <f>'Historical RK P&amp;L'!E158+'Historical RK P&amp;L'!E162</f>
        <v>82.444900000000004</v>
      </c>
      <c r="G26" s="536">
        <f>'Historical RK P&amp;L'!F158+'Historical RK P&amp;L'!F162</f>
        <v>98.104299999999995</v>
      </c>
      <c r="H26" s="536">
        <f>'Historical RK P&amp;L'!G158+'Historical RK P&amp;L'!G162</f>
        <v>91.7363</v>
      </c>
      <c r="I26" s="536"/>
    </row>
    <row r="27" spans="2:15">
      <c r="B27" s="531"/>
      <c r="C27" s="534" t="s">
        <v>1026</v>
      </c>
      <c r="D27" s="534"/>
      <c r="E27" s="535"/>
      <c r="F27" s="536">
        <f>'Historical RK P&amp;L'!D8+'Historical RK P&amp;L'!D10+'Historical RK P&amp;L'!D12</f>
        <v>936.93999999999994</v>
      </c>
      <c r="G27" s="536">
        <f>'Historical RK P&amp;L'!E8+'Historical RK P&amp;L'!E10+'Historical RK P&amp;L'!E12</f>
        <v>697.47</v>
      </c>
      <c r="H27" s="536">
        <f>'Historical RK P&amp;L'!F8+'Historical RK P&amp;L'!F10+'Historical RK P&amp;L'!F12</f>
        <v>1242.7100000000003</v>
      </c>
      <c r="I27" s="536"/>
    </row>
    <row r="28" spans="2:15">
      <c r="B28" s="531"/>
      <c r="C28" s="534" t="s">
        <v>1018</v>
      </c>
      <c r="D28" s="538" t="s">
        <v>1012</v>
      </c>
      <c r="E28" s="535"/>
      <c r="F28" s="537">
        <f>(AVERAGE(E26:F26)/F27)*F$4</f>
        <v>32.017847994535408</v>
      </c>
      <c r="G28" s="537">
        <f>(AVERAGE(F26:G26)/G27)*G$4</f>
        <v>47.242503620227389</v>
      </c>
      <c r="H28" s="537">
        <f t="shared" ref="H28" si="14">(AVERAGE(G26:H26)/H27)*H$4</f>
        <v>27.879319793032963</v>
      </c>
      <c r="I28" s="539">
        <f>AVERAGE(F28:H28)</f>
        <v>35.713223802598584</v>
      </c>
    </row>
    <row r="29" spans="2:15">
      <c r="B29" s="531"/>
      <c r="C29" s="531"/>
      <c r="D29" s="540"/>
      <c r="E29" s="541"/>
      <c r="F29" s="541"/>
      <c r="G29" s="541"/>
      <c r="H29" s="541"/>
      <c r="I29" s="541"/>
    </row>
    <row r="30" spans="2:15">
      <c r="B30" s="531" t="s">
        <v>1022</v>
      </c>
      <c r="C30" s="530" t="s">
        <v>1019</v>
      </c>
      <c r="D30" s="531"/>
      <c r="E30" s="541"/>
      <c r="F30" s="541"/>
      <c r="G30" s="541"/>
      <c r="H30" s="541"/>
      <c r="I30" s="541"/>
    </row>
    <row r="31" spans="2:15">
      <c r="B31" s="531"/>
      <c r="C31" s="534" t="s">
        <v>271</v>
      </c>
      <c r="D31" s="534"/>
      <c r="E31" s="537">
        <f>'Historical RK P&amp;L'!D167</f>
        <v>118.5043</v>
      </c>
      <c r="F31" s="537">
        <f>'Historical RK P&amp;L'!E167</f>
        <v>118.83279999999999</v>
      </c>
      <c r="G31" s="537">
        <f>'Historical RK P&amp;L'!F167</f>
        <v>116.4134</v>
      </c>
      <c r="H31" s="537">
        <f>'Historical RK P&amp;L'!G167</f>
        <v>174.7422</v>
      </c>
      <c r="I31" s="537"/>
    </row>
    <row r="32" spans="2:15">
      <c r="B32" s="531"/>
      <c r="C32" s="534" t="s">
        <v>1013</v>
      </c>
      <c r="D32" s="534"/>
      <c r="E32" s="537"/>
      <c r="F32" s="537">
        <f>'Historical RK P&amp;L'!D17</f>
        <v>528.86</v>
      </c>
      <c r="G32" s="537">
        <f>'Historical RK P&amp;L'!E17</f>
        <v>355.04</v>
      </c>
      <c r="H32" s="537">
        <f>'Historical RK P&amp;L'!F17</f>
        <v>754.91</v>
      </c>
      <c r="I32" s="537"/>
    </row>
    <row r="33" spans="2:12">
      <c r="B33" s="531"/>
      <c r="C33" s="534" t="s">
        <v>1019</v>
      </c>
      <c r="D33" s="538" t="s">
        <v>1012</v>
      </c>
      <c r="E33" s="537"/>
      <c r="F33" s="537">
        <f>(AVERAGE(E31:F31)/F32)*F$4</f>
        <v>81.900731289944403</v>
      </c>
      <c r="G33" s="537">
        <f>(AVERAGE(F31:G31)/G32)*G$4</f>
        <v>120.92280165615141</v>
      </c>
      <c r="H33" s="537">
        <f t="shared" ref="H33" si="15">(AVERAGE(G31:H31)/H32)*H$4</f>
        <v>70.387062033884831</v>
      </c>
      <c r="I33" s="539">
        <f>AVERAGE(F33:H33)</f>
        <v>91.070198326660218</v>
      </c>
    </row>
    <row r="34" spans="2:12">
      <c r="B34" s="531"/>
      <c r="C34" s="531"/>
      <c r="D34" s="540"/>
      <c r="E34" s="541"/>
      <c r="F34" s="541"/>
      <c r="G34" s="541"/>
      <c r="H34" s="541"/>
      <c r="I34" s="541"/>
    </row>
    <row r="35" spans="2:12">
      <c r="B35" s="531" t="s">
        <v>1023</v>
      </c>
      <c r="C35" s="530" t="s">
        <v>1020</v>
      </c>
      <c r="D35" s="531"/>
      <c r="E35" s="541"/>
      <c r="F35" s="541"/>
      <c r="G35" s="541"/>
      <c r="H35" s="541"/>
      <c r="I35" s="541"/>
    </row>
    <row r="36" spans="2:12">
      <c r="B36" s="531"/>
      <c r="C36" s="534" t="s">
        <v>1015</v>
      </c>
      <c r="D36" s="534"/>
      <c r="E36" s="537">
        <f>'Historical RK P&amp;L'!D99</f>
        <v>129.00309999999999</v>
      </c>
      <c r="F36" s="537">
        <f>'Historical RK P&amp;L'!E99</f>
        <v>154.8142</v>
      </c>
      <c r="G36" s="537">
        <f>'Historical RK P&amp;L'!F99</f>
        <v>138.09350000000001</v>
      </c>
      <c r="H36" s="537">
        <f>'Historical RK P&amp;L'!G99</f>
        <v>139.17830000000001</v>
      </c>
      <c r="I36" s="537"/>
    </row>
    <row r="37" spans="2:12">
      <c r="B37" s="531"/>
      <c r="C37" s="534" t="s">
        <v>1013</v>
      </c>
      <c r="D37" s="534"/>
      <c r="E37" s="537"/>
      <c r="F37" s="537">
        <f>F32</f>
        <v>528.86</v>
      </c>
      <c r="G37" s="537">
        <f>G32</f>
        <v>355.04</v>
      </c>
      <c r="H37" s="537">
        <f t="shared" ref="H37" si="16">H32</f>
        <v>754.91</v>
      </c>
      <c r="I37" s="537"/>
    </row>
    <row r="38" spans="2:12">
      <c r="B38" s="531"/>
      <c r="C38" s="534" t="s">
        <v>1020</v>
      </c>
      <c r="D38" s="538" t="s">
        <v>1012</v>
      </c>
      <c r="E38" s="537"/>
      <c r="F38" s="537">
        <f>(AVERAGE(E36:F36)/F37)*F$4</f>
        <v>97.940205820065799</v>
      </c>
      <c r="G38" s="537">
        <f>(AVERAGE(F36:G36)/G37)*G$4</f>
        <v>150.56234579202342</v>
      </c>
      <c r="H38" s="537">
        <f t="shared" ref="H38" si="17">(AVERAGE(G36:H36)/H37)*H$4</f>
        <v>67.030644050284138</v>
      </c>
      <c r="I38" s="539">
        <f>AVERAGE(F38:H38)</f>
        <v>105.1777318874578</v>
      </c>
    </row>
    <row r="39" spans="2:12">
      <c r="B39" s="531"/>
      <c r="C39" s="531"/>
      <c r="D39" s="543"/>
      <c r="E39" s="531"/>
      <c r="F39" s="542"/>
      <c r="G39" s="542"/>
      <c r="H39" s="542"/>
      <c r="I39" s="542"/>
    </row>
    <row r="40" spans="2:12">
      <c r="B40" s="544"/>
      <c r="C40" s="545" t="s">
        <v>1027</v>
      </c>
      <c r="D40" s="544"/>
      <c r="E40" s="546">
        <f>E26+E31-E36</f>
        <v>71.433300000000003</v>
      </c>
      <c r="F40" s="546">
        <f t="shared" ref="F40:I40" si="18">F26+F31-F36</f>
        <v>46.463499999999982</v>
      </c>
      <c r="G40" s="546">
        <f t="shared" si="18"/>
        <v>76.424199999999985</v>
      </c>
      <c r="H40" s="546">
        <f t="shared" si="18"/>
        <v>127.30019999999999</v>
      </c>
      <c r="I40" s="546">
        <f t="shared" si="18"/>
        <v>0</v>
      </c>
      <c r="J40" s="546"/>
      <c r="K40" s="546"/>
      <c r="L40" s="544"/>
    </row>
    <row r="41" spans="2:12">
      <c r="B41" s="544"/>
      <c r="C41" s="544"/>
      <c r="D41" s="544"/>
      <c r="E41" s="544"/>
      <c r="F41" s="544"/>
      <c r="G41" s="544"/>
      <c r="H41" s="544"/>
      <c r="I41" s="544"/>
      <c r="J41" s="544"/>
      <c r="K41" s="544"/>
      <c r="L41" s="544"/>
    </row>
    <row r="42" spans="2:12">
      <c r="B42" s="544"/>
      <c r="C42" s="531"/>
      <c r="D42" s="531"/>
      <c r="E42" s="531"/>
      <c r="F42" s="531"/>
      <c r="G42" s="531"/>
      <c r="H42" s="531"/>
      <c r="I42" s="531"/>
      <c r="J42" s="531"/>
      <c r="K42" s="531"/>
      <c r="L42" s="531"/>
    </row>
    <row r="43" spans="2:12">
      <c r="B43" s="544"/>
      <c r="C43" s="531"/>
      <c r="D43" s="531"/>
      <c r="E43" s="531">
        <v>366</v>
      </c>
      <c r="F43" s="531">
        <f>F44-E44</f>
        <v>365</v>
      </c>
      <c r="G43" s="531">
        <f>G44-F44</f>
        <v>365</v>
      </c>
      <c r="H43" s="531">
        <f>H44-G44</f>
        <v>365</v>
      </c>
      <c r="I43" s="531">
        <f>I44-H44</f>
        <v>366</v>
      </c>
      <c r="J43" s="531">
        <f>J44-I44</f>
        <v>365</v>
      </c>
      <c r="K43" s="531">
        <f t="shared" ref="K43" si="19">K44-J44</f>
        <v>365</v>
      </c>
    </row>
    <row r="44" spans="2:12">
      <c r="B44" s="544"/>
      <c r="C44" s="547" t="s">
        <v>167</v>
      </c>
      <c r="D44" s="531"/>
      <c r="E44" s="548">
        <v>45382</v>
      </c>
      <c r="F44" s="548">
        <f>EDATE(E44,12)</f>
        <v>45747</v>
      </c>
      <c r="G44" s="548">
        <f>EDATE(F44,12)</f>
        <v>46112</v>
      </c>
      <c r="H44" s="548">
        <f>EDATE(G44,12)</f>
        <v>46477</v>
      </c>
      <c r="I44" s="548">
        <f>EDATE(H44,12)</f>
        <v>46843</v>
      </c>
      <c r="J44" s="548">
        <f>EDATE(I44,12)</f>
        <v>47208</v>
      </c>
      <c r="K44" s="548">
        <f t="shared" ref="K44" si="20">EDATE(J44,12)</f>
        <v>47573</v>
      </c>
    </row>
    <row r="45" spans="2:12">
      <c r="B45" s="544"/>
      <c r="C45" s="544"/>
      <c r="D45" s="544"/>
      <c r="E45" s="544"/>
      <c r="F45" s="544"/>
      <c r="G45" s="544"/>
      <c r="H45" s="544"/>
      <c r="I45" s="544"/>
      <c r="J45" s="544"/>
      <c r="K45" s="544"/>
    </row>
    <row r="46" spans="2:12">
      <c r="B46" s="531"/>
      <c r="C46" s="532" t="s">
        <v>273</v>
      </c>
      <c r="D46" s="549"/>
      <c r="E46" s="542"/>
      <c r="F46" s="542"/>
      <c r="G46" s="542"/>
      <c r="H46" s="542"/>
      <c r="I46" s="542"/>
      <c r="J46" s="542"/>
      <c r="K46" s="542"/>
    </row>
    <row r="47" spans="2:12">
      <c r="B47" s="531"/>
      <c r="C47" s="550" t="s">
        <v>877</v>
      </c>
      <c r="D47" s="551"/>
      <c r="E47" s="541">
        <f>H26</f>
        <v>91.7363</v>
      </c>
      <c r="F47" s="541">
        <f>E49</f>
        <v>107.08112513926689</v>
      </c>
      <c r="G47" s="541">
        <f t="shared" ref="G47:K47" si="21">F49</f>
        <v>112.83986003737297</v>
      </c>
      <c r="H47" s="541">
        <f t="shared" si="21"/>
        <v>118.58340891327528</v>
      </c>
      <c r="I47" s="541">
        <f t="shared" si="21"/>
        <v>124.61930442696098</v>
      </c>
      <c r="J47" s="541">
        <f t="shared" si="21"/>
        <v>130.60460618343456</v>
      </c>
      <c r="K47" s="541">
        <f t="shared" si="21"/>
        <v>137.62841455772801</v>
      </c>
    </row>
    <row r="48" spans="2:12">
      <c r="B48" s="544"/>
      <c r="C48" s="550" t="s">
        <v>1028</v>
      </c>
      <c r="D48" s="551"/>
      <c r="E48" s="541">
        <f>'Projection RK P&amp;L'!L8+'Projection RK P&amp;L'!L9+'Projection RK P&amp;L'!L10</f>
        <v>1097.3999999999999</v>
      </c>
      <c r="F48" s="541">
        <f>'Projection RK P&amp;L'!M8+'Projection RK P&amp;L'!M9+'Projection RK P&amp;L'!M10</f>
        <v>1153.2576599999998</v>
      </c>
      <c r="G48" s="541">
        <f>'Projection RK P&amp;L'!N8+'Projection RK P&amp;L'!N9+'Projection RK P&amp;L'!N10</f>
        <v>1211.9584748939999</v>
      </c>
      <c r="H48" s="541">
        <f>'Projection RK P&amp;L'!O8+'Projection RK P&amp;L'!O9+'Projection RK P&amp;L'!O10</f>
        <v>1273.6471612661044</v>
      </c>
      <c r="I48" s="541">
        <f>'Projection RK P&amp;L'!P8+'Projection RK P&amp;L'!P9+'Projection RK P&amp;L'!P10</f>
        <v>1338.4758017745492</v>
      </c>
      <c r="J48" s="541">
        <f>'Projection RK P&amp;L'!Q8+'Projection RK P&amp;L'!Q9+'Projection RK P&amp;L'!Q10</f>
        <v>1406.6042200848735</v>
      </c>
      <c r="K48" s="541">
        <f>'Projection RK P&amp;L'!R8+'Projection RK P&amp;L'!R9+'Projection RK P&amp;L'!R10</f>
        <v>1478.2003748871934</v>
      </c>
    </row>
    <row r="49" spans="2:11">
      <c r="B49" s="531"/>
      <c r="C49" s="552" t="s">
        <v>881</v>
      </c>
      <c r="D49" s="533"/>
      <c r="E49" s="553">
        <f>E48*($I$28/E43)</f>
        <v>107.08112513926689</v>
      </c>
      <c r="F49" s="553">
        <f t="shared" ref="F49:K49" si="22">F48*($I$28/F43)</f>
        <v>112.83986003737297</v>
      </c>
      <c r="G49" s="553">
        <f t="shared" si="22"/>
        <v>118.58340891327528</v>
      </c>
      <c r="H49" s="553">
        <f t="shared" si="22"/>
        <v>124.61930442696098</v>
      </c>
      <c r="I49" s="553">
        <f t="shared" si="22"/>
        <v>130.60460618343456</v>
      </c>
      <c r="J49" s="553">
        <f t="shared" si="22"/>
        <v>137.62841455772801</v>
      </c>
      <c r="K49" s="553">
        <f t="shared" si="22"/>
        <v>144.63370085871634</v>
      </c>
    </row>
    <row r="50" spans="2:11">
      <c r="B50" s="531"/>
      <c r="C50" s="550" t="s">
        <v>1029</v>
      </c>
      <c r="D50" s="551"/>
      <c r="E50" s="541">
        <f>E47+E48-E49</f>
        <v>1082.0551748607329</v>
      </c>
      <c r="F50" s="541">
        <f t="shared" ref="F50:K50" si="23">F47+F48-F49</f>
        <v>1147.4989251018937</v>
      </c>
      <c r="G50" s="541">
        <f t="shared" si="23"/>
        <v>1206.2149260180977</v>
      </c>
      <c r="H50" s="541">
        <f t="shared" si="23"/>
        <v>1267.6112657524186</v>
      </c>
      <c r="I50" s="541">
        <f t="shared" si="23"/>
        <v>1332.4905000180756</v>
      </c>
      <c r="J50" s="541">
        <f t="shared" si="23"/>
        <v>1399.5804117105799</v>
      </c>
      <c r="K50" s="541">
        <f t="shared" si="23"/>
        <v>1471.1950885862052</v>
      </c>
    </row>
    <row r="51" spans="2:11">
      <c r="B51" s="544"/>
      <c r="C51" s="544"/>
      <c r="D51" s="544"/>
      <c r="E51" s="544"/>
      <c r="F51" s="544"/>
      <c r="G51" s="544"/>
      <c r="H51" s="544"/>
      <c r="I51" s="544"/>
      <c r="J51" s="544"/>
      <c r="K51" s="544"/>
    </row>
    <row r="52" spans="2:11">
      <c r="B52" s="531"/>
      <c r="C52" s="532" t="s">
        <v>1015</v>
      </c>
      <c r="D52" s="549"/>
      <c r="E52" s="554"/>
      <c r="F52" s="542"/>
      <c r="G52" s="542"/>
      <c r="H52" s="542"/>
      <c r="I52" s="542"/>
      <c r="J52" s="542"/>
      <c r="K52" s="542"/>
    </row>
    <row r="53" spans="2:11">
      <c r="B53" s="531"/>
      <c r="C53" s="550" t="s">
        <v>877</v>
      </c>
      <c r="D53" s="551"/>
      <c r="E53" s="541">
        <f>H36</f>
        <v>139.17830000000001</v>
      </c>
      <c r="F53" s="541">
        <f>E55</f>
        <v>223.02277093775476</v>
      </c>
      <c r="G53" s="541">
        <f>F55</f>
        <v>200.20273062325757</v>
      </c>
      <c r="H53" s="541">
        <f t="shared" ref="H53:K53" si="24">G55</f>
        <v>210.39304961198144</v>
      </c>
      <c r="I53" s="541">
        <f t="shared" si="24"/>
        <v>221.10205583723126</v>
      </c>
      <c r="J53" s="541">
        <f t="shared" si="24"/>
        <v>231.72129760918418</v>
      </c>
      <c r="K53" s="541">
        <f t="shared" si="24"/>
        <v>244.18307853874501</v>
      </c>
    </row>
    <row r="54" spans="2:11">
      <c r="B54" s="544"/>
      <c r="C54" s="550" t="s">
        <v>1028</v>
      </c>
      <c r="D54" s="551"/>
      <c r="E54" s="541">
        <f>'Projection RK P&amp;L'!L14</f>
        <v>776.07999999999993</v>
      </c>
      <c r="F54" s="541">
        <f>'Projection RK P&amp;L'!M14</f>
        <v>694.76680439999984</v>
      </c>
      <c r="G54" s="541">
        <f>'Projection RK P&amp;L'!N14</f>
        <v>730.13043474396</v>
      </c>
      <c r="H54" s="541">
        <f>'Projection RK P&amp;L'!O14</f>
        <v>767.29407387242748</v>
      </c>
      <c r="I54" s="541">
        <f>'Projection RK P&amp;L'!P14</f>
        <v>806.34934223253401</v>
      </c>
      <c r="J54" s="541">
        <f>'Projection RK P&amp;L'!Q14</f>
        <v>847.39252375216984</v>
      </c>
      <c r="K54" s="541">
        <f>'Projection RK P&amp;L'!R14</f>
        <v>890.52480321115524</v>
      </c>
    </row>
    <row r="55" spans="2:11">
      <c r="B55" s="544"/>
      <c r="C55" s="552" t="s">
        <v>881</v>
      </c>
      <c r="D55" s="533"/>
      <c r="E55" s="553">
        <f>E54*($I$38/E43)</f>
        <v>223.02277093775476</v>
      </c>
      <c r="F55" s="553">
        <f t="shared" ref="F55:K55" si="25">F54*($I$38/F43)</f>
        <v>200.20273062325757</v>
      </c>
      <c r="G55" s="553">
        <f t="shared" si="25"/>
        <v>210.39304961198144</v>
      </c>
      <c r="H55" s="553">
        <f t="shared" si="25"/>
        <v>221.10205583723126</v>
      </c>
      <c r="I55" s="553">
        <f t="shared" si="25"/>
        <v>231.72129760918418</v>
      </c>
      <c r="J55" s="553">
        <f t="shared" si="25"/>
        <v>244.18307853874501</v>
      </c>
      <c r="K55" s="553">
        <f t="shared" si="25"/>
        <v>256.61199723636713</v>
      </c>
    </row>
    <row r="56" spans="2:11">
      <c r="B56" s="544"/>
      <c r="C56" s="555" t="s">
        <v>1030</v>
      </c>
      <c r="D56" s="551"/>
      <c r="E56" s="541">
        <f>E53+E54-E55</f>
        <v>692.23552906224518</v>
      </c>
      <c r="F56" s="541">
        <f>F53+F54-F55</f>
        <v>717.58684471449703</v>
      </c>
      <c r="G56" s="541">
        <f>G53+G54-G55</f>
        <v>719.94011575523609</v>
      </c>
      <c r="H56" s="541">
        <f t="shared" ref="H56:K56" si="26">H53+H54-H55</f>
        <v>756.58506764717754</v>
      </c>
      <c r="I56" s="541">
        <f t="shared" si="26"/>
        <v>795.73010046058107</v>
      </c>
      <c r="J56" s="541">
        <f t="shared" si="26"/>
        <v>834.93074282260898</v>
      </c>
      <c r="K56" s="541">
        <f t="shared" si="26"/>
        <v>878.09588451353306</v>
      </c>
    </row>
    <row r="57" spans="2:11">
      <c r="B57" s="544"/>
      <c r="C57" s="544"/>
      <c r="D57" s="544"/>
      <c r="E57" s="544"/>
      <c r="F57" s="544"/>
      <c r="G57" s="544"/>
      <c r="H57" s="544"/>
      <c r="I57" s="544"/>
      <c r="J57" s="544"/>
      <c r="K57" s="544"/>
    </row>
    <row r="58" spans="2:11">
      <c r="B58" s="544"/>
      <c r="C58" s="532" t="s">
        <v>271</v>
      </c>
      <c r="D58" s="549"/>
      <c r="E58" s="544"/>
      <c r="F58" s="544"/>
      <c r="G58" s="544"/>
      <c r="H58" s="544"/>
      <c r="I58" s="544"/>
      <c r="J58" s="544"/>
      <c r="K58" s="544"/>
    </row>
    <row r="59" spans="2:11">
      <c r="B59" s="544"/>
      <c r="C59" s="550" t="s">
        <v>877</v>
      </c>
      <c r="D59" s="551"/>
      <c r="E59" s="541">
        <f>H31</f>
        <v>174.7422</v>
      </c>
      <c r="F59" s="541">
        <f>E61</f>
        <v>193.10863256107774</v>
      </c>
      <c r="G59" s="541">
        <f>F61</f>
        <v>173.34945388352858</v>
      </c>
      <c r="H59" s="541">
        <f t="shared" ref="H59:K59" si="27">G61</f>
        <v>182.17294108620024</v>
      </c>
      <c r="I59" s="541">
        <f t="shared" si="27"/>
        <v>191.44554378748779</v>
      </c>
      <c r="J59" s="541">
        <f t="shared" si="27"/>
        <v>200.64042217947781</v>
      </c>
      <c r="K59" s="541">
        <f t="shared" si="27"/>
        <v>211.43069917435409</v>
      </c>
    </row>
    <row r="60" spans="2:11">
      <c r="B60" s="544"/>
      <c r="C60" s="550" t="s">
        <v>1028</v>
      </c>
      <c r="D60" s="551"/>
      <c r="E60" s="541">
        <f>E54</f>
        <v>776.07999999999993</v>
      </c>
      <c r="F60" s="541">
        <f>F54</f>
        <v>694.76680439999984</v>
      </c>
      <c r="G60" s="541">
        <f>G54</f>
        <v>730.13043474396</v>
      </c>
      <c r="H60" s="541">
        <f t="shared" ref="H60:K60" si="28">H54</f>
        <v>767.29407387242748</v>
      </c>
      <c r="I60" s="541">
        <f t="shared" si="28"/>
        <v>806.34934223253401</v>
      </c>
      <c r="J60" s="541">
        <f t="shared" si="28"/>
        <v>847.39252375216984</v>
      </c>
      <c r="K60" s="541">
        <f t="shared" si="28"/>
        <v>890.52480321115524</v>
      </c>
    </row>
    <row r="61" spans="2:11">
      <c r="B61" s="544"/>
      <c r="C61" s="552" t="s">
        <v>881</v>
      </c>
      <c r="D61" s="533"/>
      <c r="E61" s="553">
        <f>E60*($I$33/E43)</f>
        <v>193.10863256107774</v>
      </c>
      <c r="F61" s="553">
        <f t="shared" ref="F61:K61" si="29">F60*($I$33/F43)</f>
        <v>173.34945388352858</v>
      </c>
      <c r="G61" s="553">
        <f t="shared" si="29"/>
        <v>182.17294108620024</v>
      </c>
      <c r="H61" s="553">
        <f t="shared" si="29"/>
        <v>191.44554378748779</v>
      </c>
      <c r="I61" s="553">
        <f t="shared" si="29"/>
        <v>200.64042217947781</v>
      </c>
      <c r="J61" s="553">
        <f t="shared" si="29"/>
        <v>211.43069917435409</v>
      </c>
      <c r="K61" s="553">
        <f t="shared" si="29"/>
        <v>222.19252176232868</v>
      </c>
    </row>
    <row r="62" spans="2:11">
      <c r="B62" s="544"/>
      <c r="C62" s="550" t="s">
        <v>1031</v>
      </c>
      <c r="D62" s="551"/>
      <c r="E62" s="541">
        <f>E59+E60-E61</f>
        <v>757.71356743892215</v>
      </c>
      <c r="F62" s="541">
        <f>F59+F60-F61</f>
        <v>714.52598307754909</v>
      </c>
      <c r="G62" s="541">
        <f>G59+G60-G61</f>
        <v>721.30694754128831</v>
      </c>
      <c r="H62" s="541">
        <f t="shared" ref="H62:K62" si="30">H59+H60-H61</f>
        <v>758.02147117113986</v>
      </c>
      <c r="I62" s="541">
        <f t="shared" si="30"/>
        <v>797.15446384054394</v>
      </c>
      <c r="J62" s="541">
        <f t="shared" si="30"/>
        <v>836.60224675729353</v>
      </c>
      <c r="K62" s="541">
        <f t="shared" si="30"/>
        <v>879.76298062318074</v>
      </c>
    </row>
    <row r="63" spans="2:11">
      <c r="B63" s="544"/>
      <c r="C63" s="544"/>
      <c r="D63" s="544"/>
      <c r="E63" s="544"/>
      <c r="F63" s="544"/>
      <c r="G63" s="544"/>
      <c r="H63" s="544"/>
      <c r="I63" s="544"/>
      <c r="J63" s="544"/>
      <c r="K63" s="544"/>
    </row>
    <row r="64" spans="2:11">
      <c r="B64" s="544"/>
      <c r="C64" s="532" t="s">
        <v>1024</v>
      </c>
      <c r="D64" s="533"/>
      <c r="E64" s="556">
        <f>E49+E61-E55</f>
        <v>77.166986762589858</v>
      </c>
      <c r="F64" s="556">
        <f>F49+F61-F55</f>
        <v>85.986583297643989</v>
      </c>
      <c r="G64" s="556">
        <f>G49+G61-G55</f>
        <v>90.363300387494064</v>
      </c>
      <c r="H64" s="556">
        <f t="shared" ref="H64:K64" si="31">H49+H61-H55</f>
        <v>94.962792377217511</v>
      </c>
      <c r="I64" s="556">
        <f t="shared" si="31"/>
        <v>99.523730753728188</v>
      </c>
      <c r="J64" s="556">
        <f t="shared" si="31"/>
        <v>104.87603519333709</v>
      </c>
      <c r="K64" s="556">
        <f t="shared" si="31"/>
        <v>110.21422538467789</v>
      </c>
    </row>
    <row r="65" spans="2:11">
      <c r="B65" s="544"/>
      <c r="C65" s="557"/>
      <c r="D65" s="549"/>
      <c r="E65" s="531"/>
      <c r="F65" s="531"/>
      <c r="G65" s="531"/>
      <c r="H65" s="531"/>
      <c r="I65" s="531"/>
      <c r="J65" s="531"/>
      <c r="K65" s="531"/>
    </row>
    <row r="66" spans="2:11">
      <c r="B66" s="544"/>
      <c r="C66" s="532" t="s">
        <v>1032</v>
      </c>
      <c r="D66" s="533"/>
      <c r="E66" s="556">
        <f>E64-H38</f>
        <v>10.136342712305719</v>
      </c>
      <c r="F66" s="556">
        <f>F64-E64</f>
        <v>8.8195965350541314</v>
      </c>
      <c r="G66" s="556">
        <f t="shared" ref="G66:K66" si="32">G64-F64</f>
        <v>4.3767170898500751</v>
      </c>
      <c r="H66" s="556">
        <f t="shared" si="32"/>
        <v>4.5994919897234467</v>
      </c>
      <c r="I66" s="556">
        <f t="shared" si="32"/>
        <v>4.560938376510677</v>
      </c>
      <c r="J66" s="556">
        <f t="shared" si="32"/>
        <v>5.3523044396089006</v>
      </c>
      <c r="K66" s="556">
        <f t="shared" si="32"/>
        <v>5.3381901913408001</v>
      </c>
    </row>
    <row r="67" spans="2:11">
      <c r="B67" s="544"/>
      <c r="C67" s="544"/>
      <c r="D67" s="544"/>
      <c r="E67" s="544"/>
      <c r="F67" s="544"/>
      <c r="G67" s="544"/>
      <c r="H67" s="544"/>
      <c r="I67" s="544"/>
      <c r="J67" s="544"/>
      <c r="K67" s="544"/>
    </row>
    <row r="68" spans="2:11">
      <c r="B68" s="544"/>
      <c r="C68" s="544"/>
      <c r="D68" s="544"/>
      <c r="E68" s="544"/>
      <c r="F68" s="544"/>
      <c r="G68" s="544"/>
      <c r="H68" s="544"/>
      <c r="I68" s="544"/>
      <c r="J68" s="544"/>
      <c r="K68" s="544"/>
    </row>
    <row r="69" spans="2:11">
      <c r="B69" s="544"/>
      <c r="C69" s="544"/>
      <c r="D69" s="544"/>
      <c r="E69" s="544"/>
      <c r="F69" s="544"/>
      <c r="G69" s="544"/>
      <c r="H69" s="544"/>
      <c r="I69" s="544"/>
      <c r="J69" s="544"/>
      <c r="K69" s="54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108"/>
  <sheetViews>
    <sheetView showGridLines="0" topLeftCell="A79" zoomScaleNormal="100" workbookViewId="0">
      <selection activeCell="A82" sqref="A82"/>
    </sheetView>
  </sheetViews>
  <sheetFormatPr defaultColWidth="9.109375" defaultRowHeight="14.4" outlineLevelRow="1"/>
  <cols>
    <col min="1" max="1" width="16.109375" style="558" customWidth="1"/>
    <col min="2" max="2" width="15" style="558" customWidth="1"/>
    <col min="3" max="3" width="33.109375" style="558" bestFit="1" customWidth="1"/>
    <col min="4" max="5" width="17.6640625" style="558" bestFit="1" customWidth="1"/>
    <col min="6" max="7" width="14.44140625" style="558" bestFit="1" customWidth="1"/>
    <col min="8" max="8" width="14" style="558" bestFit="1" customWidth="1"/>
    <col min="9" max="9" width="14.6640625" style="558" bestFit="1" customWidth="1"/>
    <col min="10" max="10" width="19.44140625" style="558" bestFit="1" customWidth="1"/>
    <col min="11" max="11" width="12.44140625" style="558" bestFit="1" customWidth="1"/>
    <col min="12" max="19" width="19.44140625" style="558" bestFit="1" customWidth="1"/>
    <col min="20" max="20" width="13.109375" style="558" customWidth="1"/>
    <col min="21" max="21" width="11.5546875" style="558" customWidth="1"/>
    <col min="22" max="22" width="12.88671875" style="558" customWidth="1"/>
    <col min="23" max="24" width="8.109375" style="558" bestFit="1" customWidth="1"/>
    <col min="25" max="32" width="8.109375" style="558" customWidth="1"/>
    <col min="33" max="16384" width="9.109375" style="558"/>
  </cols>
  <sheetData>
    <row r="1" spans="1:22">
      <c r="B1" s="559" t="s">
        <v>1033</v>
      </c>
      <c r="C1" s="559"/>
      <c r="D1" s="559"/>
      <c r="E1" s="559"/>
      <c r="F1" s="559"/>
      <c r="G1" s="559"/>
      <c r="H1" s="559"/>
      <c r="I1" s="559"/>
      <c r="J1" s="559"/>
      <c r="K1" s="559"/>
    </row>
    <row r="2" spans="1:22" outlineLevel="1">
      <c r="A2" s="558" t="s">
        <v>1034</v>
      </c>
      <c r="D2" s="560">
        <f>[353]Assumptions!M3</f>
        <v>365</v>
      </c>
      <c r="E2" s="558">
        <f t="shared" ref="E2:K2" si="0">E4-D4</f>
        <v>366</v>
      </c>
      <c r="F2" s="558">
        <f t="shared" si="0"/>
        <v>365</v>
      </c>
      <c r="G2" s="558">
        <f t="shared" si="0"/>
        <v>365</v>
      </c>
      <c r="H2" s="558">
        <f t="shared" si="0"/>
        <v>365</v>
      </c>
      <c r="I2" s="558">
        <f t="shared" si="0"/>
        <v>366</v>
      </c>
      <c r="J2" s="558">
        <f t="shared" si="0"/>
        <v>365</v>
      </c>
      <c r="K2" s="558">
        <f t="shared" si="0"/>
        <v>365</v>
      </c>
    </row>
    <row r="3" spans="1:22" outlineLevel="1">
      <c r="A3" s="558" t="s">
        <v>1035</v>
      </c>
      <c r="B3" s="558">
        <f>SUM(D2:S2)</f>
        <v>2922</v>
      </c>
      <c r="D3" s="560"/>
    </row>
    <row r="4" spans="1:22">
      <c r="A4" s="561" t="s">
        <v>1036</v>
      </c>
      <c r="B4" s="561" t="s">
        <v>1037</v>
      </c>
      <c r="D4" s="562">
        <v>45016</v>
      </c>
      <c r="E4" s="563">
        <f t="shared" ref="E4:K4" si="1">EDATE(D4,12)</f>
        <v>45382</v>
      </c>
      <c r="F4" s="563">
        <f t="shared" si="1"/>
        <v>45747</v>
      </c>
      <c r="G4" s="563">
        <f t="shared" si="1"/>
        <v>46112</v>
      </c>
      <c r="H4" s="563">
        <f t="shared" si="1"/>
        <v>46477</v>
      </c>
      <c r="I4" s="563">
        <f t="shared" si="1"/>
        <v>46843</v>
      </c>
      <c r="J4" s="563">
        <f t="shared" si="1"/>
        <v>47208</v>
      </c>
      <c r="K4" s="563">
        <f t="shared" si="1"/>
        <v>47573</v>
      </c>
      <c r="L4" s="563"/>
      <c r="M4" s="563"/>
      <c r="N4" s="563"/>
      <c r="O4" s="563"/>
      <c r="P4" s="563"/>
      <c r="Q4" s="563"/>
      <c r="R4" s="563"/>
      <c r="S4" s="563"/>
      <c r="T4" s="563"/>
      <c r="U4" s="563"/>
      <c r="V4" s="563"/>
    </row>
    <row r="5" spans="1:22">
      <c r="A5" s="561" t="s">
        <v>1038</v>
      </c>
      <c r="B5" s="564" t="s">
        <v>1039</v>
      </c>
      <c r="C5" s="565" t="s">
        <v>1067</v>
      </c>
      <c r="D5" s="560"/>
    </row>
    <row r="6" spans="1:22">
      <c r="C6" s="558" t="s">
        <v>1040</v>
      </c>
      <c r="D6" s="566">
        <f>7684.33+262.18</f>
        <v>7946.51</v>
      </c>
      <c r="E6" s="567">
        <f t="shared" ref="E6:K6" si="2">D6+D7-D8</f>
        <v>7946.51</v>
      </c>
      <c r="F6" s="567">
        <f t="shared" si="2"/>
        <v>7946.51</v>
      </c>
      <c r="G6" s="567">
        <f t="shared" si="2"/>
        <v>7946.51</v>
      </c>
      <c r="H6" s="567">
        <f t="shared" si="2"/>
        <v>7946.51</v>
      </c>
      <c r="I6" s="567">
        <f t="shared" si="2"/>
        <v>7946.51</v>
      </c>
      <c r="J6" s="567">
        <f t="shared" si="2"/>
        <v>7946.51</v>
      </c>
      <c r="K6" s="567">
        <f t="shared" si="2"/>
        <v>7946.51</v>
      </c>
      <c r="L6" s="567"/>
      <c r="M6" s="567"/>
      <c r="N6" s="567"/>
      <c r="O6" s="567"/>
      <c r="P6" s="567"/>
      <c r="Q6" s="567"/>
      <c r="R6" s="567"/>
      <c r="S6" s="567"/>
      <c r="T6" s="567"/>
      <c r="U6" s="567"/>
      <c r="V6" s="567"/>
    </row>
    <row r="7" spans="1:22">
      <c r="C7" s="558" t="s">
        <v>1028</v>
      </c>
      <c r="D7" s="568"/>
      <c r="E7" s="569"/>
      <c r="F7" s="569"/>
      <c r="G7" s="569"/>
      <c r="H7" s="569"/>
      <c r="I7" s="569"/>
    </row>
    <row r="8" spans="1:22">
      <c r="C8" s="558" t="s">
        <v>1041</v>
      </c>
      <c r="D8" s="568"/>
      <c r="E8" s="569"/>
      <c r="F8" s="569"/>
      <c r="G8" s="569"/>
      <c r="H8" s="569"/>
      <c r="I8" s="569"/>
    </row>
    <row r="9" spans="1:22">
      <c r="C9" s="558" t="s">
        <v>1042</v>
      </c>
      <c r="D9" s="568"/>
      <c r="E9" s="569"/>
      <c r="F9" s="569"/>
      <c r="G9" s="569"/>
      <c r="H9" s="569"/>
      <c r="I9" s="569"/>
    </row>
    <row r="10" spans="1:22">
      <c r="C10" s="558" t="s">
        <v>1043</v>
      </c>
      <c r="D10" s="568"/>
      <c r="E10" s="569"/>
      <c r="F10" s="569"/>
      <c r="G10" s="569"/>
      <c r="H10" s="569"/>
      <c r="I10" s="569"/>
    </row>
    <row r="11" spans="1:22">
      <c r="C11" s="558" t="s">
        <v>1044</v>
      </c>
      <c r="D11" s="570"/>
      <c r="E11" s="571"/>
      <c r="F11" s="571"/>
      <c r="G11" s="571"/>
      <c r="H11" s="571"/>
      <c r="I11" s="571"/>
    </row>
    <row r="12" spans="1:22">
      <c r="C12" s="558" t="s">
        <v>1045</v>
      </c>
      <c r="D12" s="572">
        <f t="shared" ref="D12:K12" si="3">D6</f>
        <v>7946.51</v>
      </c>
      <c r="E12" s="573">
        <f t="shared" si="3"/>
        <v>7946.51</v>
      </c>
      <c r="F12" s="573">
        <f t="shared" si="3"/>
        <v>7946.51</v>
      </c>
      <c r="G12" s="573">
        <f t="shared" si="3"/>
        <v>7946.51</v>
      </c>
      <c r="H12" s="573">
        <f t="shared" si="3"/>
        <v>7946.51</v>
      </c>
      <c r="I12" s="573">
        <f t="shared" si="3"/>
        <v>7946.51</v>
      </c>
      <c r="J12" s="573">
        <f t="shared" si="3"/>
        <v>7946.51</v>
      </c>
      <c r="K12" s="573">
        <f t="shared" si="3"/>
        <v>7946.51</v>
      </c>
      <c r="L12" s="573"/>
      <c r="M12" s="573"/>
      <c r="N12" s="573"/>
      <c r="O12" s="573"/>
      <c r="P12" s="573"/>
      <c r="Q12" s="573"/>
      <c r="R12" s="573"/>
      <c r="S12" s="573"/>
      <c r="T12" s="573"/>
      <c r="U12" s="573"/>
      <c r="V12" s="573"/>
    </row>
    <row r="13" spans="1:22">
      <c r="D13" s="574"/>
      <c r="E13" s="575"/>
      <c r="F13" s="575"/>
      <c r="G13" s="575"/>
      <c r="H13" s="575"/>
      <c r="I13" s="575"/>
    </row>
    <row r="14" spans="1:22">
      <c r="B14" s="558" t="s">
        <v>1039</v>
      </c>
      <c r="C14" s="565" t="s">
        <v>1068</v>
      </c>
      <c r="D14" s="560"/>
    </row>
    <row r="15" spans="1:22">
      <c r="A15" s="576">
        <v>0.05</v>
      </c>
      <c r="C15" s="558" t="s">
        <v>1040</v>
      </c>
      <c r="D15" s="566">
        <f>16700.81+157.57+7204.1+33.83+43.3</f>
        <v>24139.610000000004</v>
      </c>
      <c r="E15" s="567">
        <f t="shared" ref="E15:K15" si="4">SUM(D15,D16,D17)</f>
        <v>24709.740000000005</v>
      </c>
      <c r="F15" s="567">
        <f t="shared" si="4"/>
        <v>24709.740000000005</v>
      </c>
      <c r="G15" s="567">
        <f t="shared" si="4"/>
        <v>24709.740000000005</v>
      </c>
      <c r="H15" s="567">
        <f t="shared" si="4"/>
        <v>24709.740000000005</v>
      </c>
      <c r="I15" s="567">
        <f t="shared" si="4"/>
        <v>24709.740000000005</v>
      </c>
      <c r="J15" s="567">
        <f t="shared" si="4"/>
        <v>24709.740000000005</v>
      </c>
      <c r="K15" s="567">
        <f t="shared" si="4"/>
        <v>24709.740000000005</v>
      </c>
      <c r="L15" s="567"/>
      <c r="M15" s="567"/>
      <c r="N15" s="567"/>
      <c r="O15" s="567"/>
      <c r="P15" s="567"/>
      <c r="Q15" s="567"/>
      <c r="R15" s="567"/>
      <c r="S15" s="567"/>
      <c r="T15" s="567"/>
      <c r="U15" s="567"/>
      <c r="V15" s="567"/>
    </row>
    <row r="16" spans="1:22">
      <c r="A16" s="576"/>
      <c r="B16" s="569">
        <v>30</v>
      </c>
      <c r="C16" s="558" t="s">
        <v>1028</v>
      </c>
      <c r="D16" s="568">
        <f>193.2+376.93</f>
        <v>570.13</v>
      </c>
      <c r="E16" s="569"/>
      <c r="F16" s="569"/>
      <c r="G16" s="569"/>
      <c r="H16" s="569"/>
      <c r="I16" s="569"/>
      <c r="J16" s="569"/>
      <c r="K16" s="569"/>
      <c r="L16" s="569"/>
      <c r="M16" s="569"/>
      <c r="N16" s="569"/>
      <c r="O16" s="569"/>
      <c r="P16" s="569"/>
      <c r="Q16" s="577"/>
      <c r="R16" s="569"/>
      <c r="S16" s="569"/>
      <c r="T16" s="569"/>
      <c r="U16" s="569"/>
      <c r="V16" s="569"/>
    </row>
    <row r="17" spans="1:22">
      <c r="B17" s="578">
        <v>3.1699999999999999E-2</v>
      </c>
      <c r="C17" s="558" t="s">
        <v>1041</v>
      </c>
      <c r="D17" s="568"/>
      <c r="E17" s="569"/>
      <c r="F17" s="569"/>
      <c r="G17" s="569"/>
      <c r="H17" s="569"/>
      <c r="I17" s="569"/>
      <c r="J17" s="569"/>
      <c r="K17" s="569"/>
      <c r="L17" s="569"/>
      <c r="M17" s="569"/>
      <c r="N17" s="569"/>
      <c r="O17" s="569"/>
      <c r="P17" s="569"/>
      <c r="Q17" s="569"/>
      <c r="R17" s="569"/>
      <c r="S17" s="569"/>
      <c r="T17" s="569"/>
      <c r="U17" s="569"/>
      <c r="V17" s="569"/>
    </row>
    <row r="18" spans="1:22">
      <c r="C18" s="558" t="s">
        <v>1042</v>
      </c>
      <c r="D18" s="568">
        <f>527.95+4.93+117.75+1.1+1.24</f>
        <v>652.97</v>
      </c>
      <c r="E18" s="569">
        <f t="shared" ref="E18:K18" si="5">(E15*(1-$A$15))*$B$17</f>
        <v>744.13382010000009</v>
      </c>
      <c r="F18" s="569">
        <f t="shared" si="5"/>
        <v>744.13382010000009</v>
      </c>
      <c r="G18" s="569">
        <f t="shared" si="5"/>
        <v>744.13382010000009</v>
      </c>
      <c r="H18" s="569">
        <f t="shared" si="5"/>
        <v>744.13382010000009</v>
      </c>
      <c r="I18" s="569">
        <f t="shared" si="5"/>
        <v>744.13382010000009</v>
      </c>
      <c r="J18" s="569">
        <f t="shared" si="5"/>
        <v>744.13382010000009</v>
      </c>
      <c r="K18" s="569">
        <f t="shared" si="5"/>
        <v>744.13382010000009</v>
      </c>
      <c r="L18" s="569"/>
      <c r="M18" s="569"/>
      <c r="N18" s="569"/>
      <c r="O18" s="569"/>
      <c r="P18" s="569"/>
      <c r="Q18" s="577"/>
      <c r="R18" s="577"/>
      <c r="S18" s="577"/>
      <c r="T18" s="577"/>
      <c r="U18" s="577"/>
      <c r="V18" s="577"/>
    </row>
    <row r="19" spans="1:22">
      <c r="C19" s="558" t="s">
        <v>1043</v>
      </c>
      <c r="D19" s="568"/>
      <c r="E19" s="569"/>
      <c r="F19" s="569"/>
      <c r="G19" s="569"/>
      <c r="H19" s="569"/>
      <c r="I19" s="569"/>
      <c r="J19" s="569"/>
      <c r="K19" s="569"/>
      <c r="L19" s="569"/>
      <c r="M19" s="569"/>
      <c r="N19" s="569"/>
      <c r="O19" s="569"/>
      <c r="P19" s="569"/>
      <c r="Q19" s="569"/>
      <c r="R19" s="569"/>
      <c r="S19" s="569"/>
      <c r="T19" s="569"/>
      <c r="U19" s="569"/>
      <c r="V19" s="569"/>
    </row>
    <row r="20" spans="1:22">
      <c r="B20" s="569"/>
      <c r="C20" s="558" t="s">
        <v>1044</v>
      </c>
      <c r="D20" s="570">
        <f>7041.84+61.72+2830.18+11.43+18.73</f>
        <v>9963.9</v>
      </c>
      <c r="E20" s="571">
        <f>E18+D20+E19-E17</f>
        <v>10708.0338201</v>
      </c>
      <c r="F20" s="571">
        <f t="shared" ref="F20:K20" si="6">F18+E20+F19-F17</f>
        <v>11452.167640199999</v>
      </c>
      <c r="G20" s="571">
        <f t="shared" si="6"/>
        <v>12196.301460299999</v>
      </c>
      <c r="H20" s="571">
        <f t="shared" si="6"/>
        <v>12940.435280399999</v>
      </c>
      <c r="I20" s="571">
        <f t="shared" si="6"/>
        <v>13684.569100499999</v>
      </c>
      <c r="J20" s="571">
        <f t="shared" si="6"/>
        <v>14428.702920599999</v>
      </c>
      <c r="K20" s="571">
        <f t="shared" si="6"/>
        <v>15172.836740699999</v>
      </c>
      <c r="L20" s="571"/>
      <c r="M20" s="571"/>
      <c r="N20" s="571"/>
      <c r="O20" s="571"/>
      <c r="P20" s="571"/>
      <c r="Q20" s="577"/>
      <c r="R20" s="571"/>
      <c r="S20" s="571"/>
      <c r="T20" s="571"/>
      <c r="U20" s="571"/>
      <c r="V20" s="571"/>
    </row>
    <row r="21" spans="1:22">
      <c r="C21" s="558" t="s">
        <v>1045</v>
      </c>
      <c r="D21" s="572">
        <f>D15+D16-D20-D17</f>
        <v>14745.840000000006</v>
      </c>
      <c r="E21" s="573">
        <f>E15+E16-E20-E17</f>
        <v>14001.706179900006</v>
      </c>
      <c r="F21" s="573">
        <f t="shared" ref="F21:K21" si="7">F15+F16-F20-F17</f>
        <v>13257.572359800006</v>
      </c>
      <c r="G21" s="573">
        <f t="shared" si="7"/>
        <v>12513.438539700006</v>
      </c>
      <c r="H21" s="573">
        <f t="shared" si="7"/>
        <v>11769.304719600006</v>
      </c>
      <c r="I21" s="573">
        <f t="shared" si="7"/>
        <v>11025.170899500006</v>
      </c>
      <c r="J21" s="573">
        <f t="shared" si="7"/>
        <v>10281.037079400006</v>
      </c>
      <c r="K21" s="573">
        <f t="shared" si="7"/>
        <v>9536.9032593000065</v>
      </c>
      <c r="L21" s="573"/>
      <c r="M21" s="573"/>
      <c r="N21" s="573"/>
      <c r="O21" s="573"/>
      <c r="P21" s="573"/>
      <c r="Q21" s="573"/>
      <c r="R21" s="573"/>
      <c r="S21" s="573"/>
      <c r="T21" s="573"/>
      <c r="U21" s="573"/>
      <c r="V21" s="573"/>
    </row>
    <row r="22" spans="1:22">
      <c r="B22" s="558" t="s">
        <v>1039</v>
      </c>
      <c r="C22" s="565" t="s">
        <v>28</v>
      </c>
      <c r="D22" s="560"/>
    </row>
    <row r="23" spans="1:22">
      <c r="A23" s="576">
        <v>0.05</v>
      </c>
      <c r="C23" s="558" t="s">
        <v>1040</v>
      </c>
      <c r="D23" s="566">
        <v>104278.8</v>
      </c>
      <c r="E23" s="567">
        <f t="shared" ref="E23:K23" si="8">D23+D24-D25</f>
        <v>105038.13</v>
      </c>
      <c r="F23" s="567">
        <f t="shared" si="8"/>
        <v>105038.13</v>
      </c>
      <c r="G23" s="567">
        <f t="shared" si="8"/>
        <v>105038.13</v>
      </c>
      <c r="H23" s="567">
        <f t="shared" si="8"/>
        <v>105038.13</v>
      </c>
      <c r="I23" s="567">
        <f t="shared" si="8"/>
        <v>105038.13</v>
      </c>
      <c r="J23" s="567">
        <f t="shared" si="8"/>
        <v>105038.13</v>
      </c>
      <c r="K23" s="567">
        <f t="shared" si="8"/>
        <v>105038.13</v>
      </c>
      <c r="L23" s="567"/>
      <c r="M23" s="567"/>
      <c r="N23" s="567"/>
      <c r="O23" s="567"/>
      <c r="P23" s="567"/>
      <c r="Q23" s="567"/>
      <c r="R23" s="567"/>
      <c r="S23" s="567"/>
      <c r="T23" s="567"/>
      <c r="U23" s="567"/>
      <c r="V23" s="567"/>
    </row>
    <row r="24" spans="1:22">
      <c r="B24" s="558">
        <v>20</v>
      </c>
      <c r="C24" s="558" t="s">
        <v>1028</v>
      </c>
      <c r="D24" s="568">
        <v>759.33</v>
      </c>
      <c r="E24" s="569"/>
      <c r="F24" s="569"/>
      <c r="G24" s="569"/>
      <c r="H24" s="569"/>
      <c r="I24" s="569"/>
      <c r="J24" s="569"/>
      <c r="K24" s="569"/>
      <c r="L24" s="569"/>
      <c r="M24" s="569"/>
      <c r="N24" s="569"/>
      <c r="O24" s="569"/>
      <c r="P24" s="569"/>
      <c r="Q24" s="577"/>
      <c r="R24" s="569"/>
      <c r="S24" s="569"/>
      <c r="T24" s="569"/>
      <c r="U24" s="569"/>
      <c r="V24" s="569"/>
    </row>
    <row r="25" spans="1:22">
      <c r="A25" s="576"/>
      <c r="B25" s="578">
        <v>6.3299999999999995E-2</v>
      </c>
      <c r="C25" s="558" t="s">
        <v>1041</v>
      </c>
      <c r="D25" s="568"/>
      <c r="E25" s="569"/>
      <c r="F25" s="569"/>
      <c r="G25" s="569"/>
      <c r="H25" s="569"/>
      <c r="I25" s="569"/>
      <c r="J25" s="569"/>
      <c r="K25" s="569"/>
      <c r="L25" s="569"/>
      <c r="M25" s="569"/>
      <c r="N25" s="569"/>
      <c r="O25" s="569"/>
      <c r="P25" s="569"/>
      <c r="Q25" s="569"/>
      <c r="R25" s="569"/>
      <c r="S25" s="569"/>
      <c r="T25" s="569"/>
      <c r="U25" s="569"/>
      <c r="V25" s="569"/>
    </row>
    <row r="26" spans="1:22">
      <c r="C26" s="558" t="s">
        <v>1042</v>
      </c>
      <c r="D26" s="568">
        <v>3882.77</v>
      </c>
      <c r="E26" s="569">
        <f t="shared" ref="E26:K26" si="9">(E23*(1-$A$23))*$B$25</f>
        <v>6316.4679475499988</v>
      </c>
      <c r="F26" s="569">
        <f t="shared" si="9"/>
        <v>6316.4679475499988</v>
      </c>
      <c r="G26" s="569">
        <f t="shared" si="9"/>
        <v>6316.4679475499988</v>
      </c>
      <c r="H26" s="569">
        <f t="shared" si="9"/>
        <v>6316.4679475499988</v>
      </c>
      <c r="I26" s="569">
        <f t="shared" si="9"/>
        <v>6316.4679475499988</v>
      </c>
      <c r="J26" s="569">
        <f t="shared" si="9"/>
        <v>6316.4679475499988</v>
      </c>
      <c r="K26" s="569">
        <f t="shared" si="9"/>
        <v>6316.4679475499988</v>
      </c>
      <c r="L26" s="569"/>
      <c r="M26" s="569"/>
      <c r="N26" s="569"/>
      <c r="O26" s="569"/>
      <c r="P26" s="569"/>
      <c r="Q26" s="577"/>
      <c r="R26" s="569"/>
      <c r="S26" s="569"/>
      <c r="T26" s="569"/>
      <c r="U26" s="569"/>
      <c r="V26" s="569"/>
    </row>
    <row r="27" spans="1:22">
      <c r="C27" s="558" t="s">
        <v>1043</v>
      </c>
      <c r="D27" s="568"/>
      <c r="E27" s="569"/>
      <c r="F27" s="569"/>
      <c r="G27" s="569"/>
      <c r="H27" s="569"/>
      <c r="I27" s="569"/>
      <c r="J27" s="569"/>
      <c r="K27" s="569"/>
      <c r="L27" s="569"/>
      <c r="M27" s="569"/>
      <c r="N27" s="569"/>
      <c r="O27" s="569"/>
      <c r="P27" s="569"/>
      <c r="Q27" s="569"/>
      <c r="R27" s="569"/>
      <c r="S27" s="569"/>
      <c r="T27" s="569"/>
      <c r="U27" s="569"/>
      <c r="V27" s="569"/>
    </row>
    <row r="28" spans="1:22">
      <c r="C28" s="558" t="s">
        <v>1044</v>
      </c>
      <c r="D28" s="570">
        <v>56080.52</v>
      </c>
      <c r="E28" s="571">
        <f t="shared" ref="E28:K28" si="10">E26+D28+E27-E25</f>
        <v>62396.987947549998</v>
      </c>
      <c r="F28" s="571">
        <f t="shared" si="10"/>
        <v>68713.455895099993</v>
      </c>
      <c r="G28" s="571">
        <f t="shared" si="10"/>
        <v>75029.923842649994</v>
      </c>
      <c r="H28" s="571">
        <f t="shared" si="10"/>
        <v>81346.391790199996</v>
      </c>
      <c r="I28" s="571">
        <f t="shared" si="10"/>
        <v>87662.859737749997</v>
      </c>
      <c r="J28" s="571">
        <f t="shared" si="10"/>
        <v>93979.327685299999</v>
      </c>
      <c r="K28" s="571">
        <f t="shared" si="10"/>
        <v>100295.79563285</v>
      </c>
      <c r="L28" s="571"/>
      <c r="M28" s="571"/>
      <c r="N28" s="571"/>
      <c r="O28" s="571"/>
      <c r="P28" s="571"/>
      <c r="Q28" s="577"/>
      <c r="R28" s="571"/>
      <c r="S28" s="571"/>
      <c r="T28" s="571"/>
      <c r="U28" s="571"/>
      <c r="V28" s="571"/>
    </row>
    <row r="29" spans="1:22">
      <c r="C29" s="558" t="s">
        <v>1045</v>
      </c>
      <c r="D29" s="572">
        <f>D23+D24-D28-D25</f>
        <v>48957.610000000008</v>
      </c>
      <c r="E29" s="573">
        <f>E23+D24-E28-E25</f>
        <v>43400.472052450008</v>
      </c>
      <c r="F29" s="573">
        <f>F23+F24-F28-F25</f>
        <v>36324.674104900012</v>
      </c>
      <c r="G29" s="573">
        <f>G23+G24-G28-G25</f>
        <v>30008.20615735001</v>
      </c>
      <c r="H29" s="573">
        <f>H23+H24-H28-H25</f>
        <v>23691.738209800009</v>
      </c>
      <c r="I29" s="573">
        <f>I23+I24-I28-I25</f>
        <v>17375.270262250007</v>
      </c>
      <c r="J29" s="573">
        <f>J23+I24-J28-J25</f>
        <v>11058.802314700006</v>
      </c>
      <c r="K29" s="573">
        <f>K23+K24-K28-K25</f>
        <v>4742.3343671500043</v>
      </c>
      <c r="L29" s="573"/>
      <c r="M29" s="573"/>
      <c r="N29" s="573"/>
      <c r="O29" s="573"/>
      <c r="P29" s="573"/>
      <c r="Q29" s="573"/>
      <c r="R29" s="573"/>
      <c r="S29" s="573"/>
      <c r="T29" s="573"/>
      <c r="U29" s="573"/>
      <c r="V29" s="573"/>
    </row>
    <row r="30" spans="1:22">
      <c r="D30" s="579">
        <f t="shared" ref="D30:K30" si="11">IF(D28=0,(D27-D25)/D23,D29/D23)</f>
        <v>0.46948766192169461</v>
      </c>
      <c r="E30" s="580">
        <f t="shared" si="11"/>
        <v>0.41318778287894126</v>
      </c>
      <c r="F30" s="580">
        <f t="shared" si="11"/>
        <v>0.34582369378529504</v>
      </c>
      <c r="G30" s="580">
        <f t="shared" si="11"/>
        <v>0.28568869378529499</v>
      </c>
      <c r="H30" s="580">
        <f t="shared" si="11"/>
        <v>0.225553693785295</v>
      </c>
      <c r="I30" s="580">
        <f t="shared" si="11"/>
        <v>0.16541869378529497</v>
      </c>
      <c r="J30" s="580">
        <f t="shared" si="11"/>
        <v>0.10528369378529497</v>
      </c>
      <c r="K30" s="580">
        <f t="shared" si="11"/>
        <v>4.5148693785294958E-2</v>
      </c>
      <c r="L30" s="580"/>
      <c r="M30" s="580"/>
      <c r="N30" s="580"/>
      <c r="O30" s="580"/>
      <c r="P30" s="580"/>
      <c r="Q30" s="580"/>
      <c r="R30" s="580"/>
      <c r="S30" s="580"/>
      <c r="T30" s="580"/>
      <c r="U30" s="580"/>
      <c r="V30" s="580"/>
    </row>
    <row r="31" spans="1:22" ht="15" customHeight="1">
      <c r="D31" s="581"/>
      <c r="E31" s="582"/>
      <c r="F31" s="582"/>
      <c r="G31" s="582"/>
      <c r="H31" s="582"/>
      <c r="I31" s="582"/>
    </row>
    <row r="32" spans="1:22">
      <c r="B32" s="558" t="s">
        <v>1039</v>
      </c>
      <c r="C32" s="565" t="s">
        <v>1046</v>
      </c>
      <c r="D32" s="560"/>
    </row>
    <row r="33" spans="1:22">
      <c r="A33" s="576">
        <v>0.05</v>
      </c>
      <c r="C33" s="558" t="s">
        <v>1040</v>
      </c>
      <c r="D33" s="583">
        <v>481.92</v>
      </c>
      <c r="E33" s="567">
        <f t="shared" ref="E33:K33" si="12">D33+D34-D35</f>
        <v>494.34000000000003</v>
      </c>
      <c r="F33" s="567">
        <f t="shared" si="12"/>
        <v>494.34000000000003</v>
      </c>
      <c r="G33" s="567">
        <f t="shared" si="12"/>
        <v>671.91279654280572</v>
      </c>
      <c r="H33" s="567">
        <f t="shared" si="12"/>
        <v>671.91279654280572</v>
      </c>
      <c r="I33" s="567">
        <f t="shared" si="12"/>
        <v>671.91279654280572</v>
      </c>
      <c r="J33" s="567">
        <f t="shared" si="12"/>
        <v>671.91279654280572</v>
      </c>
      <c r="K33" s="567">
        <f t="shared" si="12"/>
        <v>671.91279654280572</v>
      </c>
      <c r="L33" s="567"/>
      <c r="M33" s="567"/>
      <c r="N33" s="567"/>
      <c r="O33" s="567"/>
      <c r="P33" s="567"/>
      <c r="Q33" s="567"/>
      <c r="R33" s="567"/>
      <c r="S33" s="567"/>
      <c r="T33" s="567"/>
      <c r="U33" s="567"/>
      <c r="V33" s="567"/>
    </row>
    <row r="34" spans="1:22">
      <c r="B34" s="558">
        <v>8</v>
      </c>
      <c r="C34" s="558" t="s">
        <v>1028</v>
      </c>
      <c r="D34" s="584">
        <v>12.42</v>
      </c>
      <c r="E34" s="577"/>
      <c r="F34" s="577">
        <f>F33*(1+$C$108)^'Depreciation Schedule'!$B$34</f>
        <v>671.91279654280572</v>
      </c>
      <c r="G34" s="569"/>
      <c r="H34" s="569"/>
      <c r="I34" s="577"/>
      <c r="J34" s="577"/>
      <c r="K34" s="569"/>
      <c r="L34" s="577"/>
      <c r="M34" s="569"/>
      <c r="N34" s="569"/>
      <c r="O34" s="577"/>
      <c r="P34" s="569"/>
      <c r="Q34" s="577"/>
      <c r="R34" s="569"/>
      <c r="S34" s="569"/>
      <c r="T34" s="577"/>
      <c r="U34" s="569"/>
      <c r="V34" s="569"/>
    </row>
    <row r="35" spans="1:22">
      <c r="A35" s="576"/>
      <c r="B35" s="585">
        <v>9.5000000000000001E-2</v>
      </c>
      <c r="C35" s="558" t="s">
        <v>1041</v>
      </c>
      <c r="D35" s="584"/>
      <c r="E35" s="569"/>
      <c r="F35" s="569">
        <f>F33</f>
        <v>494.34000000000003</v>
      </c>
      <c r="G35" s="569"/>
      <c r="H35" s="569"/>
      <c r="I35" s="569"/>
      <c r="J35" s="569"/>
      <c r="K35" s="569"/>
      <c r="L35" s="569"/>
      <c r="M35" s="569"/>
      <c r="N35" s="569"/>
      <c r="O35" s="569"/>
      <c r="P35" s="569"/>
      <c r="Q35" s="569"/>
      <c r="R35" s="569"/>
      <c r="S35" s="569"/>
      <c r="T35" s="569"/>
      <c r="U35" s="569"/>
      <c r="V35" s="569"/>
    </row>
    <row r="36" spans="1:22">
      <c r="A36" s="586"/>
      <c r="C36" s="558" t="s">
        <v>1042</v>
      </c>
      <c r="D36" s="584">
        <v>12.06</v>
      </c>
      <c r="E36" s="577">
        <f t="shared" ref="E36:K36" si="13">(E33*(1-$A$33))*$B$35</f>
        <v>44.614184999999999</v>
      </c>
      <c r="F36" s="577">
        <f t="shared" si="13"/>
        <v>44.614184999999999</v>
      </c>
      <c r="G36" s="577">
        <f t="shared" si="13"/>
        <v>60.640129887988216</v>
      </c>
      <c r="H36" s="577">
        <f t="shared" si="13"/>
        <v>60.640129887988216</v>
      </c>
      <c r="I36" s="577">
        <f t="shared" si="13"/>
        <v>60.640129887988216</v>
      </c>
      <c r="J36" s="577">
        <f t="shared" si="13"/>
        <v>60.640129887988216</v>
      </c>
      <c r="K36" s="577">
        <f t="shared" si="13"/>
        <v>60.640129887988216</v>
      </c>
      <c r="L36" s="577"/>
      <c r="M36" s="577"/>
      <c r="N36" s="577"/>
      <c r="O36" s="577"/>
      <c r="P36" s="577"/>
      <c r="Q36" s="577"/>
      <c r="R36" s="577"/>
      <c r="S36" s="577"/>
      <c r="T36" s="577"/>
      <c r="U36" s="577"/>
      <c r="V36" s="577"/>
    </row>
    <row r="37" spans="1:22">
      <c r="C37" s="558" t="s">
        <v>1043</v>
      </c>
      <c r="D37" s="584"/>
      <c r="E37" s="569"/>
      <c r="F37" s="569">
        <f>E39-F36</f>
        <v>-18.308370000000004</v>
      </c>
      <c r="G37" s="569"/>
      <c r="H37" s="569"/>
      <c r="I37" s="569"/>
      <c r="J37" s="569"/>
      <c r="K37" s="569"/>
      <c r="L37" s="569"/>
      <c r="M37" s="569"/>
      <c r="N37" s="569"/>
      <c r="O37" s="569"/>
      <c r="P37" s="569"/>
      <c r="Q37" s="569"/>
      <c r="R37" s="569"/>
      <c r="S37" s="569"/>
      <c r="T37" s="569"/>
      <c r="U37" s="569"/>
      <c r="V37" s="569"/>
    </row>
    <row r="38" spans="1:22">
      <c r="C38" s="558" t="s">
        <v>1044</v>
      </c>
      <c r="D38" s="584">
        <v>423.42</v>
      </c>
      <c r="E38" s="577">
        <f t="shared" ref="E38:K38" si="14">D38+E36+E37-E35</f>
        <v>468.03418500000004</v>
      </c>
      <c r="F38" s="577">
        <f t="shared" si="14"/>
        <v>0</v>
      </c>
      <c r="G38" s="569">
        <f t="shared" si="14"/>
        <v>60.640129887988216</v>
      </c>
      <c r="H38" s="569">
        <f t="shared" si="14"/>
        <v>121.28025977597643</v>
      </c>
      <c r="I38" s="577">
        <f t="shared" si="14"/>
        <v>181.92038966396464</v>
      </c>
      <c r="J38" s="577">
        <f t="shared" si="14"/>
        <v>242.56051955195286</v>
      </c>
      <c r="K38" s="569">
        <f t="shared" si="14"/>
        <v>303.20064943994106</v>
      </c>
      <c r="L38" s="569"/>
      <c r="M38" s="577"/>
      <c r="N38" s="577"/>
      <c r="O38" s="577"/>
      <c r="P38" s="569"/>
      <c r="Q38" s="577"/>
      <c r="R38" s="577"/>
      <c r="S38" s="569"/>
      <c r="T38" s="577"/>
      <c r="U38" s="577"/>
      <c r="V38" s="577"/>
    </row>
    <row r="39" spans="1:22">
      <c r="B39" s="578"/>
      <c r="C39" s="558" t="s">
        <v>1045</v>
      </c>
      <c r="D39" s="587">
        <f t="shared" ref="D39:K39" si="15">D33+D34-D38-D35</f>
        <v>70.920000000000016</v>
      </c>
      <c r="E39" s="573">
        <f t="shared" si="15"/>
        <v>26.305814999999996</v>
      </c>
      <c r="F39" s="573">
        <f t="shared" si="15"/>
        <v>671.91279654280572</v>
      </c>
      <c r="G39" s="573">
        <f t="shared" si="15"/>
        <v>611.2726666548175</v>
      </c>
      <c r="H39" s="573">
        <f t="shared" si="15"/>
        <v>550.63253676682928</v>
      </c>
      <c r="I39" s="573">
        <f t="shared" si="15"/>
        <v>489.99240687884105</v>
      </c>
      <c r="J39" s="573">
        <f t="shared" si="15"/>
        <v>429.35227699085283</v>
      </c>
      <c r="K39" s="573">
        <f t="shared" si="15"/>
        <v>368.71214710286466</v>
      </c>
      <c r="L39" s="573"/>
      <c r="M39" s="573"/>
      <c r="N39" s="573"/>
      <c r="O39" s="573"/>
      <c r="P39" s="573"/>
      <c r="Q39" s="573"/>
      <c r="R39" s="573"/>
      <c r="S39" s="573"/>
      <c r="T39" s="573"/>
      <c r="U39" s="573"/>
      <c r="V39" s="573"/>
    </row>
    <row r="40" spans="1:22">
      <c r="D40" s="579">
        <f t="shared" ref="D40:K40" si="16">IF(D38=0,(D37-D35)/D33,D39/D33)</f>
        <v>0.14716135458167334</v>
      </c>
      <c r="E40" s="579">
        <f t="shared" si="16"/>
        <v>5.3214012622891112E-2</v>
      </c>
      <c r="F40" s="579">
        <f t="shared" si="16"/>
        <v>-1.0370359873771089</v>
      </c>
      <c r="G40" s="579">
        <f t="shared" si="16"/>
        <v>0.90974999999999995</v>
      </c>
      <c r="H40" s="579">
        <f t="shared" si="16"/>
        <v>0.81950000000000001</v>
      </c>
      <c r="I40" s="579">
        <f t="shared" si="16"/>
        <v>0.72924999999999995</v>
      </c>
      <c r="J40" s="579">
        <f t="shared" si="16"/>
        <v>0.63900000000000001</v>
      </c>
      <c r="K40" s="579">
        <f t="shared" si="16"/>
        <v>0.54875000000000007</v>
      </c>
      <c r="L40" s="579"/>
      <c r="M40" s="579"/>
      <c r="N40" s="579"/>
      <c r="O40" s="579"/>
      <c r="P40" s="579"/>
      <c r="Q40" s="579"/>
      <c r="R40" s="579"/>
      <c r="S40" s="579"/>
      <c r="T40" s="579"/>
      <c r="U40" s="579"/>
      <c r="V40" s="579"/>
    </row>
    <row r="41" spans="1:22" ht="9.75" customHeight="1">
      <c r="D41" s="574"/>
      <c r="E41" s="575"/>
      <c r="F41" s="575"/>
      <c r="G41" s="575"/>
      <c r="H41" s="575"/>
      <c r="I41" s="575"/>
    </row>
    <row r="42" spans="1:22">
      <c r="B42" s="558" t="s">
        <v>1039</v>
      </c>
      <c r="C42" s="565" t="s">
        <v>1047</v>
      </c>
      <c r="D42" s="560"/>
    </row>
    <row r="43" spans="1:22">
      <c r="A43" s="576">
        <v>0.05</v>
      </c>
      <c r="C43" s="558" t="s">
        <v>1040</v>
      </c>
      <c r="D43" s="583">
        <v>292.04000000000002</v>
      </c>
      <c r="E43" s="567">
        <f t="shared" ref="E43:K43" si="17">D43+D44-D45</f>
        <v>293.32</v>
      </c>
      <c r="F43" s="567">
        <f t="shared" si="17"/>
        <v>398.68402613977372</v>
      </c>
      <c r="G43" s="567">
        <f t="shared" si="17"/>
        <v>398.68402613977372</v>
      </c>
      <c r="H43" s="567">
        <f t="shared" si="17"/>
        <v>398.68402613977372</v>
      </c>
      <c r="I43" s="567">
        <f t="shared" si="17"/>
        <v>398.68402613977372</v>
      </c>
      <c r="J43" s="567">
        <f t="shared" si="17"/>
        <v>398.68402613977372</v>
      </c>
      <c r="K43" s="567">
        <f t="shared" si="17"/>
        <v>398.68402613977372</v>
      </c>
      <c r="L43" s="567"/>
      <c r="M43" s="567"/>
      <c r="N43" s="567"/>
      <c r="O43" s="567"/>
      <c r="P43" s="567"/>
      <c r="Q43" s="567"/>
      <c r="R43" s="567"/>
      <c r="S43" s="567"/>
      <c r="T43" s="567"/>
      <c r="U43" s="567"/>
      <c r="V43" s="567"/>
    </row>
    <row r="44" spans="1:22">
      <c r="B44" s="558">
        <v>8</v>
      </c>
      <c r="C44" s="558" t="s">
        <v>1028</v>
      </c>
      <c r="D44" s="584">
        <v>1.28</v>
      </c>
      <c r="E44" s="577">
        <f>E43*(1+$C$108)^'Depreciation Schedule'!$B$44</f>
        <v>398.68402613977372</v>
      </c>
      <c r="F44" s="569"/>
      <c r="G44" s="569"/>
      <c r="H44" s="577"/>
      <c r="I44" s="569"/>
      <c r="J44" s="577"/>
      <c r="K44" s="569"/>
      <c r="L44" s="569"/>
      <c r="M44" s="569"/>
      <c r="N44" s="569"/>
      <c r="O44" s="577"/>
      <c r="P44" s="577"/>
      <c r="Q44" s="569"/>
      <c r="R44" s="569"/>
      <c r="S44" s="569"/>
      <c r="T44" s="577"/>
      <c r="U44" s="569"/>
      <c r="V44" s="569"/>
    </row>
    <row r="45" spans="1:22">
      <c r="A45" s="576"/>
      <c r="B45" s="585">
        <v>0.19</v>
      </c>
      <c r="C45" s="558" t="s">
        <v>1041</v>
      </c>
      <c r="D45" s="584"/>
      <c r="E45" s="569">
        <f>E43</f>
        <v>293.32</v>
      </c>
      <c r="F45" s="569"/>
      <c r="G45" s="569"/>
      <c r="H45" s="569"/>
      <c r="I45" s="569"/>
      <c r="J45" s="569"/>
      <c r="K45" s="569"/>
      <c r="L45" s="569"/>
      <c r="M45" s="569"/>
      <c r="N45" s="569"/>
      <c r="O45" s="569"/>
      <c r="P45" s="569"/>
      <c r="Q45" s="569"/>
      <c r="R45" s="569"/>
      <c r="S45" s="569"/>
      <c r="T45" s="569"/>
      <c r="U45" s="569"/>
      <c r="V45" s="569"/>
    </row>
    <row r="46" spans="1:22">
      <c r="A46" s="586"/>
      <c r="C46" s="558" t="s">
        <v>1042</v>
      </c>
      <c r="D46" s="584">
        <v>4.54</v>
      </c>
      <c r="E46" s="577">
        <f t="shared" ref="E46:K46" si="18">(E43*(1-$A$43))*$B$45</f>
        <v>52.94426</v>
      </c>
      <c r="F46" s="577">
        <f t="shared" si="18"/>
        <v>71.962466718229152</v>
      </c>
      <c r="G46" s="577">
        <f t="shared" si="18"/>
        <v>71.962466718229152</v>
      </c>
      <c r="H46" s="577">
        <f t="shared" si="18"/>
        <v>71.962466718229152</v>
      </c>
      <c r="I46" s="577">
        <f t="shared" si="18"/>
        <v>71.962466718229152</v>
      </c>
      <c r="J46" s="577">
        <f t="shared" si="18"/>
        <v>71.962466718229152</v>
      </c>
      <c r="K46" s="577">
        <f t="shared" si="18"/>
        <v>71.962466718229152</v>
      </c>
      <c r="L46" s="577"/>
      <c r="M46" s="577"/>
      <c r="N46" s="577"/>
      <c r="O46" s="577"/>
      <c r="P46" s="577"/>
      <c r="Q46" s="577"/>
      <c r="R46" s="577"/>
      <c r="S46" s="577"/>
      <c r="T46" s="577"/>
      <c r="U46" s="577"/>
      <c r="V46" s="577"/>
    </row>
    <row r="47" spans="1:22">
      <c r="C47" s="558" t="s">
        <v>1043</v>
      </c>
      <c r="D47" s="584"/>
      <c r="E47" s="569">
        <f>D49-E46</f>
        <v>-25.264259999999993</v>
      </c>
      <c r="F47" s="569"/>
      <c r="G47" s="569"/>
      <c r="H47" s="569"/>
      <c r="I47" s="569"/>
      <c r="J47" s="569"/>
      <c r="K47" s="569"/>
      <c r="L47" s="569"/>
      <c r="M47" s="569"/>
      <c r="N47" s="569"/>
      <c r="O47" s="569"/>
      <c r="P47" s="569"/>
      <c r="Q47" s="569"/>
      <c r="R47" s="569"/>
      <c r="S47" s="569"/>
      <c r="T47" s="569"/>
      <c r="U47" s="569"/>
      <c r="V47" s="569"/>
    </row>
    <row r="48" spans="1:22">
      <c r="C48" s="558" t="s">
        <v>1044</v>
      </c>
      <c r="D48" s="584">
        <v>265.64</v>
      </c>
      <c r="E48" s="577">
        <f t="shared" ref="E48:K48" si="19">D48+E46+E47-E45</f>
        <v>0</v>
      </c>
      <c r="F48" s="577">
        <f t="shared" si="19"/>
        <v>71.962466718229152</v>
      </c>
      <c r="G48" s="569">
        <f t="shared" si="19"/>
        <v>143.9249334364583</v>
      </c>
      <c r="H48" s="569">
        <f t="shared" si="19"/>
        <v>215.88740015468744</v>
      </c>
      <c r="I48" s="569">
        <f t="shared" si="19"/>
        <v>287.84986687291661</v>
      </c>
      <c r="J48" s="577">
        <f t="shared" si="19"/>
        <v>359.81233359114577</v>
      </c>
      <c r="K48" s="577">
        <f t="shared" si="19"/>
        <v>431.77480030937494</v>
      </c>
      <c r="L48" s="569"/>
      <c r="M48" s="569"/>
      <c r="N48" s="569"/>
      <c r="O48" s="577"/>
      <c r="P48" s="577"/>
      <c r="Q48" s="569"/>
      <c r="R48" s="569"/>
      <c r="S48" s="569"/>
      <c r="T48" s="577"/>
      <c r="U48" s="577"/>
      <c r="V48" s="569"/>
    </row>
    <row r="49" spans="1:22">
      <c r="B49" s="578"/>
      <c r="C49" s="558" t="s">
        <v>1045</v>
      </c>
      <c r="D49" s="587">
        <f t="shared" ref="D49:K49" si="20">D43+D44-D48-D45</f>
        <v>27.680000000000007</v>
      </c>
      <c r="E49" s="573">
        <f t="shared" si="20"/>
        <v>398.68402613977372</v>
      </c>
      <c r="F49" s="573">
        <f t="shared" si="20"/>
        <v>326.72155942154455</v>
      </c>
      <c r="G49" s="573">
        <f t="shared" si="20"/>
        <v>254.75909270331542</v>
      </c>
      <c r="H49" s="573">
        <f t="shared" si="20"/>
        <v>182.79662598508628</v>
      </c>
      <c r="I49" s="573">
        <f t="shared" si="20"/>
        <v>110.83415926685711</v>
      </c>
      <c r="J49" s="573">
        <f t="shared" si="20"/>
        <v>38.871692548627948</v>
      </c>
      <c r="K49" s="573">
        <f t="shared" si="20"/>
        <v>-33.090774169601218</v>
      </c>
      <c r="L49" s="573"/>
      <c r="M49" s="573"/>
      <c r="N49" s="573"/>
      <c r="O49" s="573"/>
      <c r="P49" s="573"/>
      <c r="Q49" s="573"/>
      <c r="R49" s="573"/>
      <c r="S49" s="573"/>
      <c r="T49" s="573"/>
      <c r="U49" s="573"/>
      <c r="V49" s="573"/>
    </row>
    <row r="50" spans="1:22">
      <c r="B50" s="578"/>
      <c r="D50" s="579">
        <f t="shared" ref="D50:K50" si="21">IF(D48=0,(D47-D45)/D43,D49/D43)</f>
        <v>9.4781536775784159E-2</v>
      </c>
      <c r="E50" s="579">
        <f t="shared" si="21"/>
        <v>-1.0861320741851901</v>
      </c>
      <c r="F50" s="579">
        <f t="shared" si="21"/>
        <v>0.81950000000000001</v>
      </c>
      <c r="G50" s="579">
        <f t="shared" si="21"/>
        <v>0.63900000000000001</v>
      </c>
      <c r="H50" s="579">
        <f t="shared" si="21"/>
        <v>0.45850000000000007</v>
      </c>
      <c r="I50" s="579">
        <f t="shared" si="21"/>
        <v>0.27800000000000002</v>
      </c>
      <c r="J50" s="579">
        <f t="shared" si="21"/>
        <v>9.7500000000000031E-2</v>
      </c>
      <c r="K50" s="579">
        <f t="shared" si="21"/>
        <v>-8.3000000000000004E-2</v>
      </c>
      <c r="L50" s="579"/>
      <c r="M50" s="579"/>
      <c r="N50" s="579"/>
      <c r="O50" s="579"/>
      <c r="P50" s="579"/>
      <c r="Q50" s="579"/>
      <c r="R50" s="579"/>
      <c r="S50" s="579"/>
      <c r="T50" s="579"/>
      <c r="U50" s="579"/>
      <c r="V50" s="579"/>
    </row>
    <row r="51" spans="1:22">
      <c r="B51" s="578"/>
      <c r="D51" s="588"/>
      <c r="E51" s="582"/>
      <c r="F51" s="582"/>
      <c r="G51" s="582"/>
      <c r="H51" s="582"/>
      <c r="I51" s="582"/>
    </row>
    <row r="52" spans="1:22">
      <c r="B52" s="558" t="s">
        <v>1039</v>
      </c>
      <c r="C52" s="565" t="s">
        <v>1048</v>
      </c>
      <c r="D52" s="560"/>
    </row>
    <row r="53" spans="1:22">
      <c r="A53" s="576">
        <v>0.05</v>
      </c>
      <c r="C53" s="558" t="s">
        <v>1040</v>
      </c>
      <c r="D53" s="583">
        <v>375.5</v>
      </c>
      <c r="E53" s="567">
        <f t="shared" ref="E53:K53" si="22">D53+D54-D55</f>
        <v>381.33</v>
      </c>
      <c r="F53" s="567">
        <f t="shared" si="22"/>
        <v>461.96114365910165</v>
      </c>
      <c r="G53" s="567">
        <f t="shared" si="22"/>
        <v>461.96114365910165</v>
      </c>
      <c r="H53" s="567">
        <f t="shared" si="22"/>
        <v>461.96114365910165</v>
      </c>
      <c r="I53" s="567">
        <f t="shared" si="22"/>
        <v>461.96114365910165</v>
      </c>
      <c r="J53" s="567">
        <f t="shared" si="22"/>
        <v>461.96114365910165</v>
      </c>
      <c r="K53" s="567">
        <f t="shared" si="22"/>
        <v>461.96114365910165</v>
      </c>
      <c r="L53" s="567"/>
      <c r="M53" s="567"/>
      <c r="N53" s="567"/>
      <c r="O53" s="567"/>
      <c r="P53" s="567"/>
      <c r="Q53" s="567"/>
      <c r="R53" s="567"/>
      <c r="S53" s="567"/>
      <c r="T53" s="567"/>
      <c r="U53" s="567"/>
      <c r="V53" s="567"/>
    </row>
    <row r="54" spans="1:22">
      <c r="B54" s="558">
        <v>5</v>
      </c>
      <c r="C54" s="558" t="s">
        <v>1028</v>
      </c>
      <c r="D54" s="584">
        <v>5.83</v>
      </c>
      <c r="E54" s="577">
        <f>E53*(1+$C$108)^'Depreciation Schedule'!$B$54</f>
        <v>461.96114365910171</v>
      </c>
      <c r="F54" s="577"/>
      <c r="G54" s="569"/>
      <c r="H54" s="569"/>
      <c r="I54" s="577"/>
      <c r="J54" s="569"/>
      <c r="K54" s="569"/>
      <c r="L54" s="577"/>
      <c r="M54" s="569"/>
      <c r="N54" s="569"/>
      <c r="O54" s="577"/>
      <c r="P54" s="569"/>
      <c r="Q54" s="569"/>
      <c r="R54" s="577"/>
      <c r="S54" s="569"/>
      <c r="T54" s="569"/>
      <c r="U54" s="577"/>
      <c r="V54" s="569"/>
    </row>
    <row r="55" spans="1:22">
      <c r="A55" s="576"/>
      <c r="B55" s="585">
        <v>0.31669999999999998</v>
      </c>
      <c r="C55" s="558" t="s">
        <v>1041</v>
      </c>
      <c r="D55" s="584"/>
      <c r="E55" s="569">
        <f>E53</f>
        <v>381.33</v>
      </c>
      <c r="F55" s="569"/>
      <c r="G55" s="569"/>
      <c r="H55" s="569"/>
      <c r="I55" s="569"/>
      <c r="J55" s="569"/>
      <c r="K55" s="569"/>
      <c r="L55" s="569"/>
      <c r="M55" s="569"/>
      <c r="N55" s="569"/>
      <c r="O55" s="569"/>
      <c r="P55" s="569"/>
      <c r="Q55" s="569"/>
      <c r="R55" s="569"/>
      <c r="S55" s="569"/>
      <c r="T55" s="569"/>
      <c r="U55" s="569"/>
      <c r="V55" s="569"/>
    </row>
    <row r="56" spans="1:22">
      <c r="A56" s="586"/>
      <c r="C56" s="558" t="s">
        <v>1042</v>
      </c>
      <c r="D56" s="584">
        <v>3.86</v>
      </c>
      <c r="E56" s="577">
        <f t="shared" ref="E56:K56" si="23">(E53*(1-$A$53))*$B$55</f>
        <v>114.72885044999998</v>
      </c>
      <c r="F56" s="577">
        <f t="shared" si="23"/>
        <v>138.9879394869956</v>
      </c>
      <c r="G56" s="577">
        <f t="shared" si="23"/>
        <v>138.9879394869956</v>
      </c>
      <c r="H56" s="577">
        <f t="shared" si="23"/>
        <v>138.9879394869956</v>
      </c>
      <c r="I56" s="577">
        <f t="shared" si="23"/>
        <v>138.9879394869956</v>
      </c>
      <c r="J56" s="577">
        <f t="shared" si="23"/>
        <v>138.9879394869956</v>
      </c>
      <c r="K56" s="577">
        <f t="shared" si="23"/>
        <v>138.9879394869956</v>
      </c>
      <c r="L56" s="577"/>
      <c r="M56" s="577"/>
      <c r="N56" s="577"/>
      <c r="O56" s="577"/>
      <c r="P56" s="577"/>
      <c r="Q56" s="577"/>
      <c r="R56" s="577"/>
      <c r="S56" s="577"/>
      <c r="T56" s="577"/>
      <c r="U56" s="577"/>
      <c r="V56" s="577"/>
    </row>
    <row r="57" spans="1:22">
      <c r="C57" s="558" t="s">
        <v>1043</v>
      </c>
      <c r="D57" s="584"/>
      <c r="E57" s="569">
        <f>D59-E56</f>
        <v>-72.688850450000018</v>
      </c>
      <c r="F57" s="569"/>
      <c r="G57" s="569"/>
      <c r="H57" s="569"/>
      <c r="I57" s="569"/>
      <c r="J57" s="569"/>
      <c r="K57" s="569"/>
      <c r="L57" s="569"/>
      <c r="M57" s="569"/>
      <c r="N57" s="569"/>
      <c r="O57" s="569"/>
      <c r="P57" s="569"/>
      <c r="Q57" s="569"/>
      <c r="R57" s="569"/>
      <c r="S57" s="569"/>
      <c r="T57" s="569"/>
      <c r="U57" s="569"/>
      <c r="V57" s="569"/>
    </row>
    <row r="58" spans="1:22">
      <c r="C58" s="558" t="s">
        <v>1044</v>
      </c>
      <c r="D58" s="584">
        <v>339.29</v>
      </c>
      <c r="E58" s="569">
        <f t="shared" ref="E58:K58" si="24">D58+E56+E57-E55</f>
        <v>0</v>
      </c>
      <c r="F58" s="577">
        <f t="shared" si="24"/>
        <v>138.9879394869956</v>
      </c>
      <c r="G58" s="569">
        <f t="shared" si="24"/>
        <v>277.9758789739912</v>
      </c>
      <c r="H58" s="569">
        <f t="shared" si="24"/>
        <v>416.96381846098677</v>
      </c>
      <c r="I58" s="577">
        <f t="shared" si="24"/>
        <v>555.9517579479824</v>
      </c>
      <c r="J58" s="569">
        <f t="shared" si="24"/>
        <v>694.93969743497803</v>
      </c>
      <c r="K58" s="577">
        <f t="shared" si="24"/>
        <v>833.92763692197366</v>
      </c>
      <c r="L58" s="577"/>
      <c r="M58" s="569"/>
      <c r="N58" s="569"/>
      <c r="O58" s="577"/>
      <c r="P58" s="577"/>
      <c r="Q58" s="569"/>
      <c r="R58" s="577"/>
      <c r="S58" s="569"/>
      <c r="T58" s="569"/>
      <c r="U58" s="577"/>
      <c r="V58" s="569"/>
    </row>
    <row r="59" spans="1:22">
      <c r="B59" s="578"/>
      <c r="C59" s="558" t="s">
        <v>1045</v>
      </c>
      <c r="D59" s="587">
        <f t="shared" ref="D59:K59" si="25">D53+D54-D58-D55</f>
        <v>42.039999999999964</v>
      </c>
      <c r="E59" s="573">
        <f t="shared" si="25"/>
        <v>461.96114365910165</v>
      </c>
      <c r="F59" s="573">
        <f t="shared" si="25"/>
        <v>322.97320417210608</v>
      </c>
      <c r="G59" s="573">
        <f t="shared" si="25"/>
        <v>183.98526468511045</v>
      </c>
      <c r="H59" s="573">
        <f t="shared" si="25"/>
        <v>44.997325198114879</v>
      </c>
      <c r="I59" s="573">
        <f t="shared" si="25"/>
        <v>-93.990614288880749</v>
      </c>
      <c r="J59" s="573">
        <f t="shared" si="25"/>
        <v>-232.97855377587638</v>
      </c>
      <c r="K59" s="573">
        <f t="shared" si="25"/>
        <v>-371.96649326287201</v>
      </c>
      <c r="L59" s="573"/>
      <c r="M59" s="573"/>
      <c r="N59" s="573"/>
      <c r="O59" s="573"/>
      <c r="P59" s="573"/>
      <c r="Q59" s="573"/>
      <c r="R59" s="573"/>
      <c r="S59" s="573"/>
      <c r="T59" s="573"/>
      <c r="U59" s="573"/>
      <c r="V59" s="573"/>
    </row>
    <row r="60" spans="1:22">
      <c r="B60" s="578"/>
      <c r="D60" s="579">
        <f t="shared" ref="D60:K60" si="26">IF(D58=0,(D57-D55)/D53,D59/D53)</f>
        <v>0.11195739014647127</v>
      </c>
      <c r="E60" s="579">
        <f t="shared" si="26"/>
        <v>-1.1906192810688905</v>
      </c>
      <c r="F60" s="579">
        <f t="shared" si="26"/>
        <v>0.69913500000000006</v>
      </c>
      <c r="G60" s="579">
        <f t="shared" si="26"/>
        <v>0.39827000000000007</v>
      </c>
      <c r="H60" s="579">
        <f t="shared" si="26"/>
        <v>9.7405000000000186E-2</v>
      </c>
      <c r="I60" s="579">
        <f t="shared" si="26"/>
        <v>-0.20345999999999984</v>
      </c>
      <c r="J60" s="579">
        <f t="shared" si="26"/>
        <v>-0.50432499999999991</v>
      </c>
      <c r="K60" s="579">
        <f t="shared" si="26"/>
        <v>-0.80518999999999985</v>
      </c>
      <c r="L60" s="579"/>
      <c r="M60" s="579"/>
      <c r="N60" s="579"/>
      <c r="O60" s="579"/>
      <c r="P60" s="579"/>
      <c r="Q60" s="579"/>
      <c r="R60" s="579"/>
      <c r="S60" s="579"/>
      <c r="T60" s="579"/>
      <c r="U60" s="579"/>
      <c r="V60" s="579"/>
    </row>
    <row r="61" spans="1:22">
      <c r="B61" s="578"/>
      <c r="D61" s="588"/>
      <c r="E61" s="582"/>
      <c r="F61" s="582"/>
      <c r="G61" s="582"/>
      <c r="H61" s="582"/>
      <c r="I61" s="582"/>
    </row>
    <row r="62" spans="1:22">
      <c r="B62" s="558" t="s">
        <v>1039</v>
      </c>
      <c r="C62" s="565" t="s">
        <v>1069</v>
      </c>
      <c r="D62" s="560"/>
    </row>
    <row r="63" spans="1:22">
      <c r="A63" s="576">
        <v>0.05</v>
      </c>
      <c r="C63" s="558" t="s">
        <v>1040</v>
      </c>
      <c r="D63" s="583">
        <v>1432.26</v>
      </c>
      <c r="E63" s="567">
        <f t="shared" ref="E63:K63" si="27">D63+D64-D65</f>
        <v>1458.7</v>
      </c>
      <c r="F63" s="567">
        <f t="shared" si="27"/>
        <v>1458.7</v>
      </c>
      <c r="G63" s="567">
        <f>F63+F64-F65</f>
        <v>1982.6823569142505</v>
      </c>
      <c r="H63" s="567">
        <f>G63+G64-G65</f>
        <v>1982.6823569142505</v>
      </c>
      <c r="I63" s="567">
        <f t="shared" si="27"/>
        <v>1982.6823569142505</v>
      </c>
      <c r="J63" s="567">
        <f t="shared" si="27"/>
        <v>1982.6823569142505</v>
      </c>
      <c r="K63" s="567">
        <f t="shared" si="27"/>
        <v>1982.6823569142505</v>
      </c>
      <c r="L63" s="567"/>
      <c r="M63" s="567"/>
      <c r="N63" s="567"/>
      <c r="O63" s="567"/>
      <c r="P63" s="567"/>
      <c r="Q63" s="567"/>
      <c r="R63" s="567"/>
      <c r="S63" s="567"/>
      <c r="T63" s="567"/>
      <c r="U63" s="567"/>
      <c r="V63" s="567"/>
    </row>
    <row r="64" spans="1:22">
      <c r="B64" s="558">
        <v>8</v>
      </c>
      <c r="C64" s="558" t="s">
        <v>1028</v>
      </c>
      <c r="D64" s="584">
        <v>26.44</v>
      </c>
      <c r="E64" s="569"/>
      <c r="F64" s="577">
        <f>F63*(1+$C$108)^'Depreciation Schedule'!$B$64</f>
        <v>1982.6823569142505</v>
      </c>
      <c r="G64" s="577"/>
      <c r="H64" s="569"/>
      <c r="I64" s="569"/>
      <c r="J64" s="569"/>
      <c r="K64" s="569"/>
      <c r="L64" s="569"/>
      <c r="M64" s="569"/>
      <c r="N64" s="569"/>
      <c r="O64" s="569"/>
      <c r="P64" s="569"/>
      <c r="Q64" s="569"/>
      <c r="R64" s="577"/>
      <c r="S64" s="569"/>
      <c r="T64" s="569"/>
      <c r="U64" s="569"/>
      <c r="V64" s="569"/>
    </row>
    <row r="65" spans="1:22">
      <c r="A65" s="576"/>
      <c r="B65" s="585">
        <v>0.1188</v>
      </c>
      <c r="C65" s="558" t="s">
        <v>1041</v>
      </c>
      <c r="D65" s="584"/>
      <c r="E65" s="569"/>
      <c r="F65" s="569">
        <f>F63</f>
        <v>1458.7</v>
      </c>
      <c r="G65" s="569"/>
      <c r="H65" s="569"/>
      <c r="I65" s="569"/>
      <c r="J65" s="569"/>
      <c r="K65" s="569"/>
      <c r="L65" s="569"/>
      <c r="M65" s="569"/>
      <c r="N65" s="569"/>
      <c r="O65" s="569"/>
      <c r="P65" s="569"/>
      <c r="Q65" s="569"/>
      <c r="R65" s="569"/>
      <c r="S65" s="569"/>
      <c r="T65" s="569"/>
      <c r="U65" s="569"/>
      <c r="V65" s="569"/>
    </row>
    <row r="66" spans="1:22">
      <c r="A66" s="586"/>
      <c r="C66" s="558" t="s">
        <v>1042</v>
      </c>
      <c r="D66" s="584">
        <v>51.78</v>
      </c>
      <c r="E66" s="577">
        <f>(E63*(1-$A$63))*$B$65</f>
        <v>164.62888199999998</v>
      </c>
      <c r="F66" s="577">
        <f t="shared" ref="F66:K66" si="28">(F63*(1-$A$63))*$B$65</f>
        <v>164.62888199999998</v>
      </c>
      <c r="G66" s="577">
        <f t="shared" si="28"/>
        <v>223.76553080134229</v>
      </c>
      <c r="H66" s="577">
        <f t="shared" si="28"/>
        <v>223.76553080134229</v>
      </c>
      <c r="I66" s="577">
        <f t="shared" si="28"/>
        <v>223.76553080134229</v>
      </c>
      <c r="J66" s="577">
        <f t="shared" si="28"/>
        <v>223.76553080134229</v>
      </c>
      <c r="K66" s="577">
        <f t="shared" si="28"/>
        <v>223.76553080134229</v>
      </c>
      <c r="L66" s="577"/>
      <c r="M66" s="577"/>
      <c r="N66" s="577"/>
      <c r="O66" s="577"/>
      <c r="P66" s="577"/>
      <c r="Q66" s="577"/>
      <c r="R66" s="577"/>
      <c r="S66" s="577"/>
      <c r="T66" s="577"/>
      <c r="U66" s="577"/>
      <c r="V66" s="577"/>
    </row>
    <row r="67" spans="1:22">
      <c r="C67" s="558" t="s">
        <v>1043</v>
      </c>
      <c r="D67" s="584"/>
      <c r="E67" s="569"/>
      <c r="F67" s="569">
        <f>E69-F66</f>
        <v>-65.457763999999997</v>
      </c>
      <c r="G67" s="569"/>
      <c r="H67" s="569"/>
      <c r="I67" s="569"/>
      <c r="J67" s="569"/>
      <c r="K67" s="569"/>
      <c r="L67" s="569"/>
      <c r="M67" s="569"/>
      <c r="N67" s="569"/>
      <c r="O67" s="569"/>
      <c r="P67" s="569"/>
      <c r="Q67" s="569"/>
      <c r="R67" s="569"/>
      <c r="S67" s="569"/>
      <c r="T67" s="569"/>
      <c r="U67" s="569"/>
      <c r="V67" s="569"/>
    </row>
    <row r="68" spans="1:22">
      <c r="C68" s="558" t="s">
        <v>1044</v>
      </c>
      <c r="D68" s="584">
        <v>1194.9000000000001</v>
      </c>
      <c r="E68" s="569">
        <f t="shared" ref="E68:K68" si="29">D68+E66+E67-E65</f>
        <v>1359.5288820000001</v>
      </c>
      <c r="F68" s="577">
        <f t="shared" si="29"/>
        <v>0</v>
      </c>
      <c r="G68" s="569">
        <f t="shared" si="29"/>
        <v>223.76553080134229</v>
      </c>
      <c r="H68" s="569">
        <f t="shared" si="29"/>
        <v>447.53106160268459</v>
      </c>
      <c r="I68" s="569">
        <f t="shared" si="29"/>
        <v>671.29659240402691</v>
      </c>
      <c r="J68" s="569">
        <f t="shared" si="29"/>
        <v>895.06212320536918</v>
      </c>
      <c r="K68" s="569">
        <f t="shared" si="29"/>
        <v>1118.8276540067116</v>
      </c>
      <c r="L68" s="569"/>
      <c r="M68" s="569"/>
      <c r="N68" s="569"/>
      <c r="O68" s="569"/>
      <c r="P68" s="569"/>
      <c r="Q68" s="569"/>
      <c r="R68" s="569"/>
      <c r="S68" s="569"/>
      <c r="T68" s="569"/>
      <c r="U68" s="569"/>
      <c r="V68" s="569"/>
    </row>
    <row r="69" spans="1:22">
      <c r="B69" s="578"/>
      <c r="C69" s="558" t="s">
        <v>1045</v>
      </c>
      <c r="D69" s="587">
        <f t="shared" ref="D69:K69" si="30">D63+D64-D68-D65</f>
        <v>263.79999999999995</v>
      </c>
      <c r="E69" s="573">
        <f t="shared" si="30"/>
        <v>99.171117999999979</v>
      </c>
      <c r="F69" s="573">
        <f>F63+F64-F68-F65</f>
        <v>1982.6823569142505</v>
      </c>
      <c r="G69" s="573">
        <f>G63+G64-G68-G65</f>
        <v>1758.9168261129082</v>
      </c>
      <c r="H69" s="573">
        <f t="shared" si="30"/>
        <v>1535.1512953115659</v>
      </c>
      <c r="I69" s="573">
        <f t="shared" si="30"/>
        <v>1311.3857645102235</v>
      </c>
      <c r="J69" s="573">
        <f t="shared" si="30"/>
        <v>1087.6202337088812</v>
      </c>
      <c r="K69" s="573">
        <f t="shared" si="30"/>
        <v>863.85470290753892</v>
      </c>
      <c r="L69" s="573"/>
      <c r="M69" s="573"/>
      <c r="N69" s="573"/>
      <c r="O69" s="573"/>
      <c r="P69" s="573"/>
      <c r="Q69" s="573"/>
      <c r="R69" s="573"/>
      <c r="S69" s="573"/>
      <c r="T69" s="573"/>
      <c r="U69" s="573"/>
      <c r="V69" s="573"/>
    </row>
    <row r="70" spans="1:22">
      <c r="D70" s="589">
        <f t="shared" ref="D70:K70" si="31">IF(D68=0,(D67-D65)/D63,D69/D63)</f>
        <v>0.18418443578679847</v>
      </c>
      <c r="E70" s="590">
        <f t="shared" si="31"/>
        <v>6.7985958730376342E-2</v>
      </c>
      <c r="F70" s="590">
        <f t="shared" si="31"/>
        <v>-1.0448740412696236</v>
      </c>
      <c r="G70" s="590">
        <f t="shared" si="31"/>
        <v>0.88714000000000004</v>
      </c>
      <c r="H70" s="590">
        <f t="shared" si="31"/>
        <v>0.77428000000000008</v>
      </c>
      <c r="I70" s="590">
        <f t="shared" si="31"/>
        <v>0.6614199999999999</v>
      </c>
      <c r="J70" s="590">
        <f t="shared" si="31"/>
        <v>0.54855999999999994</v>
      </c>
      <c r="K70" s="590">
        <f t="shared" si="31"/>
        <v>0.43569999999999998</v>
      </c>
      <c r="L70" s="590"/>
      <c r="M70" s="590"/>
      <c r="N70" s="590"/>
      <c r="O70" s="590"/>
      <c r="P70" s="590"/>
      <c r="Q70" s="590"/>
      <c r="R70" s="590"/>
      <c r="S70" s="590"/>
      <c r="T70" s="590"/>
      <c r="U70" s="590"/>
      <c r="V70" s="590"/>
    </row>
    <row r="71" spans="1:22">
      <c r="B71" s="578"/>
      <c r="D71" s="588"/>
      <c r="E71" s="582"/>
      <c r="F71" s="582"/>
      <c r="G71" s="582"/>
      <c r="H71" s="582"/>
      <c r="I71" s="582"/>
    </row>
    <row r="72" spans="1:22">
      <c r="B72" s="558" t="s">
        <v>1039</v>
      </c>
      <c r="C72" s="565" t="s">
        <v>1049</v>
      </c>
      <c r="D72" s="560"/>
    </row>
    <row r="73" spans="1:22">
      <c r="A73" s="576">
        <v>0.05</v>
      </c>
      <c r="C73" s="558" t="s">
        <v>1040</v>
      </c>
      <c r="D73" s="583">
        <f>137.45</f>
        <v>137.44999999999999</v>
      </c>
      <c r="E73" s="567">
        <f t="shared" ref="E73:K73" si="32">D73+D74-D75</f>
        <v>196.01</v>
      </c>
      <c r="F73" s="567">
        <f t="shared" si="32"/>
        <v>196.01</v>
      </c>
      <c r="G73" s="567">
        <f t="shared" si="32"/>
        <v>196.01</v>
      </c>
      <c r="H73" s="567">
        <f t="shared" si="32"/>
        <v>287.66510112967444</v>
      </c>
      <c r="I73" s="567">
        <f t="shared" si="32"/>
        <v>287.66510112967444</v>
      </c>
      <c r="J73" s="567">
        <f t="shared" si="32"/>
        <v>287.66510112967444</v>
      </c>
      <c r="K73" s="567">
        <f t="shared" si="32"/>
        <v>287.66510112967444</v>
      </c>
      <c r="L73" s="567"/>
      <c r="M73" s="567"/>
      <c r="N73" s="567"/>
      <c r="O73" s="567"/>
      <c r="P73" s="567"/>
      <c r="Q73" s="567"/>
      <c r="R73" s="567"/>
      <c r="S73" s="567"/>
      <c r="T73" s="567"/>
      <c r="U73" s="567"/>
      <c r="V73" s="567"/>
    </row>
    <row r="74" spans="1:22">
      <c r="B74" s="558">
        <v>10</v>
      </c>
      <c r="C74" s="558" t="s">
        <v>1028</v>
      </c>
      <c r="D74" s="584">
        <v>58.56</v>
      </c>
      <c r="E74" s="569"/>
      <c r="F74" s="577"/>
      <c r="G74" s="577">
        <f>G73*(1+$C$108)^'Depreciation Schedule'!$B$74</f>
        <v>287.66510112967444</v>
      </c>
      <c r="H74" s="577"/>
      <c r="I74" s="569"/>
      <c r="J74" s="569"/>
      <c r="K74" s="569"/>
      <c r="L74" s="569"/>
      <c r="M74" s="569"/>
      <c r="N74" s="577"/>
      <c r="O74" s="569"/>
      <c r="P74" s="577"/>
      <c r="Q74" s="569"/>
      <c r="R74" s="569"/>
      <c r="S74" s="569"/>
      <c r="T74" s="569"/>
      <c r="U74" s="569"/>
      <c r="V74" s="569"/>
    </row>
    <row r="75" spans="1:22">
      <c r="A75" s="576"/>
      <c r="B75" s="585">
        <v>0.1188</v>
      </c>
      <c r="C75" s="558" t="s">
        <v>1041</v>
      </c>
      <c r="D75" s="584"/>
      <c r="E75" s="569"/>
      <c r="F75" s="569"/>
      <c r="G75" s="569">
        <f>G73</f>
        <v>196.01</v>
      </c>
      <c r="H75" s="569"/>
      <c r="I75" s="569"/>
      <c r="J75" s="569"/>
      <c r="K75" s="569"/>
      <c r="L75" s="569"/>
      <c r="M75" s="569"/>
      <c r="N75" s="569"/>
      <c r="O75" s="569"/>
      <c r="P75" s="569"/>
      <c r="Q75" s="569"/>
      <c r="R75" s="569"/>
      <c r="S75" s="569"/>
      <c r="T75" s="569"/>
      <c r="U75" s="569"/>
      <c r="V75" s="569"/>
    </row>
    <row r="76" spans="1:22">
      <c r="A76" s="586"/>
      <c r="C76" s="558" t="s">
        <v>1042</v>
      </c>
      <c r="D76" s="584">
        <v>5.0999999999999996</v>
      </c>
      <c r="E76" s="577">
        <f t="shared" ref="E76:K76" si="33">(E73*(1-$A$73))/$B$74</f>
        <v>18.620950000000001</v>
      </c>
      <c r="F76" s="577">
        <f t="shared" si="33"/>
        <v>18.620950000000001</v>
      </c>
      <c r="G76" s="577">
        <f t="shared" si="33"/>
        <v>18.620950000000001</v>
      </c>
      <c r="H76" s="577">
        <f t="shared" si="33"/>
        <v>27.32818460731907</v>
      </c>
      <c r="I76" s="577">
        <f t="shared" si="33"/>
        <v>27.32818460731907</v>
      </c>
      <c r="J76" s="577">
        <f t="shared" si="33"/>
        <v>27.32818460731907</v>
      </c>
      <c r="K76" s="577">
        <f t="shared" si="33"/>
        <v>27.32818460731907</v>
      </c>
      <c r="L76" s="577"/>
      <c r="M76" s="577"/>
      <c r="N76" s="577"/>
      <c r="O76" s="577"/>
      <c r="P76" s="577"/>
      <c r="Q76" s="577"/>
      <c r="R76" s="577"/>
      <c r="S76" s="577"/>
      <c r="T76" s="577"/>
      <c r="U76" s="577"/>
      <c r="V76" s="577"/>
    </row>
    <row r="77" spans="1:22">
      <c r="C77" s="558" t="s">
        <v>1043</v>
      </c>
      <c r="D77" s="584"/>
      <c r="E77" s="569"/>
      <c r="F77" s="577"/>
      <c r="G77" s="577">
        <f>F79-G76</f>
        <v>38.477149999999988</v>
      </c>
      <c r="H77" s="577"/>
      <c r="I77" s="569"/>
      <c r="J77" s="569"/>
      <c r="K77" s="569"/>
      <c r="L77" s="569"/>
      <c r="M77" s="569"/>
      <c r="N77" s="577"/>
      <c r="O77" s="569"/>
      <c r="P77" s="577"/>
      <c r="Q77" s="569"/>
      <c r="R77" s="569"/>
      <c r="S77" s="569"/>
      <c r="T77" s="569"/>
      <c r="U77" s="569"/>
      <c r="V77" s="569"/>
    </row>
    <row r="78" spans="1:22">
      <c r="C78" s="558" t="s">
        <v>1044</v>
      </c>
      <c r="D78" s="584">
        <v>101.67</v>
      </c>
      <c r="E78" s="569">
        <f t="shared" ref="E78:K78" si="34">D78+E76+E77-E75</f>
        <v>120.29095000000001</v>
      </c>
      <c r="F78" s="577">
        <f t="shared" si="34"/>
        <v>138.9119</v>
      </c>
      <c r="G78" s="569">
        <f t="shared" si="34"/>
        <v>0</v>
      </c>
      <c r="H78" s="569">
        <f t="shared" si="34"/>
        <v>27.32818460731907</v>
      </c>
      <c r="I78" s="569">
        <f t="shared" si="34"/>
        <v>54.65636921463814</v>
      </c>
      <c r="J78" s="569">
        <f t="shared" si="34"/>
        <v>81.984553821957206</v>
      </c>
      <c r="K78" s="577">
        <f t="shared" si="34"/>
        <v>109.31273842927628</v>
      </c>
      <c r="L78" s="569"/>
      <c r="M78" s="569"/>
      <c r="N78" s="577"/>
      <c r="O78" s="569"/>
      <c r="P78" s="577"/>
      <c r="Q78" s="569"/>
      <c r="R78" s="569"/>
      <c r="S78" s="569"/>
      <c r="T78" s="569"/>
      <c r="U78" s="577"/>
      <c r="V78" s="569"/>
    </row>
    <row r="79" spans="1:22">
      <c r="B79" s="578"/>
      <c r="C79" s="558" t="s">
        <v>1045</v>
      </c>
      <c r="D79" s="587">
        <f t="shared" ref="D79:K79" si="35">D73+D74-D78-D75</f>
        <v>94.339999999999989</v>
      </c>
      <c r="E79" s="573">
        <f t="shared" si="35"/>
        <v>75.719049999999982</v>
      </c>
      <c r="F79" s="573">
        <f t="shared" si="35"/>
        <v>57.098099999999988</v>
      </c>
      <c r="G79" s="573">
        <f t="shared" si="35"/>
        <v>287.66510112967444</v>
      </c>
      <c r="H79" s="573">
        <f t="shared" si="35"/>
        <v>260.33691652235535</v>
      </c>
      <c r="I79" s="573">
        <f t="shared" si="35"/>
        <v>233.00873191503629</v>
      </c>
      <c r="J79" s="573">
        <f t="shared" si="35"/>
        <v>205.68054730771723</v>
      </c>
      <c r="K79" s="573">
        <f t="shared" si="35"/>
        <v>178.35236270039815</v>
      </c>
      <c r="L79" s="573"/>
      <c r="M79" s="573"/>
      <c r="N79" s="573"/>
      <c r="O79" s="573"/>
      <c r="P79" s="573"/>
      <c r="Q79" s="573"/>
      <c r="R79" s="573"/>
      <c r="S79" s="573"/>
      <c r="T79" s="573"/>
      <c r="U79" s="573"/>
      <c r="V79" s="573"/>
    </row>
    <row r="80" spans="1:22">
      <c r="D80" s="589">
        <f t="shared" ref="D80:K80" si="36">IF(D78=0,(D77-D75)/D73,D79/D73)</f>
        <v>0.68635867588213895</v>
      </c>
      <c r="E80" s="590">
        <f t="shared" si="36"/>
        <v>0.38630197438906172</v>
      </c>
      <c r="F80" s="590">
        <f t="shared" si="36"/>
        <v>0.29130197438906175</v>
      </c>
      <c r="G80" s="590">
        <f t="shared" si="36"/>
        <v>-0.80369802561093828</v>
      </c>
      <c r="H80" s="590">
        <f t="shared" si="36"/>
        <v>0.90499999999999992</v>
      </c>
      <c r="I80" s="590">
        <f t="shared" si="36"/>
        <v>0.80999999999999994</v>
      </c>
      <c r="J80" s="590">
        <f t="shared" si="36"/>
        <v>0.71500000000000008</v>
      </c>
      <c r="K80" s="590">
        <f t="shared" si="36"/>
        <v>0.62</v>
      </c>
      <c r="L80" s="590"/>
      <c r="M80" s="590"/>
      <c r="N80" s="590"/>
      <c r="O80" s="590"/>
      <c r="P80" s="590"/>
      <c r="Q80" s="590"/>
      <c r="R80" s="590"/>
      <c r="S80" s="590"/>
      <c r="T80" s="590"/>
      <c r="U80" s="590"/>
      <c r="V80" s="590"/>
    </row>
    <row r="81" spans="1:22">
      <c r="B81" s="586" t="s">
        <v>1039</v>
      </c>
      <c r="C81" s="565" t="s">
        <v>1070</v>
      </c>
      <c r="D81" s="560"/>
    </row>
    <row r="82" spans="1:22">
      <c r="A82" s="576">
        <v>0.05</v>
      </c>
      <c r="C82" s="558" t="s">
        <v>1040</v>
      </c>
      <c r="D82" s="583">
        <v>4949.8500000000004</v>
      </c>
      <c r="E82" s="567">
        <f t="shared" ref="E82:K82" si="37">D82+D83-D84</f>
        <v>4949.8500000000004</v>
      </c>
      <c r="F82" s="567">
        <f t="shared" si="37"/>
        <v>4949.8500000000004</v>
      </c>
      <c r="G82" s="567">
        <f t="shared" si="37"/>
        <v>8800.4617869699014</v>
      </c>
      <c r="H82" s="567">
        <f t="shared" si="37"/>
        <v>8800.4617869699014</v>
      </c>
      <c r="I82" s="567">
        <f t="shared" si="37"/>
        <v>8800.4617869699014</v>
      </c>
      <c r="J82" s="567">
        <f t="shared" si="37"/>
        <v>8800.4617869699014</v>
      </c>
      <c r="K82" s="567">
        <f t="shared" si="37"/>
        <v>8800.4617869699014</v>
      </c>
      <c r="L82" s="567"/>
      <c r="M82" s="567"/>
      <c r="N82" s="567"/>
      <c r="O82" s="567"/>
      <c r="P82" s="567"/>
      <c r="Q82" s="567"/>
      <c r="R82" s="567"/>
      <c r="S82" s="567"/>
      <c r="T82" s="567"/>
      <c r="U82" s="567"/>
      <c r="V82" s="567"/>
    </row>
    <row r="83" spans="1:22">
      <c r="B83" s="558">
        <v>15</v>
      </c>
      <c r="C83" s="558" t="s">
        <v>1028</v>
      </c>
      <c r="D83" s="584"/>
      <c r="E83" s="577"/>
      <c r="F83" s="577">
        <f>F82*(1+$C$108)^'Depreciation Schedule'!$B$83</f>
        <v>8800.4617869699014</v>
      </c>
      <c r="G83" s="577"/>
      <c r="H83" s="577"/>
      <c r="I83" s="569"/>
      <c r="J83" s="569"/>
      <c r="K83" s="569"/>
      <c r="L83" s="569"/>
      <c r="M83" s="569"/>
      <c r="N83" s="569"/>
      <c r="O83" s="569"/>
      <c r="P83" s="569"/>
      <c r="Q83" s="569"/>
      <c r="R83" s="569"/>
      <c r="S83" s="569"/>
      <c r="T83" s="569"/>
      <c r="U83" s="569"/>
      <c r="V83" s="569"/>
    </row>
    <row r="84" spans="1:22">
      <c r="A84" s="576"/>
      <c r="B84" s="585">
        <v>9.5000000000000001E-2</v>
      </c>
      <c r="C84" s="558" t="s">
        <v>1041</v>
      </c>
      <c r="D84" s="584"/>
      <c r="E84" s="569"/>
      <c r="F84" s="569">
        <f>F82</f>
        <v>4949.8500000000004</v>
      </c>
      <c r="G84" s="569"/>
      <c r="H84" s="569"/>
      <c r="I84" s="569"/>
      <c r="J84" s="569"/>
      <c r="K84" s="569"/>
      <c r="L84" s="569"/>
      <c r="M84" s="569"/>
      <c r="N84" s="569"/>
      <c r="O84" s="569"/>
      <c r="P84" s="569"/>
      <c r="Q84" s="569"/>
      <c r="R84" s="569"/>
      <c r="S84" s="569"/>
      <c r="T84" s="569"/>
      <c r="U84" s="569"/>
      <c r="V84" s="569"/>
    </row>
    <row r="85" spans="1:22">
      <c r="A85" s="586"/>
      <c r="C85" s="558" t="s">
        <v>1042</v>
      </c>
      <c r="D85" s="584">
        <v>40.86</v>
      </c>
      <c r="E85" s="577">
        <f>(E82*(1-$A$82))/$B$83</f>
        <v>313.4905</v>
      </c>
      <c r="F85" s="577">
        <f t="shared" ref="F85:K85" si="38">(F82*(1-$A$82))/$B$83</f>
        <v>313.4905</v>
      </c>
      <c r="G85" s="577">
        <f t="shared" si="38"/>
        <v>557.36257984142708</v>
      </c>
      <c r="H85" s="577">
        <f t="shared" si="38"/>
        <v>557.36257984142708</v>
      </c>
      <c r="I85" s="577">
        <f t="shared" si="38"/>
        <v>557.36257984142708</v>
      </c>
      <c r="J85" s="577">
        <f t="shared" si="38"/>
        <v>557.36257984142708</v>
      </c>
      <c r="K85" s="577">
        <f t="shared" si="38"/>
        <v>557.36257984142708</v>
      </c>
      <c r="L85" s="577"/>
      <c r="M85" s="577"/>
      <c r="N85" s="577"/>
      <c r="O85" s="577"/>
      <c r="P85" s="577"/>
      <c r="Q85" s="577"/>
      <c r="R85" s="577"/>
      <c r="S85" s="577"/>
      <c r="T85" s="577"/>
      <c r="U85" s="577"/>
      <c r="V85" s="577"/>
    </row>
    <row r="86" spans="1:22">
      <c r="C86" s="558" t="s">
        <v>1043</v>
      </c>
      <c r="D86" s="584"/>
      <c r="E86" s="577"/>
      <c r="F86" s="577">
        <f>E88-F85</f>
        <v>-237.25099999999941</v>
      </c>
      <c r="G86" s="577"/>
      <c r="H86" s="577"/>
      <c r="I86" s="569"/>
      <c r="J86" s="569"/>
      <c r="K86" s="569"/>
      <c r="L86" s="569"/>
      <c r="M86" s="569"/>
      <c r="N86" s="569"/>
      <c r="O86" s="569"/>
      <c r="P86" s="569"/>
      <c r="Q86" s="569"/>
      <c r="R86" s="569"/>
      <c r="S86" s="569"/>
      <c r="T86" s="569"/>
      <c r="U86" s="569"/>
      <c r="V86" s="569"/>
    </row>
    <row r="87" spans="1:22">
      <c r="C87" s="558" t="s">
        <v>1044</v>
      </c>
      <c r="D87" s="584">
        <v>4560.12</v>
      </c>
      <c r="E87" s="569">
        <f t="shared" ref="E87:K87" si="39">D87+E85+E86-E84</f>
        <v>4873.6104999999998</v>
      </c>
      <c r="F87" s="569">
        <f t="shared" si="39"/>
        <v>0</v>
      </c>
      <c r="G87" s="577">
        <f t="shared" si="39"/>
        <v>557.36257984142708</v>
      </c>
      <c r="H87" s="569">
        <f t="shared" si="39"/>
        <v>1114.7251596828542</v>
      </c>
      <c r="I87" s="569">
        <f t="shared" si="39"/>
        <v>1672.0877395242812</v>
      </c>
      <c r="J87" s="569">
        <f t="shared" si="39"/>
        <v>2229.4503193657083</v>
      </c>
      <c r="K87" s="569">
        <f t="shared" si="39"/>
        <v>2786.8128992071352</v>
      </c>
      <c r="L87" s="569"/>
      <c r="M87" s="569"/>
      <c r="N87" s="569"/>
      <c r="O87" s="569"/>
      <c r="P87" s="569"/>
      <c r="Q87" s="569"/>
      <c r="R87" s="569"/>
      <c r="S87" s="569"/>
      <c r="T87" s="569"/>
      <c r="U87" s="569"/>
      <c r="V87" s="569"/>
    </row>
    <row r="88" spans="1:22">
      <c r="B88" s="578"/>
      <c r="C88" s="558" t="s">
        <v>1045</v>
      </c>
      <c r="D88" s="587">
        <f t="shared" ref="D88:K88" si="40">D82+D83-D87-D84</f>
        <v>389.73000000000047</v>
      </c>
      <c r="E88" s="573">
        <f t="shared" si="40"/>
        <v>76.239500000000589</v>
      </c>
      <c r="F88" s="573">
        <f t="shared" si="40"/>
        <v>8800.4617869699014</v>
      </c>
      <c r="G88" s="573">
        <f t="shared" si="40"/>
        <v>8243.0992071284745</v>
      </c>
      <c r="H88" s="573">
        <f t="shared" si="40"/>
        <v>7685.7366272870477</v>
      </c>
      <c r="I88" s="573">
        <f t="shared" si="40"/>
        <v>7128.3740474456199</v>
      </c>
      <c r="J88" s="573">
        <f t="shared" si="40"/>
        <v>6571.0114676041931</v>
      </c>
      <c r="K88" s="573">
        <f t="shared" si="40"/>
        <v>6013.6488877627662</v>
      </c>
      <c r="L88" s="573"/>
      <c r="M88" s="573"/>
      <c r="N88" s="573"/>
      <c r="O88" s="573"/>
      <c r="P88" s="573"/>
      <c r="Q88" s="573"/>
      <c r="R88" s="573"/>
      <c r="S88" s="573"/>
      <c r="T88" s="573"/>
      <c r="U88" s="573"/>
      <c r="V88" s="573"/>
    </row>
    <row r="89" spans="1:22">
      <c r="D89" s="589">
        <f t="shared" ref="D89:K89" si="41">IF(D87=0,(D86-D84)/D82,D88/D82)</f>
        <v>7.8735719264220211E-2</v>
      </c>
      <c r="E89" s="590">
        <f t="shared" si="41"/>
        <v>1.5402385930886912E-2</v>
      </c>
      <c r="F89" s="590">
        <f t="shared" si="41"/>
        <v>-1.0479309474024463</v>
      </c>
      <c r="G89" s="590">
        <f t="shared" si="41"/>
        <v>0.93666666666666665</v>
      </c>
      <c r="H89" s="590">
        <f t="shared" si="41"/>
        <v>0.87333333333333341</v>
      </c>
      <c r="I89" s="590">
        <f t="shared" si="41"/>
        <v>0.80999999999999994</v>
      </c>
      <c r="J89" s="590">
        <f t="shared" si="41"/>
        <v>0.7466666666666667</v>
      </c>
      <c r="K89" s="590">
        <f t="shared" si="41"/>
        <v>0.68333333333333335</v>
      </c>
      <c r="L89" s="590"/>
      <c r="M89" s="590"/>
      <c r="N89" s="590"/>
      <c r="O89" s="590"/>
      <c r="P89" s="590"/>
      <c r="Q89" s="590"/>
      <c r="R89" s="590"/>
      <c r="S89" s="590"/>
      <c r="T89" s="590"/>
      <c r="U89" s="590"/>
      <c r="V89" s="590"/>
    </row>
    <row r="90" spans="1:22">
      <c r="C90" s="591" t="s">
        <v>281</v>
      </c>
      <c r="D90" s="560"/>
    </row>
    <row r="91" spans="1:22">
      <c r="C91" s="592" t="s">
        <v>1050</v>
      </c>
      <c r="D91" s="593">
        <f t="shared" ref="D91:K91" si="42">SUMIF($C5:$C89,"Addition",D5:D89)/(10^2)</f>
        <v>14.3399</v>
      </c>
      <c r="E91" s="594">
        <f t="shared" si="42"/>
        <v>8.6064516979887546</v>
      </c>
      <c r="F91" s="594">
        <f t="shared" si="42"/>
        <v>114.55056940426957</v>
      </c>
      <c r="G91" s="594">
        <f t="shared" si="42"/>
        <v>2.8766510112967443</v>
      </c>
      <c r="H91" s="594">
        <f t="shared" si="42"/>
        <v>0</v>
      </c>
      <c r="I91" s="594">
        <f t="shared" si="42"/>
        <v>0</v>
      </c>
      <c r="J91" s="593">
        <f t="shared" si="42"/>
        <v>0</v>
      </c>
      <c r="K91" s="594">
        <f t="shared" si="42"/>
        <v>0</v>
      </c>
      <c r="L91" s="594"/>
      <c r="M91" s="594"/>
      <c r="N91" s="594"/>
      <c r="O91" s="594"/>
      <c r="P91" s="593"/>
      <c r="Q91" s="594"/>
      <c r="R91" s="594"/>
      <c r="S91" s="594"/>
      <c r="T91" s="594"/>
      <c r="U91" s="594"/>
      <c r="V91" s="593"/>
    </row>
    <row r="92" spans="1:22">
      <c r="C92" s="592" t="s">
        <v>1051</v>
      </c>
      <c r="D92" s="593">
        <f>SUMIF($C5:$C89,"Asset Write off (Net block)",D5:D89)</f>
        <v>0</v>
      </c>
      <c r="E92" s="594">
        <f t="shared" ref="E92:K92" si="43">SUMIF($C5:$C89,"Asset Write off (Net block)",E5:E89)/(10^2)</f>
        <v>-0.97953110450000014</v>
      </c>
      <c r="F92" s="594">
        <f t="shared" si="43"/>
        <v>-3.2101713399999938</v>
      </c>
      <c r="G92" s="594">
        <f t="shared" si="43"/>
        <v>0.38477149999999988</v>
      </c>
      <c r="H92" s="594">
        <f t="shared" si="43"/>
        <v>0</v>
      </c>
      <c r="I92" s="594">
        <f t="shared" si="43"/>
        <v>0</v>
      </c>
      <c r="J92" s="593">
        <f t="shared" si="43"/>
        <v>0</v>
      </c>
      <c r="K92" s="594">
        <f t="shared" si="43"/>
        <v>0</v>
      </c>
      <c r="L92" s="594"/>
      <c r="M92" s="594"/>
      <c r="N92" s="594"/>
      <c r="O92" s="594"/>
      <c r="P92" s="593"/>
      <c r="Q92" s="594"/>
      <c r="R92" s="594"/>
      <c r="S92" s="594"/>
      <c r="T92" s="594"/>
      <c r="U92" s="594"/>
      <c r="V92" s="593"/>
    </row>
    <row r="93" spans="1:22">
      <c r="C93" s="592" t="s">
        <v>1052</v>
      </c>
      <c r="D93" s="593">
        <f t="shared" ref="D93:K93" si="44">SUMIF($C5:$C90,"Depreciation",D5:D90)</f>
        <v>4653.9399999999996</v>
      </c>
      <c r="E93" s="593">
        <f t="shared" si="44"/>
        <v>7769.6293950999998</v>
      </c>
      <c r="F93" s="593">
        <f t="shared" si="44"/>
        <v>7812.906690855224</v>
      </c>
      <c r="G93" s="593">
        <f t="shared" si="44"/>
        <v>8131.9413643859816</v>
      </c>
      <c r="H93" s="593">
        <f t="shared" si="44"/>
        <v>8140.6485989932999</v>
      </c>
      <c r="I93" s="593">
        <f t="shared" si="44"/>
        <v>8140.6485989932999</v>
      </c>
      <c r="J93" s="593">
        <f t="shared" si="44"/>
        <v>8140.6485989932999</v>
      </c>
      <c r="K93" s="593">
        <f t="shared" si="44"/>
        <v>8140.6485989932999</v>
      </c>
      <c r="L93" s="593"/>
      <c r="M93" s="593"/>
      <c r="N93" s="593"/>
      <c r="O93" s="593"/>
      <c r="P93" s="593"/>
      <c r="Q93" s="593"/>
      <c r="R93" s="593"/>
      <c r="S93" s="593"/>
      <c r="T93" s="593"/>
      <c r="U93" s="593"/>
      <c r="V93" s="593"/>
    </row>
    <row r="94" spans="1:22">
      <c r="C94" s="592" t="s">
        <v>1045</v>
      </c>
      <c r="D94" s="593">
        <f t="shared" ref="D94:K94" si="45">SUMIF($C6:$C91,"Net Block",D6:D91)</f>
        <v>72538.47</v>
      </c>
      <c r="E94" s="593">
        <f t="shared" si="45"/>
        <v>66486.768885148893</v>
      </c>
      <c r="F94" s="593">
        <f t="shared" si="45"/>
        <v>69690.606268720629</v>
      </c>
      <c r="G94" s="593">
        <f t="shared" si="45"/>
        <v>61807.852855464327</v>
      </c>
      <c r="H94" s="593">
        <f t="shared" si="45"/>
        <v>53667.204256471021</v>
      </c>
      <c r="I94" s="593">
        <f t="shared" si="45"/>
        <v>45526.555657477707</v>
      </c>
      <c r="J94" s="593">
        <f t="shared" si="45"/>
        <v>37385.907058484408</v>
      </c>
      <c r="K94" s="593">
        <f t="shared" si="45"/>
        <v>29245.258459491106</v>
      </c>
      <c r="L94" s="593"/>
      <c r="M94" s="593"/>
      <c r="N94" s="593"/>
      <c r="O94" s="593"/>
      <c r="P94" s="593"/>
      <c r="Q94" s="593"/>
      <c r="R94" s="593"/>
      <c r="S94" s="593"/>
      <c r="T94" s="593"/>
      <c r="U94" s="593"/>
      <c r="V94" s="593"/>
    </row>
    <row r="101" spans="1:13">
      <c r="A101" s="266" t="s">
        <v>1053</v>
      </c>
      <c r="B101"/>
      <c r="C101"/>
      <c r="D101"/>
      <c r="E101"/>
      <c r="F101"/>
      <c r="G101"/>
      <c r="H101"/>
      <c r="I101"/>
      <c r="J101"/>
      <c r="K101"/>
      <c r="L101"/>
      <c r="M101"/>
    </row>
    <row r="102" spans="1:13">
      <c r="A102" s="595" t="s">
        <v>1054</v>
      </c>
      <c r="B102" s="596" t="s">
        <v>1055</v>
      </c>
      <c r="C102" s="597" t="s">
        <v>1056</v>
      </c>
      <c r="D102" s="597" t="s">
        <v>1057</v>
      </c>
      <c r="E102" s="597" t="s">
        <v>1058</v>
      </c>
      <c r="F102" s="597" t="s">
        <v>1059</v>
      </c>
      <c r="G102" s="597" t="s">
        <v>1060</v>
      </c>
      <c r="H102" s="597" t="s">
        <v>1061</v>
      </c>
      <c r="I102" s="597" t="s">
        <v>889</v>
      </c>
      <c r="J102" s="598" t="s">
        <v>890</v>
      </c>
      <c r="K102" s="597" t="s">
        <v>891</v>
      </c>
      <c r="L102" s="597" t="s">
        <v>892</v>
      </c>
      <c r="M102" s="599" t="s">
        <v>893</v>
      </c>
    </row>
    <row r="103" spans="1:13">
      <c r="A103" s="600" t="s">
        <v>1062</v>
      </c>
      <c r="B103" s="601">
        <v>100</v>
      </c>
      <c r="C103" s="602">
        <v>106.9</v>
      </c>
      <c r="D103" s="602">
        <v>112.5</v>
      </c>
      <c r="E103" s="602">
        <v>113.9</v>
      </c>
      <c r="F103" s="602">
        <v>109.7</v>
      </c>
      <c r="G103" s="602">
        <v>111.6</v>
      </c>
      <c r="H103" s="602">
        <v>114.9</v>
      </c>
      <c r="I103" s="602">
        <v>119.8</v>
      </c>
      <c r="J103" s="602">
        <v>121.8</v>
      </c>
      <c r="K103" s="602">
        <v>123.4</v>
      </c>
      <c r="L103" s="602">
        <v>139.4</v>
      </c>
      <c r="M103" s="602">
        <v>152.5</v>
      </c>
    </row>
    <row r="104" spans="1:13">
      <c r="A104" s="600"/>
      <c r="B104" s="601"/>
      <c r="C104" s="603">
        <f t="shared" ref="C104:M104" si="46">+C103/B103-1</f>
        <v>6.899999999999995E-2</v>
      </c>
      <c r="D104" s="603">
        <f t="shared" si="46"/>
        <v>5.2385406922357269E-2</v>
      </c>
      <c r="E104" s="603">
        <f t="shared" si="46"/>
        <v>1.244444444444448E-2</v>
      </c>
      <c r="F104" s="603">
        <f t="shared" si="46"/>
        <v>-3.687445127304656E-2</v>
      </c>
      <c r="G104" s="603">
        <f t="shared" si="46"/>
        <v>1.7319963536918781E-2</v>
      </c>
      <c r="H104" s="603">
        <f t="shared" si="46"/>
        <v>2.9569892473118475E-2</v>
      </c>
      <c r="I104" s="603">
        <f t="shared" si="46"/>
        <v>4.2645778938207091E-2</v>
      </c>
      <c r="J104" s="603">
        <f t="shared" si="46"/>
        <v>1.6694490818029983E-2</v>
      </c>
      <c r="K104" s="603">
        <f t="shared" si="46"/>
        <v>1.3136288998357948E-2</v>
      </c>
      <c r="L104" s="603">
        <f t="shared" si="46"/>
        <v>0.12965964343598047</v>
      </c>
      <c r="M104" s="603">
        <f t="shared" si="46"/>
        <v>9.3974175035868024E-2</v>
      </c>
    </row>
    <row r="105" spans="1:13">
      <c r="A105" s="604" t="s">
        <v>1063</v>
      </c>
      <c r="B105" s="605">
        <f>(M103/B103)^(1/COUNT(C103:M103))-1</f>
        <v>3.9108493961018453E-2</v>
      </c>
      <c r="C105" s="606"/>
      <c r="D105" s="607"/>
      <c r="E105" s="607"/>
      <c r="F105" s="607"/>
      <c r="G105" s="607"/>
      <c r="H105" s="607"/>
      <c r="I105" s="607"/>
      <c r="J105"/>
      <c r="K105"/>
      <c r="L105"/>
      <c r="M105"/>
    </row>
    <row r="106" spans="1:13">
      <c r="A106" s="608" t="s">
        <v>1064</v>
      </c>
      <c r="B106" s="609">
        <f>B105</f>
        <v>3.9108493961018453E-2</v>
      </c>
      <c r="C106" s="606"/>
      <c r="D106" s="607"/>
      <c r="E106" s="607"/>
      <c r="F106" s="607"/>
      <c r="G106" s="607"/>
      <c r="H106" s="607"/>
      <c r="I106" s="607"/>
      <c r="J106"/>
      <c r="K106"/>
      <c r="L106"/>
      <c r="M106"/>
    </row>
    <row r="107" spans="1:13">
      <c r="A107"/>
      <c r="B107"/>
      <c r="C107"/>
      <c r="D107"/>
      <c r="E107"/>
      <c r="F107"/>
      <c r="G107"/>
      <c r="H107"/>
      <c r="I107"/>
      <c r="J107"/>
      <c r="K107"/>
      <c r="L107"/>
      <c r="M107"/>
    </row>
    <row r="108" spans="1:13">
      <c r="A108" s="266" t="s">
        <v>1065</v>
      </c>
      <c r="B108" s="165" t="s">
        <v>1066</v>
      </c>
      <c r="C108" s="610">
        <f>B106</f>
        <v>3.9108493961018453E-2</v>
      </c>
      <c r="D108"/>
      <c r="E108"/>
      <c r="F108"/>
      <c r="G108"/>
      <c r="H108"/>
      <c r="I108"/>
      <c r="J108"/>
      <c r="K108"/>
      <c r="L108"/>
      <c r="M108"/>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B2:S53"/>
  <sheetViews>
    <sheetView workbookViewId="0">
      <pane xSplit="2" ySplit="2" topLeftCell="D3" activePane="bottomRight" state="frozen"/>
      <selection pane="topRight" activeCell="C1" sqref="C1"/>
      <selection pane="bottomLeft" activeCell="A3" sqref="A3"/>
      <selection pane="bottomRight" activeCell="B37" sqref="B37"/>
    </sheetView>
  </sheetViews>
  <sheetFormatPr defaultRowHeight="14.4"/>
  <cols>
    <col min="2" max="2" width="16.6640625" customWidth="1"/>
    <col min="3" max="4" width="8.88671875" customWidth="1"/>
    <col min="5" max="7" width="11" customWidth="1"/>
    <col min="8" max="10" width="11" bestFit="1" customWidth="1"/>
    <col min="16" max="16" width="11" customWidth="1"/>
    <col min="17" max="17" width="8.88671875" customWidth="1"/>
  </cols>
  <sheetData>
    <row r="2" spans="2:19">
      <c r="C2" s="487">
        <v>2015</v>
      </c>
      <c r="D2" s="487">
        <v>2016</v>
      </c>
      <c r="E2" s="487">
        <v>2017</v>
      </c>
      <c r="F2" s="487">
        <v>2018</v>
      </c>
      <c r="G2" s="487">
        <v>2019</v>
      </c>
      <c r="H2" s="380">
        <f>G2+1</f>
        <v>2020</v>
      </c>
      <c r="I2" s="380">
        <f>H2+1</f>
        <v>2021</v>
      </c>
      <c r="J2" s="380">
        <f>I2+1</f>
        <v>2022</v>
      </c>
      <c r="K2" s="408">
        <f t="shared" ref="K2:P2" si="0">J2+1</f>
        <v>2023</v>
      </c>
      <c r="L2" s="408">
        <f t="shared" si="0"/>
        <v>2024</v>
      </c>
      <c r="M2" s="408">
        <f t="shared" si="0"/>
        <v>2025</v>
      </c>
      <c r="N2" s="408">
        <f t="shared" si="0"/>
        <v>2026</v>
      </c>
      <c r="O2" s="408">
        <f t="shared" si="0"/>
        <v>2027</v>
      </c>
      <c r="P2" s="408">
        <f t="shared" si="0"/>
        <v>2028</v>
      </c>
      <c r="Q2" s="408">
        <f t="shared" ref="Q2" si="1">P2+1</f>
        <v>2029</v>
      </c>
      <c r="R2" s="408">
        <f t="shared" ref="R2" si="2">Q2+1</f>
        <v>2030</v>
      </c>
    </row>
    <row r="4" spans="2:19">
      <c r="B4" t="s">
        <v>764</v>
      </c>
      <c r="C4" s="4"/>
      <c r="D4" s="4"/>
      <c r="E4" s="4"/>
      <c r="F4" s="4"/>
      <c r="G4" s="4"/>
      <c r="H4" s="4">
        <f>'Historical RK P&amp;L'!D15</f>
        <v>944.34999999999991</v>
      </c>
      <c r="I4" s="4">
        <f>'Historical RK P&amp;L'!E15</f>
        <v>702.08</v>
      </c>
      <c r="J4" s="4">
        <f>'Historical RK P&amp;L'!F15</f>
        <v>1246.7200000000003</v>
      </c>
      <c r="K4" s="4">
        <f>'Historical RK P&amp;L'!G15</f>
        <v>991.9</v>
      </c>
      <c r="L4" s="4">
        <f>'Projection RK P&amp;L'!L12</f>
        <v>1101.8599999999999</v>
      </c>
      <c r="M4" s="4">
        <f>'Projection RK P&amp;L'!M12</f>
        <v>1157.9446739999998</v>
      </c>
      <c r="N4" s="4">
        <f>'Projection RK P&amp;L'!N12</f>
        <v>1216.8840579066</v>
      </c>
      <c r="O4" s="4">
        <f>'Projection RK P&amp;L'!O12</f>
        <v>1278.8234564540458</v>
      </c>
      <c r="P4" s="4">
        <f>'Projection RK P&amp;L'!P12</f>
        <v>1343.9155703875567</v>
      </c>
      <c r="Q4" s="4">
        <f>'Projection RK P&amp;L'!Q12</f>
        <v>1412.3208729202831</v>
      </c>
      <c r="R4" s="4">
        <f>'Projection RK P&amp;L'!R12</f>
        <v>1484.2080053519255</v>
      </c>
      <c r="S4" s="4"/>
    </row>
    <row r="5" spans="2:19">
      <c r="B5" t="s">
        <v>765</v>
      </c>
      <c r="C5" s="4"/>
      <c r="D5" s="4"/>
      <c r="E5" s="4"/>
      <c r="F5" s="4"/>
      <c r="G5" s="4"/>
      <c r="H5" s="4">
        <f>'Historical RK P&amp;L'!D17</f>
        <v>528.86</v>
      </c>
      <c r="I5" s="4">
        <f>'Historical RK P&amp;L'!E17</f>
        <v>355.04</v>
      </c>
      <c r="J5" s="4">
        <f>'Historical RK P&amp;L'!F17</f>
        <v>754.91</v>
      </c>
      <c r="K5" s="4">
        <f>'Historical RK P&amp;L'!G17</f>
        <v>613.85</v>
      </c>
      <c r="L5" s="4">
        <f>'Projection RK P&amp;L'!L14</f>
        <v>776.07999999999993</v>
      </c>
      <c r="M5" s="4">
        <f>'Projection RK P&amp;L'!M14</f>
        <v>694.76680439999984</v>
      </c>
      <c r="N5" s="4">
        <f>'Projection RK P&amp;L'!N14</f>
        <v>730.13043474396</v>
      </c>
      <c r="O5" s="4">
        <f>'Projection RK P&amp;L'!O14</f>
        <v>767.29407387242748</v>
      </c>
      <c r="P5" s="4">
        <f>'Projection RK P&amp;L'!P14</f>
        <v>806.34934223253401</v>
      </c>
      <c r="Q5" s="4">
        <f>'Projection RK P&amp;L'!Q14</f>
        <v>847.39252375216984</v>
      </c>
      <c r="R5" s="4">
        <f>'Projection RK P&amp;L'!R14</f>
        <v>890.52480321115524</v>
      </c>
      <c r="S5" s="4"/>
    </row>
    <row r="8" spans="2:19">
      <c r="B8" t="s">
        <v>766</v>
      </c>
      <c r="D8" s="4"/>
      <c r="E8" s="4"/>
      <c r="F8" s="4"/>
      <c r="G8" s="4"/>
      <c r="H8" s="4">
        <v>84.12</v>
      </c>
      <c r="I8" s="4">
        <v>99.4</v>
      </c>
      <c r="J8" s="4">
        <v>92.81</v>
      </c>
      <c r="K8" s="4">
        <v>57.85</v>
      </c>
      <c r="L8" s="4">
        <f t="shared" ref="L8:Q8" si="3">L12*L4</f>
        <v>102.69498539194468</v>
      </c>
      <c r="M8" s="4">
        <f t="shared" si="3"/>
        <v>107.92216014839465</v>
      </c>
      <c r="N8" s="4">
        <f t="shared" si="3"/>
        <v>113.41539809994796</v>
      </c>
      <c r="O8" s="4">
        <f t="shared" si="3"/>
        <v>119.18824186323529</v>
      </c>
      <c r="P8" s="4">
        <f t="shared" si="3"/>
        <v>125.25492337407398</v>
      </c>
      <c r="Q8" s="4">
        <f t="shared" si="3"/>
        <v>131.63039897381432</v>
      </c>
      <c r="R8" s="4">
        <f t="shared" ref="R8" si="4">R12*R4</f>
        <v>138.33038628158147</v>
      </c>
    </row>
    <row r="9" spans="2:19">
      <c r="B9" t="s">
        <v>271</v>
      </c>
      <c r="D9" s="4"/>
      <c r="E9" s="4"/>
      <c r="F9" s="4"/>
      <c r="G9" s="4"/>
      <c r="H9" s="4">
        <v>118.81</v>
      </c>
      <c r="I9" s="4">
        <v>116.41</v>
      </c>
      <c r="J9" s="4">
        <v>174.74</v>
      </c>
      <c r="K9" s="4">
        <v>162.51</v>
      </c>
      <c r="L9" s="4">
        <f t="shared" ref="L9:Q9" si="5">L13*L5</f>
        <v>198.56970954906825</v>
      </c>
      <c r="M9" s="4">
        <f t="shared" si="5"/>
        <v>177.76471826878966</v>
      </c>
      <c r="N9" s="4">
        <f t="shared" si="5"/>
        <v>186.81294242867111</v>
      </c>
      <c r="O9" s="4">
        <f t="shared" si="5"/>
        <v>196.32172119829045</v>
      </c>
      <c r="P9" s="4">
        <f t="shared" si="5"/>
        <v>206.31449680728343</v>
      </c>
      <c r="Q9" s="4">
        <f t="shared" si="5"/>
        <v>216.8159046947741</v>
      </c>
      <c r="R9" s="4">
        <f t="shared" ref="R9" si="6">R13*R5</f>
        <v>227.8518342437381</v>
      </c>
    </row>
    <row r="10" spans="2:19">
      <c r="B10" t="s">
        <v>767</v>
      </c>
      <c r="D10" s="4"/>
      <c r="E10" s="4"/>
      <c r="F10" s="4"/>
      <c r="G10" s="4"/>
      <c r="H10" s="4">
        <v>154.81</v>
      </c>
      <c r="I10" s="4">
        <v>138.09</v>
      </c>
      <c r="J10" s="4">
        <v>139.16999999999999</v>
      </c>
      <c r="K10" s="4">
        <v>147.56</v>
      </c>
      <c r="L10" s="4">
        <f t="shared" ref="L10:Q10" si="7">L14*L5</f>
        <v>217.76824828325275</v>
      </c>
      <c r="M10" s="4">
        <f t="shared" si="7"/>
        <v>194.95174461336626</v>
      </c>
      <c r="N10" s="4">
        <f t="shared" si="7"/>
        <v>204.87478841418664</v>
      </c>
      <c r="O10" s="4">
        <f t="shared" si="7"/>
        <v>215.30291514446873</v>
      </c>
      <c r="P10" s="4">
        <f t="shared" si="7"/>
        <v>226.26183352532217</v>
      </c>
      <c r="Q10" s="4">
        <f t="shared" si="7"/>
        <v>237.77856085176103</v>
      </c>
      <c r="R10" s="4">
        <f t="shared" ref="R10" si="8">R14*R5</f>
        <v>249.88148959911564</v>
      </c>
    </row>
    <row r="12" spans="2:19">
      <c r="B12" t="s">
        <v>768</v>
      </c>
      <c r="E12" s="151"/>
      <c r="F12" s="151"/>
      <c r="G12" s="151"/>
      <c r="H12" s="151">
        <f t="shared" ref="H12:K12" si="9">AVERAGE(G8:H8)/H4</f>
        <v>8.90771430084185E-2</v>
      </c>
      <c r="I12" s="151">
        <f t="shared" si="9"/>
        <v>0.13069735642661806</v>
      </c>
      <c r="J12" s="151">
        <f t="shared" si="9"/>
        <v>7.7086274383983563E-2</v>
      </c>
      <c r="K12" s="151">
        <f t="shared" si="9"/>
        <v>7.5945155761669519E-2</v>
      </c>
      <c r="L12" s="118">
        <f>AVERAGE(H12:K12)</f>
        <v>9.3201482395172425E-2</v>
      </c>
      <c r="M12" s="118">
        <f t="shared" ref="M12:R12" si="10">L12</f>
        <v>9.3201482395172425E-2</v>
      </c>
      <c r="N12" s="118">
        <f t="shared" si="10"/>
        <v>9.3201482395172425E-2</v>
      </c>
      <c r="O12" s="118">
        <f t="shared" si="10"/>
        <v>9.3201482395172425E-2</v>
      </c>
      <c r="P12" s="118">
        <f t="shared" si="10"/>
        <v>9.3201482395172425E-2</v>
      </c>
      <c r="Q12" s="118">
        <f t="shared" si="10"/>
        <v>9.3201482395172425E-2</v>
      </c>
      <c r="R12" s="118">
        <f t="shared" si="10"/>
        <v>9.3201482395172425E-2</v>
      </c>
    </row>
    <row r="13" spans="2:19">
      <c r="B13" t="s">
        <v>769</v>
      </c>
      <c r="E13" s="151"/>
      <c r="F13" s="151"/>
      <c r="G13" s="151"/>
      <c r="H13" s="151">
        <f t="shared" ref="H13:K13" si="11">AVERAGE(G9:H9)/H5</f>
        <v>0.22465302726619521</v>
      </c>
      <c r="I13" s="151">
        <f t="shared" si="11"/>
        <v>0.33125844975214058</v>
      </c>
      <c r="J13" s="151">
        <f t="shared" si="11"/>
        <v>0.19283755679484971</v>
      </c>
      <c r="K13" s="151">
        <f t="shared" si="11"/>
        <v>0.27470065977030217</v>
      </c>
      <c r="L13" s="118">
        <f t="shared" ref="L13:L14" si="12">AVERAGE(H13:K13)</f>
        <v>0.2558624233958719</v>
      </c>
      <c r="M13" s="118">
        <f t="shared" ref="M13:R13" si="13">L13</f>
        <v>0.2558624233958719</v>
      </c>
      <c r="N13" s="118">
        <f t="shared" si="13"/>
        <v>0.2558624233958719</v>
      </c>
      <c r="O13" s="118">
        <f t="shared" si="13"/>
        <v>0.2558624233958719</v>
      </c>
      <c r="P13" s="118">
        <f t="shared" si="13"/>
        <v>0.2558624233958719</v>
      </c>
      <c r="Q13" s="118">
        <f t="shared" si="13"/>
        <v>0.2558624233958719</v>
      </c>
      <c r="R13" s="118">
        <f t="shared" si="13"/>
        <v>0.2558624233958719</v>
      </c>
    </row>
    <row r="14" spans="2:19">
      <c r="B14" t="s">
        <v>770</v>
      </c>
      <c r="E14" s="151"/>
      <c r="F14" s="151"/>
      <c r="G14" s="151"/>
      <c r="H14" s="151">
        <f t="shared" ref="H14:K14" si="14">AVERAGE(G10:H10)/H5</f>
        <v>0.29272397231781566</v>
      </c>
      <c r="I14" s="151">
        <f t="shared" si="14"/>
        <v>0.41248873366381245</v>
      </c>
      <c r="J14" s="151">
        <f t="shared" si="14"/>
        <v>0.1836377846365792</v>
      </c>
      <c r="K14" s="151">
        <f t="shared" si="14"/>
        <v>0.2335505416632728</v>
      </c>
      <c r="L14" s="118">
        <f t="shared" si="12"/>
        <v>0.28060025807037003</v>
      </c>
      <c r="M14" s="118">
        <f t="shared" ref="M14:R14" si="15">L14</f>
        <v>0.28060025807037003</v>
      </c>
      <c r="N14" s="118">
        <f t="shared" si="15"/>
        <v>0.28060025807037003</v>
      </c>
      <c r="O14" s="118">
        <f t="shared" si="15"/>
        <v>0.28060025807037003</v>
      </c>
      <c r="P14" s="118">
        <f t="shared" si="15"/>
        <v>0.28060025807037003</v>
      </c>
      <c r="Q14" s="118">
        <f t="shared" si="15"/>
        <v>0.28060025807037003</v>
      </c>
      <c r="R14" s="118">
        <f t="shared" si="15"/>
        <v>0.28060025807037003</v>
      </c>
    </row>
    <row r="17" spans="2:18">
      <c r="E17" s="4"/>
      <c r="F17" s="4"/>
      <c r="G17" s="4"/>
      <c r="H17" s="4"/>
      <c r="I17" s="4"/>
      <c r="J17" s="4"/>
    </row>
    <row r="18" spans="2:18">
      <c r="E18" s="4"/>
      <c r="F18" s="4"/>
      <c r="G18" s="4"/>
      <c r="H18" s="4"/>
      <c r="I18" s="4"/>
      <c r="J18" s="4"/>
    </row>
    <row r="19" spans="2:18">
      <c r="E19" s="4"/>
      <c r="F19" s="4"/>
      <c r="G19" s="4"/>
      <c r="H19" s="4"/>
      <c r="I19" s="4">
        <f>I8-H8</f>
        <v>15.280000000000001</v>
      </c>
      <c r="J19" s="4">
        <f t="shared" ref="J19:Q19" si="16">J8-I8</f>
        <v>-6.5900000000000034</v>
      </c>
      <c r="K19" s="4">
        <f t="shared" si="16"/>
        <v>-34.96</v>
      </c>
      <c r="L19" s="4">
        <f t="shared" si="16"/>
        <v>44.844985391944682</v>
      </c>
      <c r="M19" s="4">
        <f t="shared" si="16"/>
        <v>5.2271747564499691</v>
      </c>
      <c r="N19" s="4">
        <f t="shared" si="16"/>
        <v>5.4932379515533114</v>
      </c>
      <c r="O19" s="4">
        <f t="shared" si="16"/>
        <v>5.7728437632873266</v>
      </c>
      <c r="P19" s="4">
        <f t="shared" si="16"/>
        <v>6.0666815108386913</v>
      </c>
      <c r="Q19" s="4">
        <f t="shared" si="16"/>
        <v>6.3754755997403407</v>
      </c>
      <c r="R19" s="4">
        <f t="shared" ref="R19" si="17">R8-Q8</f>
        <v>6.6999873077671452</v>
      </c>
    </row>
    <row r="20" spans="2:18">
      <c r="E20" s="4"/>
      <c r="F20" s="4"/>
      <c r="G20" s="4"/>
      <c r="H20" s="4"/>
      <c r="I20" s="4">
        <f>I9-H9</f>
        <v>-2.4000000000000057</v>
      </c>
      <c r="J20" s="4">
        <f t="shared" ref="J20:Q20" si="18">J9-I9</f>
        <v>58.330000000000013</v>
      </c>
      <c r="K20" s="4">
        <f t="shared" si="18"/>
        <v>-12.230000000000018</v>
      </c>
      <c r="L20" s="4">
        <f t="shared" si="18"/>
        <v>36.059709549068259</v>
      </c>
      <c r="M20" s="4">
        <f t="shared" si="18"/>
        <v>-20.804991280278585</v>
      </c>
      <c r="N20" s="4">
        <f t="shared" si="18"/>
        <v>9.0482241598814426</v>
      </c>
      <c r="O20" s="4">
        <f t="shared" si="18"/>
        <v>9.5087787696193402</v>
      </c>
      <c r="P20" s="4">
        <f t="shared" si="18"/>
        <v>9.9927756089929858</v>
      </c>
      <c r="Q20" s="4">
        <f t="shared" si="18"/>
        <v>10.501407887490672</v>
      </c>
      <c r="R20" s="4">
        <f t="shared" ref="R20" si="19">R9-Q9</f>
        <v>11.035929548963992</v>
      </c>
    </row>
    <row r="21" spans="2:18">
      <c r="E21" s="4"/>
      <c r="F21" s="4"/>
      <c r="G21" s="4"/>
      <c r="H21" s="4"/>
      <c r="I21" s="4">
        <f>I10-H10</f>
        <v>-16.72</v>
      </c>
      <c r="J21" s="4">
        <f t="shared" ref="J21:Q21" si="20">J10-I10</f>
        <v>1.0799999999999841</v>
      </c>
      <c r="K21" s="4">
        <f t="shared" si="20"/>
        <v>8.3900000000000148</v>
      </c>
      <c r="L21" s="4">
        <f t="shared" si="20"/>
        <v>70.208248283252743</v>
      </c>
      <c r="M21" s="4">
        <f t="shared" si="20"/>
        <v>-22.816503669886487</v>
      </c>
      <c r="N21" s="4">
        <f t="shared" si="20"/>
        <v>9.9230438008203805</v>
      </c>
      <c r="O21" s="4">
        <f t="shared" si="20"/>
        <v>10.428126730282088</v>
      </c>
      <c r="P21" s="4">
        <f t="shared" si="20"/>
        <v>10.958918380853447</v>
      </c>
      <c r="Q21" s="4">
        <f t="shared" si="20"/>
        <v>11.516727326438854</v>
      </c>
      <c r="R21" s="4">
        <f t="shared" ref="R21" si="21">R10-Q10</f>
        <v>12.102928747354611</v>
      </c>
    </row>
    <row r="22" spans="2:18">
      <c r="E22" s="4"/>
      <c r="F22" s="4"/>
      <c r="G22" s="4"/>
      <c r="H22" s="4"/>
      <c r="I22" s="4"/>
      <c r="J22" s="4"/>
    </row>
    <row r="23" spans="2:18">
      <c r="E23" s="4"/>
      <c r="F23" s="4"/>
      <c r="G23" s="4"/>
      <c r="H23" s="4" t="s">
        <v>864</v>
      </c>
      <c r="I23" s="4">
        <f>I19-SUM(I20:I21)</f>
        <v>34.400000000000006</v>
      </c>
      <c r="J23" s="4">
        <f t="shared" ref="J23:Q23" si="22">J19-SUM(J20:J21)</f>
        <v>-66</v>
      </c>
      <c r="K23" s="4">
        <f t="shared" si="22"/>
        <v>-31.119999999999997</v>
      </c>
      <c r="L23" s="4">
        <f t="shared" si="22"/>
        <v>-61.42297244037632</v>
      </c>
      <c r="M23" s="4">
        <f t="shared" si="22"/>
        <v>48.848669706615041</v>
      </c>
      <c r="N23" s="4">
        <f t="shared" si="22"/>
        <v>-13.478030009148512</v>
      </c>
      <c r="O23" s="4">
        <f t="shared" si="22"/>
        <v>-14.164061736614102</v>
      </c>
      <c r="P23" s="4">
        <f>P19-SUM(P20:P21)</f>
        <v>-14.885012479007742</v>
      </c>
      <c r="Q23" s="4">
        <f t="shared" si="22"/>
        <v>-15.642659614189185</v>
      </c>
      <c r="R23" s="4">
        <f t="shared" ref="R23" si="23">R19-SUM(R20:R21)</f>
        <v>-16.438870988551457</v>
      </c>
    </row>
    <row r="24" spans="2:18">
      <c r="E24" s="4"/>
      <c r="F24" s="4"/>
      <c r="G24" s="4"/>
      <c r="H24" s="4"/>
      <c r="I24" s="4"/>
      <c r="J24" s="4"/>
    </row>
    <row r="25" spans="2:18">
      <c r="E25" s="4"/>
      <c r="F25" s="4"/>
      <c r="G25" s="4"/>
      <c r="H25" s="4"/>
      <c r="I25" s="4"/>
      <c r="J25" s="4"/>
    </row>
    <row r="26" spans="2:18">
      <c r="E26" s="4"/>
      <c r="F26" s="4"/>
      <c r="G26" s="4"/>
      <c r="H26" s="4"/>
      <c r="I26" s="4"/>
      <c r="J26" s="4"/>
    </row>
    <row r="27" spans="2:18">
      <c r="B27" t="s">
        <v>775</v>
      </c>
      <c r="E27" s="4"/>
      <c r="F27" s="4"/>
      <c r="G27" s="4"/>
      <c r="H27" s="6">
        <v>855.18</v>
      </c>
      <c r="I27" s="6">
        <v>806.58</v>
      </c>
      <c r="J27" s="6">
        <v>757.58</v>
      </c>
      <c r="K27" s="15">
        <v>725.38</v>
      </c>
    </row>
    <row r="30" spans="2:18">
      <c r="B30" t="s">
        <v>771</v>
      </c>
      <c r="F30" s="4"/>
      <c r="G30" s="4"/>
      <c r="H30" s="4"/>
      <c r="I30" s="4"/>
      <c r="J30" s="4"/>
      <c r="K30" s="4"/>
      <c r="L30" s="4">
        <f t="shared" ref="L30:R30" si="24">K34</f>
        <v>725.38</v>
      </c>
      <c r="M30" s="4">
        <f t="shared" ca="1" si="24"/>
        <v>681.54883152209106</v>
      </c>
      <c r="N30" s="4">
        <f t="shared" ref="N30" ca="1" si="25">M34</f>
        <v>640.36616635298424</v>
      </c>
      <c r="O30" s="4">
        <f t="shared" ref="O30" ca="1" si="26">N34</f>
        <v>601.67196838092786</v>
      </c>
      <c r="P30" s="4">
        <f t="shared" ref="P30" ca="1" si="27">O34</f>
        <v>565.31587169430907</v>
      </c>
      <c r="Q30" s="4">
        <f t="shared" ca="1" si="24"/>
        <v>531.15659625871785</v>
      </c>
      <c r="R30" s="4">
        <f t="shared" ca="1" si="24"/>
        <v>499.06139890178974</v>
      </c>
    </row>
    <row r="31" spans="2:18">
      <c r="B31" t="s">
        <v>772</v>
      </c>
      <c r="F31" s="4"/>
      <c r="G31" s="4"/>
      <c r="H31" s="4">
        <v>3.8750999999999749</v>
      </c>
      <c r="I31" s="4">
        <v>1.9910999999999603</v>
      </c>
      <c r="J31" s="4">
        <v>-5.1458000000000084</v>
      </c>
      <c r="K31" s="4">
        <v>12.435999999999922</v>
      </c>
      <c r="L31" s="21">
        <v>0</v>
      </c>
      <c r="M31" s="21">
        <v>0</v>
      </c>
      <c r="N31" s="21">
        <v>0</v>
      </c>
      <c r="O31" s="21">
        <v>0</v>
      </c>
      <c r="P31" s="21">
        <v>0</v>
      </c>
      <c r="Q31" s="21">
        <v>0</v>
      </c>
      <c r="R31" s="21">
        <v>0</v>
      </c>
    </row>
    <row r="32" spans="2:18">
      <c r="B32" t="s">
        <v>773</v>
      </c>
      <c r="F32" s="4"/>
      <c r="G32" s="4"/>
      <c r="H32" s="4"/>
      <c r="I32" s="4"/>
      <c r="J32" s="4"/>
      <c r="K32" s="4"/>
      <c r="L32" s="4">
        <f t="shared" ref="L32:R32" si="28">L30-L31</f>
        <v>725.38</v>
      </c>
      <c r="M32" s="4">
        <f t="shared" ca="1" si="28"/>
        <v>681.54883152209106</v>
      </c>
      <c r="N32" s="4">
        <f t="shared" ca="1" si="28"/>
        <v>640.36616635298424</v>
      </c>
      <c r="O32" s="4">
        <f t="shared" ca="1" si="28"/>
        <v>601.67196838092786</v>
      </c>
      <c r="P32" s="4">
        <f t="shared" ca="1" si="28"/>
        <v>565.31587169430907</v>
      </c>
      <c r="Q32" s="4">
        <f t="shared" ca="1" si="28"/>
        <v>531.15659625871785</v>
      </c>
      <c r="R32" s="4">
        <f t="shared" ca="1" si="28"/>
        <v>499.06139890178974</v>
      </c>
    </row>
    <row r="33" spans="2:18">
      <c r="B33" t="s">
        <v>774</v>
      </c>
      <c r="F33" s="4"/>
      <c r="G33" s="4"/>
      <c r="H33" s="4"/>
      <c r="I33" s="4"/>
      <c r="J33" s="4"/>
      <c r="K33" s="4"/>
      <c r="L33" s="496">
        <f ca="1">L39</f>
        <v>43.831168477908889</v>
      </c>
      <c r="M33" s="496">
        <f t="shared" ref="M33:R33" ca="1" si="29">M39</f>
        <v>41.182665169106834</v>
      </c>
      <c r="N33" s="496">
        <f t="shared" ca="1" si="29"/>
        <v>38.694197972056422</v>
      </c>
      <c r="O33" s="496">
        <f t="shared" ca="1" si="29"/>
        <v>36.356096686618763</v>
      </c>
      <c r="P33" s="496">
        <f t="shared" ca="1" si="29"/>
        <v>34.159275435591262</v>
      </c>
      <c r="Q33" s="496">
        <f t="shared" ca="1" si="29"/>
        <v>32.095197356928082</v>
      </c>
      <c r="R33" s="496">
        <f t="shared" ca="1" si="29"/>
        <v>30.155841429437316</v>
      </c>
    </row>
    <row r="34" spans="2:18">
      <c r="B34" t="s">
        <v>775</v>
      </c>
      <c r="E34" s="4"/>
      <c r="F34" s="4"/>
      <c r="G34" s="4"/>
      <c r="H34" s="4">
        <f>H27</f>
        <v>855.18</v>
      </c>
      <c r="I34" s="4">
        <f t="shared" ref="I34:J34" si="30">I27</f>
        <v>806.58</v>
      </c>
      <c r="J34" s="4">
        <f t="shared" si="30"/>
        <v>757.58</v>
      </c>
      <c r="K34" s="4">
        <f>K27</f>
        <v>725.38</v>
      </c>
      <c r="L34" s="4">
        <f ca="1">L32-L33</f>
        <v>681.54883152209106</v>
      </c>
      <c r="M34" s="4">
        <f t="shared" ref="M34:P34" ca="1" si="31">M32-M33</f>
        <v>640.36616635298424</v>
      </c>
      <c r="N34" s="4">
        <f t="shared" ca="1" si="31"/>
        <v>601.67196838092786</v>
      </c>
      <c r="O34" s="4">
        <f t="shared" ca="1" si="31"/>
        <v>565.31587169430907</v>
      </c>
      <c r="P34" s="4">
        <f t="shared" ca="1" si="31"/>
        <v>531.15659625871785</v>
      </c>
      <c r="Q34" s="4">
        <f t="shared" ref="Q34:R34" ca="1" si="32">Q32-Q33</f>
        <v>499.06139890178974</v>
      </c>
      <c r="R34" s="4">
        <f t="shared" ca="1" si="32"/>
        <v>468.90555747235243</v>
      </c>
    </row>
    <row r="37" spans="2:18">
      <c r="B37" t="s">
        <v>776</v>
      </c>
      <c r="F37" s="4"/>
      <c r="G37" s="4"/>
      <c r="H37" s="4">
        <f t="shared" ref="H37:K37" si="33">H31</f>
        <v>3.8750999999999749</v>
      </c>
      <c r="I37" s="4">
        <f t="shared" si="33"/>
        <v>1.9910999999999603</v>
      </c>
      <c r="J37" s="4">
        <f t="shared" si="33"/>
        <v>-5.1458000000000084</v>
      </c>
      <c r="K37" s="4">
        <f t="shared" si="33"/>
        <v>12.435999999999922</v>
      </c>
      <c r="L37" s="4">
        <f t="shared" ref="L37:R37" si="34">L31</f>
        <v>0</v>
      </c>
      <c r="M37" s="4">
        <f t="shared" si="34"/>
        <v>0</v>
      </c>
      <c r="N37" s="4">
        <f t="shared" si="34"/>
        <v>0</v>
      </c>
      <c r="O37" s="4">
        <f t="shared" si="34"/>
        <v>0</v>
      </c>
      <c r="P37" s="4">
        <f t="shared" si="34"/>
        <v>0</v>
      </c>
      <c r="Q37" s="4">
        <f t="shared" si="34"/>
        <v>0</v>
      </c>
      <c r="R37" s="4">
        <f t="shared" si="34"/>
        <v>0</v>
      </c>
    </row>
    <row r="38" spans="2:18">
      <c r="L38" s="5"/>
      <c r="M38" s="5"/>
      <c r="N38" s="5"/>
      <c r="O38" s="5"/>
      <c r="P38" s="5"/>
      <c r="Q38" s="5"/>
      <c r="R38" s="5"/>
    </row>
    <row r="39" spans="2:18">
      <c r="B39" t="s">
        <v>777</v>
      </c>
      <c r="C39" s="4"/>
      <c r="D39" s="4"/>
      <c r="E39" s="4"/>
      <c r="F39" s="4"/>
      <c r="G39" s="4"/>
      <c r="H39" s="4">
        <f>'Projection RK P&amp;L'!H21</f>
        <v>54.01</v>
      </c>
      <c r="I39" s="4">
        <f>'Projection RK P&amp;L'!I21</f>
        <v>50.4</v>
      </c>
      <c r="J39" s="4">
        <f>'Projection RK P&amp;L'!J21</f>
        <v>47.95</v>
      </c>
      <c r="K39" s="4">
        <f>'Projection RK P&amp;L'!K21</f>
        <v>46.65</v>
      </c>
      <c r="L39" s="4">
        <f ca="1">L34*L41</f>
        <v>43.831168477908889</v>
      </c>
      <c r="M39" s="4">
        <f t="shared" ref="M39:R39" ca="1" si="35">M34*M41</f>
        <v>41.182665169106834</v>
      </c>
      <c r="N39" s="4">
        <f t="shared" ca="1" si="35"/>
        <v>38.694197972056422</v>
      </c>
      <c r="O39" s="4">
        <f t="shared" ca="1" si="35"/>
        <v>36.356096686618763</v>
      </c>
      <c r="P39" s="4">
        <f t="shared" ca="1" si="35"/>
        <v>34.159275435591262</v>
      </c>
      <c r="Q39" s="4">
        <f t="shared" ca="1" si="35"/>
        <v>32.095197356928082</v>
      </c>
      <c r="R39" s="4">
        <f t="shared" ca="1" si="35"/>
        <v>30.155841429437316</v>
      </c>
    </row>
    <row r="41" spans="2:18">
      <c r="B41" t="s">
        <v>778</v>
      </c>
      <c r="E41" s="151"/>
      <c r="F41" s="151"/>
      <c r="G41" s="151"/>
      <c r="H41" s="439">
        <f>H39/H27</f>
        <v>6.3156294581257752E-2</v>
      </c>
      <c r="I41" s="439">
        <f t="shared" ref="I41:K41" si="36">I39/I27</f>
        <v>6.248605222048649E-2</v>
      </c>
      <c r="J41" s="439">
        <f t="shared" si="36"/>
        <v>6.3293645555584893E-2</v>
      </c>
      <c r="K41" s="439">
        <f t="shared" si="36"/>
        <v>6.4311119688990601E-2</v>
      </c>
      <c r="L41" s="120">
        <f t="shared" ref="L41:R41" si="37">K41</f>
        <v>6.4311119688990601E-2</v>
      </c>
      <c r="M41" s="120">
        <f t="shared" si="37"/>
        <v>6.4311119688990601E-2</v>
      </c>
      <c r="N41" s="120">
        <f t="shared" si="37"/>
        <v>6.4311119688990601E-2</v>
      </c>
      <c r="O41" s="120">
        <f t="shared" si="37"/>
        <v>6.4311119688990601E-2</v>
      </c>
      <c r="P41" s="120">
        <f t="shared" si="37"/>
        <v>6.4311119688990601E-2</v>
      </c>
      <c r="Q41" s="120">
        <f t="shared" si="37"/>
        <v>6.4311119688990601E-2</v>
      </c>
      <c r="R41" s="120">
        <f t="shared" si="37"/>
        <v>6.4311119688990601E-2</v>
      </c>
    </row>
    <row r="43" spans="2:18">
      <c r="B43" t="s">
        <v>687</v>
      </c>
      <c r="E43" s="4"/>
      <c r="F43" s="4"/>
      <c r="G43" s="4"/>
      <c r="H43" s="4">
        <f>'Projection RK P&amp;L'!H17</f>
        <v>77.97</v>
      </c>
      <c r="I43" s="4">
        <f>'Projection RK P&amp;L'!I17</f>
        <v>54.38</v>
      </c>
      <c r="J43" s="4">
        <f>'Projection RK P&amp;L'!J17</f>
        <v>78.39</v>
      </c>
      <c r="K43" s="4">
        <f>'Projection RK P&amp;L'!K17</f>
        <v>79.44</v>
      </c>
      <c r="L43" s="4">
        <f t="shared" ref="L43:Q43" si="38">L45*L4</f>
        <v>88.246555499546318</v>
      </c>
      <c r="M43" s="4">
        <f t="shared" si="38"/>
        <v>92.738305174473226</v>
      </c>
      <c r="N43" s="4">
        <f t="shared" si="38"/>
        <v>97.458684907853922</v>
      </c>
      <c r="O43" s="4">
        <f t="shared" si="38"/>
        <v>102.41933196966367</v>
      </c>
      <c r="P43" s="4">
        <f t="shared" si="38"/>
        <v>107.63247596691956</v>
      </c>
      <c r="Q43" s="4">
        <f t="shared" si="38"/>
        <v>113.11096899363574</v>
      </c>
      <c r="R43" s="4">
        <f t="shared" ref="R43" si="39">R45*R4</f>
        <v>118.8683173154118</v>
      </c>
    </row>
    <row r="45" spans="2:18">
      <c r="B45" t="s">
        <v>796</v>
      </c>
      <c r="E45" s="151"/>
      <c r="F45" s="151"/>
      <c r="G45" s="151"/>
      <c r="H45" s="151">
        <f t="shared" ref="H45:K45" si="40">H43/H4</f>
        <v>8.2564727060941395E-2</v>
      </c>
      <c r="I45" s="151">
        <f t="shared" si="40"/>
        <v>7.7455560619872382E-2</v>
      </c>
      <c r="J45" s="151">
        <f t="shared" si="40"/>
        <v>6.287698921971252E-2</v>
      </c>
      <c r="K45" s="151">
        <f t="shared" si="40"/>
        <v>8.0088718620828711E-2</v>
      </c>
      <c r="L45" s="118">
        <f t="shared" ref="L45:R45" si="41">K45</f>
        <v>8.0088718620828711E-2</v>
      </c>
      <c r="M45" s="118">
        <f t="shared" si="41"/>
        <v>8.0088718620828711E-2</v>
      </c>
      <c r="N45" s="118">
        <f t="shared" si="41"/>
        <v>8.0088718620828711E-2</v>
      </c>
      <c r="O45" s="118">
        <f t="shared" si="41"/>
        <v>8.0088718620828711E-2</v>
      </c>
      <c r="P45" s="118">
        <f t="shared" si="41"/>
        <v>8.0088718620828711E-2</v>
      </c>
      <c r="Q45" s="118">
        <f t="shared" si="41"/>
        <v>8.0088718620828711E-2</v>
      </c>
      <c r="R45" s="118">
        <f t="shared" si="41"/>
        <v>8.0088718620828711E-2</v>
      </c>
    </row>
    <row r="47" spans="2:18" hidden="1">
      <c r="B47" t="s">
        <v>723</v>
      </c>
    </row>
    <row r="48" spans="2:18" hidden="1">
      <c r="B48" t="s">
        <v>762</v>
      </c>
      <c r="E48" s="4">
        <f>BS!E13</f>
        <v>119.086209</v>
      </c>
      <c r="F48" s="4">
        <f>BS!F13</f>
        <v>5.4498341000000003</v>
      </c>
      <c r="G48" s="4">
        <f>BS!G13</f>
        <v>4.4053262999999996</v>
      </c>
      <c r="H48" s="4">
        <f>BS!H13</f>
        <v>4.5855971000000002</v>
      </c>
      <c r="I48" s="4">
        <f>BS!I13</f>
        <v>4.9111279999999997</v>
      </c>
      <c r="J48" s="4">
        <f>BS!J13</f>
        <v>2.6876530000000001</v>
      </c>
      <c r="K48" s="4" t="e">
        <f ca="1">K50*K52</f>
        <v>#DIV/0!</v>
      </c>
      <c r="L48" s="4" t="e">
        <f t="shared" ref="L48:Q48" ca="1" si="42">L50*L52</f>
        <v>#DIV/0!</v>
      </c>
      <c r="M48" s="4" t="e">
        <f t="shared" ca="1" si="42"/>
        <v>#DIV/0!</v>
      </c>
      <c r="N48" s="4" t="e">
        <f t="shared" ca="1" si="42"/>
        <v>#DIV/0!</v>
      </c>
      <c r="O48" s="4" t="e">
        <f t="shared" ca="1" si="42"/>
        <v>#DIV/0!</v>
      </c>
      <c r="P48" s="4" t="e">
        <f t="shared" ca="1" si="42"/>
        <v>#DIV/0!</v>
      </c>
      <c r="Q48" s="4" t="e">
        <f t="shared" ca="1" si="42"/>
        <v>#DIV/0!</v>
      </c>
    </row>
    <row r="49" spans="2:17" hidden="1"/>
    <row r="50" spans="2:17" hidden="1">
      <c r="B50" t="s">
        <v>798</v>
      </c>
      <c r="E50" s="4">
        <f>BS!E29</f>
        <v>704.56579779999993</v>
      </c>
      <c r="F50" s="4">
        <f>BS!F29</f>
        <v>273.4180743</v>
      </c>
      <c r="G50" s="4">
        <f>BS!G29</f>
        <v>276.65398860000005</v>
      </c>
      <c r="H50" s="4">
        <f>BS!H29</f>
        <v>261.46689689999999</v>
      </c>
      <c r="I50" s="4">
        <f>BS!I29</f>
        <v>247.89297070000001</v>
      </c>
      <c r="J50" s="4">
        <f>BS!J29</f>
        <v>238.6914658</v>
      </c>
      <c r="K50" s="4" t="e">
        <f ca="1">BS!K29</f>
        <v>#DIV/0!</v>
      </c>
      <c r="L50" s="4" t="e">
        <f ca="1">BS!L29</f>
        <v>#DIV/0!</v>
      </c>
      <c r="M50" s="4" t="e">
        <f ca="1">BS!M29</f>
        <v>#DIV/0!</v>
      </c>
      <c r="N50" s="4" t="e">
        <f ca="1">BS!N29</f>
        <v>#DIV/0!</v>
      </c>
      <c r="O50" s="4" t="e">
        <f ca="1">BS!O29</f>
        <v>#DIV/0!</v>
      </c>
      <c r="P50" s="4" t="e">
        <f ca="1">BS!P29</f>
        <v>#DIV/0!</v>
      </c>
      <c r="Q50" s="4" t="e">
        <f ca="1">BS!Q29</f>
        <v>#DIV/0!</v>
      </c>
    </row>
    <row r="51" spans="2:17" hidden="1"/>
    <row r="52" spans="2:17" hidden="1">
      <c r="B52" t="s">
        <v>797</v>
      </c>
      <c r="E52" s="151">
        <f>E48/E50</f>
        <v>0.1690207066136982</v>
      </c>
      <c r="F52" s="151">
        <f t="shared" ref="F52:J52" si="43">F48/F50</f>
        <v>1.9932237888634709E-2</v>
      </c>
      <c r="G52" s="151">
        <f t="shared" si="43"/>
        <v>1.5923595832805566E-2</v>
      </c>
      <c r="H52" s="151">
        <f t="shared" si="43"/>
        <v>1.7537964286751744E-2</v>
      </c>
      <c r="I52" s="151">
        <f t="shared" si="43"/>
        <v>1.9811485521884543E-2</v>
      </c>
      <c r="J52" s="151">
        <f t="shared" si="43"/>
        <v>1.1259945934774179E-2</v>
      </c>
      <c r="K52" s="416">
        <v>0.02</v>
      </c>
      <c r="L52" s="118">
        <f>K52</f>
        <v>0.02</v>
      </c>
      <c r="M52" s="118">
        <f t="shared" ref="M52:Q52" si="44">L52</f>
        <v>0.02</v>
      </c>
      <c r="N52" s="118">
        <f t="shared" si="44"/>
        <v>0.02</v>
      </c>
      <c r="O52" s="118">
        <f t="shared" si="44"/>
        <v>0.02</v>
      </c>
      <c r="P52" s="118">
        <f t="shared" si="44"/>
        <v>0.02</v>
      </c>
      <c r="Q52" s="118">
        <f t="shared" si="44"/>
        <v>0.02</v>
      </c>
    </row>
    <row r="53" spans="2:17" hidden="1"/>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2:M43"/>
  <sheetViews>
    <sheetView topLeftCell="A22" workbookViewId="0">
      <selection activeCell="C31" sqref="C31"/>
    </sheetView>
  </sheetViews>
  <sheetFormatPr defaultRowHeight="14.4"/>
  <cols>
    <col min="1" max="1" width="4.33203125" customWidth="1"/>
    <col min="2" max="2" width="34.33203125" bestFit="1" customWidth="1"/>
    <col min="3" max="5" width="15.6640625" customWidth="1"/>
    <col min="6" max="6" width="19" customWidth="1"/>
    <col min="7" max="7" width="15.6640625" customWidth="1"/>
    <col min="8" max="8" width="13.109375" customWidth="1"/>
    <col min="9" max="9" width="15.6640625" customWidth="1"/>
    <col min="10" max="11" width="22.33203125" bestFit="1" customWidth="1"/>
  </cols>
  <sheetData>
    <row r="2" spans="1:13" ht="18">
      <c r="B2" s="459" t="s">
        <v>866</v>
      </c>
      <c r="C2" s="460"/>
      <c r="D2" s="460"/>
      <c r="E2" s="460"/>
      <c r="F2" s="460"/>
      <c r="G2" s="460"/>
      <c r="H2" s="460"/>
      <c r="I2" s="460"/>
    </row>
    <row r="3" spans="1:13">
      <c r="B3" s="836" t="s">
        <v>819</v>
      </c>
      <c r="C3" s="837"/>
      <c r="D3" s="837"/>
      <c r="E3" s="837"/>
      <c r="F3" s="837"/>
      <c r="G3" s="837"/>
      <c r="H3" s="837"/>
      <c r="I3" s="838"/>
      <c r="M3" s="405"/>
    </row>
    <row r="4" spans="1:13">
      <c r="B4" s="433" t="s">
        <v>207</v>
      </c>
      <c r="C4" s="485">
        <v>45382</v>
      </c>
      <c r="D4" s="485">
        <f t="shared" ref="D4:I4" si="0">EDATE(C4,12)</f>
        <v>45747</v>
      </c>
      <c r="E4" s="485">
        <f t="shared" si="0"/>
        <v>46112</v>
      </c>
      <c r="F4" s="485">
        <f t="shared" si="0"/>
        <v>46477</v>
      </c>
      <c r="G4" s="485">
        <f t="shared" si="0"/>
        <v>46843</v>
      </c>
      <c r="H4" s="485">
        <f t="shared" si="0"/>
        <v>47208</v>
      </c>
      <c r="I4" s="485">
        <f t="shared" si="0"/>
        <v>47573</v>
      </c>
      <c r="L4" s="411"/>
    </row>
    <row r="5" spans="1:13" ht="18" customHeight="1">
      <c r="B5" s="434" t="s">
        <v>676</v>
      </c>
      <c r="C5" s="132">
        <f>'Projection RK P&amp;L'!L22</f>
        <v>-77.676293951000019</v>
      </c>
      <c r="D5" s="132">
        <f>'Projection RK P&amp;L'!M22</f>
        <v>48.233072501652444</v>
      </c>
      <c r="E5" s="132">
        <f>'Projection RK P&amp;L'!N22</f>
        <v>45.885364604417717</v>
      </c>
      <c r="F5" s="132">
        <f>'Projection RK P&amp;L'!O22</f>
        <v>46.621882014727703</v>
      </c>
      <c r="G5" s="132">
        <f>'Projection RK P&amp;L'!P22</f>
        <v>47.422300375777581</v>
      </c>
      <c r="H5" s="132">
        <f>'Projection RK P&amp;L'!Q22</f>
        <v>48.195054728871924</v>
      </c>
      <c r="I5" s="132">
        <f>'Projection RK P&amp;L'!R22</f>
        <v>48.935255146107124</v>
      </c>
    </row>
    <row r="6" spans="1:13" ht="18" customHeight="1">
      <c r="B6" s="434" t="s">
        <v>716</v>
      </c>
      <c r="C6" s="132">
        <f>'Projection RK P&amp;L'!L26</f>
        <v>0</v>
      </c>
      <c r="D6" s="132">
        <f>'Projection RK P&amp;L'!M26</f>
        <v>10.289335888557584</v>
      </c>
      <c r="E6" s="132">
        <f>'Projection RK P&amp;L'!N26</f>
        <v>10.55251951381692</v>
      </c>
      <c r="F6" s="132">
        <f>'Projection RK P&amp;L'!O26</f>
        <v>10.800287690134679</v>
      </c>
      <c r="G6" s="132">
        <f>'Projection RK P&amp;L'!P26</f>
        <v>11.069386003809415</v>
      </c>
      <c r="H6" s="132">
        <f>'Projection RK P&amp;L'!Q26</f>
        <v>11.329250071628591</v>
      </c>
      <c r="I6" s="132">
        <f>'Projection RK P&amp;L'!R26</f>
        <v>11.578247635657986</v>
      </c>
    </row>
    <row r="7" spans="1:13" ht="18" customHeight="1" thickBot="1">
      <c r="B7" s="434" t="s">
        <v>820</v>
      </c>
      <c r="C7" s="132">
        <f>C5-C6</f>
        <v>-77.676293951000019</v>
      </c>
      <c r="D7" s="132">
        <f t="shared" ref="D7:I7" si="1">D5-D6</f>
        <v>37.943736613094856</v>
      </c>
      <c r="E7" s="132">
        <f t="shared" si="1"/>
        <v>35.332845090600799</v>
      </c>
      <c r="F7" s="132">
        <f t="shared" si="1"/>
        <v>35.821594324593022</v>
      </c>
      <c r="G7" s="132">
        <f t="shared" si="1"/>
        <v>36.352914371968168</v>
      </c>
      <c r="H7" s="132">
        <f t="shared" si="1"/>
        <v>36.865804657243331</v>
      </c>
      <c r="I7" s="132">
        <f t="shared" si="1"/>
        <v>37.357007510449137</v>
      </c>
    </row>
    <row r="8" spans="1:13" ht="18" customHeight="1" thickBot="1">
      <c r="A8" t="s">
        <v>717</v>
      </c>
      <c r="B8" s="435" t="s">
        <v>821</v>
      </c>
      <c r="C8" s="132">
        <f>'Depreciation Schedule'!E93/10^2</f>
        <v>77.696293951000001</v>
      </c>
      <c r="D8" s="132">
        <f>'Depreciation Schedule'!F93/10^2</f>
        <v>78.129066908552247</v>
      </c>
      <c r="E8" s="132">
        <f>'Depreciation Schedule'!G93/10^2</f>
        <v>81.319413643859818</v>
      </c>
      <c r="F8" s="132">
        <f>'Depreciation Schedule'!H93/10^2</f>
        <v>81.406485989933003</v>
      </c>
      <c r="G8" s="132">
        <f>'Depreciation Schedule'!I93/10^2</f>
        <v>81.406485989933003</v>
      </c>
      <c r="H8" s="132">
        <f>'Depreciation Schedule'!J93/10^2</f>
        <v>81.406485989933003</v>
      </c>
      <c r="I8" s="132">
        <f>'Depreciation Schedule'!K93/10^2</f>
        <v>81.406485989933003</v>
      </c>
    </row>
    <row r="9" spans="1:13" ht="18" customHeight="1" thickBot="1">
      <c r="A9" s="409" t="s">
        <v>718</v>
      </c>
      <c r="B9" s="436" t="s">
        <v>822</v>
      </c>
      <c r="C9" s="132">
        <f>'Working Capital Schedule'!E66</f>
        <v>10.136342712305719</v>
      </c>
      <c r="D9" s="132">
        <f>'Working Capital Schedule'!F66</f>
        <v>8.8195965350541314</v>
      </c>
      <c r="E9" s="132">
        <f>'Working Capital Schedule'!G66</f>
        <v>4.3767170898500751</v>
      </c>
      <c r="F9" s="132">
        <f>'Working Capital Schedule'!H66</f>
        <v>4.5994919897234467</v>
      </c>
      <c r="G9" s="132">
        <f>'Working Capital Schedule'!I66</f>
        <v>4.560938376510677</v>
      </c>
      <c r="H9" s="132">
        <f>'Working Capital Schedule'!J66</f>
        <v>5.3523044396089006</v>
      </c>
      <c r="I9" s="132">
        <f>'Working Capital Schedule'!K66</f>
        <v>5.3381901913408001</v>
      </c>
    </row>
    <row r="10" spans="1:13" ht="18" customHeight="1">
      <c r="A10" t="s">
        <v>140</v>
      </c>
      <c r="B10" s="437" t="s">
        <v>823</v>
      </c>
      <c r="C10" s="618">
        <f>'Depreciation Schedule'!E91</f>
        <v>8.6064516979887546</v>
      </c>
      <c r="D10" s="618">
        <f>'Depreciation Schedule'!F91</f>
        <v>114.55056940426957</v>
      </c>
      <c r="E10" s="618">
        <f>'Depreciation Schedule'!G91</f>
        <v>2.8766510112967443</v>
      </c>
      <c r="F10" s="618">
        <f>'Depreciation Schedule'!H91</f>
        <v>0</v>
      </c>
      <c r="G10" s="618">
        <f>'Depreciation Schedule'!I91</f>
        <v>0</v>
      </c>
      <c r="H10" s="618">
        <f>'Depreciation Schedule'!J91</f>
        <v>0</v>
      </c>
      <c r="I10" s="618">
        <f>'Depreciation Schedule'!K91</f>
        <v>0</v>
      </c>
    </row>
    <row r="11" spans="1:13" ht="18" customHeight="1">
      <c r="B11" s="124" t="s">
        <v>824</v>
      </c>
      <c r="C11" s="150">
        <f>C7+C8-C9-C10</f>
        <v>-18.72279441029449</v>
      </c>
      <c r="D11" s="150">
        <f>D7+D8-D9-D10</f>
        <v>-7.2973624176765952</v>
      </c>
      <c r="E11" s="150">
        <f t="shared" ref="E11:H11" si="2">E7+E8-E9-E10</f>
        <v>109.3988906333138</v>
      </c>
      <c r="F11" s="150">
        <f t="shared" si="2"/>
        <v>112.62858832480258</v>
      </c>
      <c r="G11" s="150">
        <f t="shared" si="2"/>
        <v>113.19846198539049</v>
      </c>
      <c r="H11" s="150">
        <f t="shared" si="2"/>
        <v>112.91998620756743</v>
      </c>
      <c r="I11" s="25">
        <f>'Projection RK P&amp;L'!Q22</f>
        <v>48.195054728871924</v>
      </c>
    </row>
    <row r="12" spans="1:13" ht="18" customHeight="1">
      <c r="B12" s="124" t="s">
        <v>865</v>
      </c>
      <c r="C12" s="150">
        <f>C11*(C4-C15)/366</f>
        <v>-5.1155175984411176</v>
      </c>
      <c r="D12" s="150">
        <f>D11</f>
        <v>-7.2973624176765952</v>
      </c>
      <c r="E12" s="150">
        <f t="shared" ref="E12:I12" si="3">E11</f>
        <v>109.3988906333138</v>
      </c>
      <c r="F12" s="150">
        <f t="shared" si="3"/>
        <v>112.62858832480258</v>
      </c>
      <c r="G12" s="150">
        <f t="shared" si="3"/>
        <v>113.19846198539049</v>
      </c>
      <c r="H12" s="150">
        <f t="shared" si="3"/>
        <v>112.91998620756743</v>
      </c>
      <c r="I12" s="150">
        <f t="shared" si="3"/>
        <v>48.195054728871924</v>
      </c>
    </row>
    <row r="13" spans="1:13">
      <c r="B13" s="384" t="s">
        <v>825</v>
      </c>
      <c r="C13" s="438">
        <f>WACC!E18</f>
        <v>0.14647893979451826</v>
      </c>
      <c r="D13" s="122"/>
      <c r="E13" s="122"/>
      <c r="F13" s="122"/>
      <c r="G13" s="122"/>
      <c r="H13" s="122"/>
      <c r="I13" s="122"/>
    </row>
    <row r="14" spans="1:13">
      <c r="B14" s="384" t="s">
        <v>826</v>
      </c>
      <c r="C14" s="438">
        <v>0.01</v>
      </c>
      <c r="D14" s="122"/>
      <c r="E14" s="122"/>
      <c r="F14" s="122"/>
      <c r="G14" s="122"/>
      <c r="H14" s="122"/>
      <c r="I14" s="122"/>
    </row>
    <row r="15" spans="1:13">
      <c r="B15" s="482" t="s">
        <v>834</v>
      </c>
      <c r="C15" s="483">
        <v>45282</v>
      </c>
      <c r="D15" s="122"/>
      <c r="E15" s="122"/>
      <c r="F15" s="122"/>
      <c r="G15" s="122"/>
      <c r="H15" s="122"/>
      <c r="I15" s="122"/>
    </row>
    <row r="16" spans="1:13">
      <c r="B16" s="384" t="s">
        <v>719</v>
      </c>
      <c r="C16" s="484">
        <f>(C4-C15)/366</f>
        <v>0.27322404371584702</v>
      </c>
      <c r="D16" s="132">
        <f>C16+1</f>
        <v>1.2732240437158471</v>
      </c>
      <c r="E16" s="132">
        <f t="shared" ref="E16:I16" si="4">D16+1</f>
        <v>2.2732240437158469</v>
      </c>
      <c r="F16" s="132">
        <f t="shared" si="4"/>
        <v>3.2732240437158469</v>
      </c>
      <c r="G16" s="132">
        <f t="shared" si="4"/>
        <v>4.2732240437158469</v>
      </c>
      <c r="H16" s="132">
        <f t="shared" si="4"/>
        <v>5.2732240437158469</v>
      </c>
      <c r="I16" s="132">
        <f t="shared" si="4"/>
        <v>6.2732240437158469</v>
      </c>
    </row>
    <row r="17" spans="2:13">
      <c r="B17" s="384" t="s">
        <v>817</v>
      </c>
      <c r="C17" s="132">
        <f t="shared" ref="C17:I17" si="5">1/(1+$C$13)^C16</f>
        <v>0.96334036746406171</v>
      </c>
      <c r="D17" s="132">
        <f t="shared" si="5"/>
        <v>0.84025997689649634</v>
      </c>
      <c r="E17" s="132">
        <f t="shared" si="5"/>
        <v>0.73290485130681504</v>
      </c>
      <c r="F17" s="132">
        <f t="shared" si="5"/>
        <v>0.63926586513501282</v>
      </c>
      <c r="G17" s="132">
        <f t="shared" si="5"/>
        <v>0.55759058709755938</v>
      </c>
      <c r="H17" s="132">
        <f t="shared" si="5"/>
        <v>0.48635048385406493</v>
      </c>
      <c r="I17" s="132">
        <f t="shared" si="5"/>
        <v>0.42421231387053021</v>
      </c>
    </row>
    <row r="18" spans="2:13">
      <c r="B18" s="384" t="s">
        <v>828</v>
      </c>
      <c r="C18" s="132">
        <f>C12*C17</f>
        <v>-4.9279846030511409</v>
      </c>
      <c r="D18" s="132">
        <f>D12*D17</f>
        <v>-6.1316815764822969</v>
      </c>
      <c r="E18" s="132">
        <f t="shared" ref="E18:I18" si="6">E12*E17</f>
        <v>80.178977672739364</v>
      </c>
      <c r="F18" s="132">
        <f t="shared" si="6"/>
        <v>71.999611954390119</v>
      </c>
      <c r="G18" s="132">
        <f t="shared" si="6"/>
        <v>63.118396876974643</v>
      </c>
      <c r="H18" s="132">
        <f t="shared" si="6"/>
        <v>54.918689928844756</v>
      </c>
      <c r="I18" s="132">
        <f t="shared" si="6"/>
        <v>20.444935683651597</v>
      </c>
    </row>
    <row r="19" spans="2:13">
      <c r="B19" s="384" t="s">
        <v>827</v>
      </c>
      <c r="C19" s="128"/>
      <c r="D19" s="122"/>
      <c r="E19" s="122"/>
      <c r="F19" s="122"/>
      <c r="G19" s="122"/>
      <c r="I19" s="486">
        <f>I12*(1+C14)/(C13-C14)</f>
        <v>356.66312582328385</v>
      </c>
    </row>
    <row r="20" spans="2:13">
      <c r="B20" s="384" t="s">
        <v>720</v>
      </c>
      <c r="C20" s="128"/>
      <c r="D20" s="122"/>
      <c r="E20" s="122"/>
      <c r="F20" s="122"/>
      <c r="G20" s="122"/>
      <c r="H20" s="132"/>
      <c r="I20" s="132">
        <f>I19*I17</f>
        <v>151.30088987779129</v>
      </c>
    </row>
    <row r="21" spans="2:13">
      <c r="B21" s="384" t="s">
        <v>721</v>
      </c>
      <c r="C21" s="132">
        <f t="shared" ref="C21:I21" si="7">C18+C20</f>
        <v>-4.9279846030511409</v>
      </c>
      <c r="D21" s="132">
        <f t="shared" si="7"/>
        <v>-6.1316815764822969</v>
      </c>
      <c r="E21" s="132">
        <f t="shared" si="7"/>
        <v>80.178977672739364</v>
      </c>
      <c r="F21" s="132">
        <f t="shared" si="7"/>
        <v>71.999611954390119</v>
      </c>
      <c r="G21" s="132">
        <f t="shared" si="7"/>
        <v>63.118396876974643</v>
      </c>
      <c r="H21" s="132">
        <f t="shared" si="7"/>
        <v>54.918689928844756</v>
      </c>
      <c r="I21" s="132">
        <f t="shared" si="7"/>
        <v>171.7458255614429</v>
      </c>
    </row>
    <row r="22" spans="2:13">
      <c r="B22" s="842" t="s">
        <v>829</v>
      </c>
      <c r="C22" s="842"/>
      <c r="D22" s="842"/>
      <c r="E22" s="842"/>
      <c r="F22" s="839">
        <f>SUM(C21:I21)</f>
        <v>430.90183581485837</v>
      </c>
      <c r="G22" s="840"/>
      <c r="H22" s="841"/>
      <c r="I22" s="122"/>
    </row>
    <row r="25" spans="2:13" ht="18">
      <c r="B25" s="441" t="s">
        <v>830</v>
      </c>
      <c r="C25" s="442">
        <f>F22</f>
        <v>430.90183581485837</v>
      </c>
      <c r="D25" s="443" t="s">
        <v>831</v>
      </c>
      <c r="E25" s="444"/>
      <c r="F25" s="441" t="s">
        <v>873</v>
      </c>
      <c r="G25" s="444"/>
      <c r="H25" s="444"/>
      <c r="I25" s="445" t="s">
        <v>831</v>
      </c>
      <c r="J25" s="444"/>
      <c r="K25" s="444"/>
      <c r="L25" s="444"/>
      <c r="M25" s="444"/>
    </row>
    <row r="26" spans="2:13">
      <c r="B26" s="488" t="s">
        <v>867</v>
      </c>
      <c r="C26" s="484">
        <f>WACC!C14</f>
        <v>436.41999999999996</v>
      </c>
      <c r="D26" s="489"/>
      <c r="E26" s="489"/>
      <c r="F26" s="489"/>
      <c r="G26" s="489"/>
      <c r="H26" s="489"/>
      <c r="I26" s="489"/>
    </row>
    <row r="27" spans="2:13">
      <c r="B27" s="488" t="s">
        <v>868</v>
      </c>
      <c r="C27" s="484">
        <v>13.68</v>
      </c>
      <c r="D27" s="484"/>
      <c r="E27" s="484"/>
      <c r="F27" s="484"/>
      <c r="G27" s="484"/>
      <c r="H27" s="484"/>
      <c r="I27" s="484"/>
    </row>
    <row r="28" spans="2:13" ht="15.6">
      <c r="B28" s="490" t="s">
        <v>869</v>
      </c>
      <c r="C28" s="491">
        <f>C25-C26+C27</f>
        <v>8.1618358148584136</v>
      </c>
      <c r="D28" s="492" t="s">
        <v>870</v>
      </c>
      <c r="E28" s="493"/>
      <c r="F28" s="493"/>
      <c r="G28" s="493"/>
      <c r="H28" s="493"/>
      <c r="I28" s="493"/>
    </row>
    <row r="29" spans="2:13">
      <c r="B29" s="494"/>
      <c r="C29" s="494"/>
      <c r="D29" s="494"/>
      <c r="E29" s="495"/>
      <c r="F29" s="495"/>
      <c r="G29" s="495"/>
      <c r="H29" s="489"/>
      <c r="I29" s="489"/>
    </row>
    <row r="30" spans="2:13">
      <c r="B30" s="497" t="s">
        <v>871</v>
      </c>
      <c r="C30" s="498">
        <v>193256578</v>
      </c>
      <c r="D30" s="494"/>
      <c r="E30" s="495"/>
      <c r="F30" s="495"/>
      <c r="G30" s="495"/>
      <c r="H30" s="489"/>
      <c r="I30" s="489"/>
    </row>
    <row r="31" spans="2:13">
      <c r="B31" s="497" t="s">
        <v>872</v>
      </c>
      <c r="C31" s="497">
        <f>(C28*10^7)/C30</f>
        <v>0.42233159146895449</v>
      </c>
      <c r="D31" s="494"/>
      <c r="E31" s="495"/>
      <c r="F31" s="495"/>
      <c r="G31" s="495"/>
      <c r="H31" s="489"/>
      <c r="I31" s="489"/>
    </row>
    <row r="33" spans="2:13" ht="15.6">
      <c r="B33" s="446" t="s">
        <v>832</v>
      </c>
      <c r="C33" s="447"/>
      <c r="D33" s="447"/>
      <c r="E33" s="447"/>
      <c r="F33" s="447"/>
      <c r="G33" s="447"/>
      <c r="H33" s="447"/>
      <c r="I33" s="447"/>
      <c r="J33" s="447"/>
      <c r="K33" s="447"/>
      <c r="L33" s="447"/>
      <c r="M33" s="447"/>
    </row>
    <row r="35" spans="2:13">
      <c r="B35" s="843" t="s">
        <v>833</v>
      </c>
      <c r="C35" s="843"/>
      <c r="F35" s="122"/>
      <c r="G35" s="122"/>
      <c r="H35" s="848" t="s">
        <v>843</v>
      </c>
      <c r="I35" s="849"/>
      <c r="J35" s="849"/>
      <c r="K35" s="850"/>
    </row>
    <row r="36" spans="2:13">
      <c r="B36" s="130" t="s">
        <v>834</v>
      </c>
      <c r="C36" s="448">
        <v>44806</v>
      </c>
      <c r="F36" s="122"/>
      <c r="G36" s="458">
        <f>C25</f>
        <v>430.90183581485837</v>
      </c>
      <c r="H36" s="457">
        <f>J36-1%</f>
        <v>9.524272651290315E-2</v>
      </c>
      <c r="I36" s="457"/>
      <c r="J36" s="457">
        <v>0.10524272651290315</v>
      </c>
      <c r="K36" s="457">
        <f>J36+1%</f>
        <v>0.11524272651290314</v>
      </c>
    </row>
    <row r="37" spans="2:13">
      <c r="B37" s="130" t="s">
        <v>835</v>
      </c>
      <c r="C37" s="449">
        <f>E42</f>
        <v>0.12872229365368748</v>
      </c>
      <c r="F37" s="845" t="s">
        <v>842</v>
      </c>
      <c r="G37" s="457">
        <f>G38-0.5%</f>
        <v>4.0800000000000003E-2</v>
      </c>
      <c r="H37" s="381">
        <f t="dataTable" ref="H37:K39" dt2D="1" dtr="1" r1="C13" r2="C14"/>
        <v>855.63984384683999</v>
      </c>
      <c r="I37" s="381">
        <v>-745.5182942589629</v>
      </c>
      <c r="J37" s="381">
        <v>738.57625414044014</v>
      </c>
      <c r="K37" s="381">
        <v>651.6712009506407</v>
      </c>
    </row>
    <row r="38" spans="2:13">
      <c r="B38" s="130" t="s">
        <v>836</v>
      </c>
      <c r="C38" s="450">
        <v>0.01</v>
      </c>
      <c r="F38" s="846"/>
      <c r="G38" s="457">
        <v>4.58E-2</v>
      </c>
      <c r="H38" s="381">
        <v>911.04920332025983</v>
      </c>
      <c r="I38" s="381">
        <v>-616.56072423779301</v>
      </c>
      <c r="J38" s="381">
        <v>775.69026129913198</v>
      </c>
      <c r="K38" s="381">
        <v>677.89731772101322</v>
      </c>
    </row>
    <row r="39" spans="2:13">
      <c r="F39" s="847"/>
      <c r="G39" s="457">
        <f>G38+0.5%</f>
        <v>5.0799999999999998E-2</v>
      </c>
      <c r="H39" s="381">
        <v>978.9261505906012</v>
      </c>
      <c r="I39" s="381">
        <v>-512.98850264598673</v>
      </c>
      <c r="J39" s="381">
        <v>819.62134202042262</v>
      </c>
      <c r="K39" s="381">
        <v>708.19311282275203</v>
      </c>
    </row>
    <row r="40" spans="2:13">
      <c r="B40" s="126" t="s">
        <v>837</v>
      </c>
      <c r="C40" s="126" t="s">
        <v>835</v>
      </c>
      <c r="D40" s="126" t="s">
        <v>838</v>
      </c>
    </row>
    <row r="41" spans="2:13" ht="15.6">
      <c r="B41" s="130" t="s">
        <v>839</v>
      </c>
      <c r="C41" s="451">
        <f>C42-C38</f>
        <v>0.13647893979451825</v>
      </c>
      <c r="D41" s="452">
        <v>178.87</v>
      </c>
      <c r="G41" s="844"/>
      <c r="H41" s="844"/>
    </row>
    <row r="42" spans="2:13">
      <c r="B42" s="130" t="s">
        <v>840</v>
      </c>
      <c r="C42" s="453">
        <f>WACC!E18</f>
        <v>0.14647893979451826</v>
      </c>
      <c r="D42" s="454">
        <v>152.34</v>
      </c>
      <c r="E42" s="455">
        <v>0.12872229365368748</v>
      </c>
    </row>
    <row r="43" spans="2:13">
      <c r="B43" s="130" t="s">
        <v>841</v>
      </c>
      <c r="C43" s="451">
        <f>C42+C38</f>
        <v>0.15647893979451827</v>
      </c>
      <c r="D43" s="452">
        <v>132.44</v>
      </c>
    </row>
  </sheetData>
  <mergeCells count="7">
    <mergeCell ref="B3:I3"/>
    <mergeCell ref="F22:H22"/>
    <mergeCell ref="B22:E22"/>
    <mergeCell ref="B35:C35"/>
    <mergeCell ref="G41:H41"/>
    <mergeCell ref="F37:F39"/>
    <mergeCell ref="H35:K35"/>
  </mergeCells>
  <dataValidations count="1">
    <dataValidation type="list" allowBlank="1" showInputMessage="1" showErrorMessage="1" sqref="E42" xr:uid="{00000000-0002-0000-0C00-000000000000}">
      <formula1>$C$41:$C$43</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249977111117893"/>
  </sheetPr>
  <dimension ref="A2:S84"/>
  <sheetViews>
    <sheetView showGridLines="0" topLeftCell="A52" workbookViewId="0">
      <selection activeCell="J63" sqref="J63"/>
    </sheetView>
  </sheetViews>
  <sheetFormatPr defaultRowHeight="14.4"/>
  <cols>
    <col min="1" max="1" width="17.44140625" customWidth="1"/>
    <col min="2" max="2" width="28.6640625" customWidth="1"/>
    <col min="3" max="3" width="18.88671875" customWidth="1"/>
    <col min="4" max="4" width="4.109375" customWidth="1"/>
    <col min="5" max="5" width="37" customWidth="1"/>
    <col min="6" max="6" width="14.6640625" hidden="1" customWidth="1"/>
    <col min="7" max="7" width="3.88671875" customWidth="1"/>
    <col min="8" max="8" width="25" customWidth="1"/>
    <col min="10" max="10" width="20.44140625" customWidth="1"/>
    <col min="14" max="14" width="14.6640625" bestFit="1" customWidth="1"/>
    <col min="15" max="15" width="15.33203125" customWidth="1"/>
    <col min="16" max="16" width="17.33203125" customWidth="1"/>
    <col min="17" max="17" width="14.88671875" customWidth="1"/>
    <col min="18" max="18" width="14.44140625" bestFit="1" customWidth="1"/>
    <col min="19" max="19" width="18.33203125" customWidth="1"/>
    <col min="20" max="20" width="21.6640625" bestFit="1" customWidth="1"/>
  </cols>
  <sheetData>
    <row r="2" spans="1:19" ht="17.25" customHeight="1">
      <c r="B2" s="20" t="s">
        <v>541</v>
      </c>
      <c r="C2" s="19"/>
      <c r="D2" s="19"/>
      <c r="E2" s="19"/>
      <c r="F2" s="19"/>
      <c r="G2" s="19"/>
      <c r="H2" s="19"/>
      <c r="I2" s="19"/>
      <c r="J2" s="19"/>
      <c r="N2" s="125" t="s">
        <v>664</v>
      </c>
      <c r="O2" s="380">
        <v>2018</v>
      </c>
      <c r="P2" s="380">
        <v>2019</v>
      </c>
      <c r="Q2" s="380">
        <f>P2+1</f>
        <v>2020</v>
      </c>
      <c r="R2" s="380">
        <f>Q2+1</f>
        <v>2021</v>
      </c>
      <c r="S2" s="380">
        <f>R2+1</f>
        <v>2022</v>
      </c>
    </row>
    <row r="3" spans="1:19" ht="14.4" customHeight="1">
      <c r="N3" s="125" t="s">
        <v>663</v>
      </c>
      <c r="O3" s="132">
        <f>2336424162/10^7</f>
        <v>233.64241620000001</v>
      </c>
      <c r="P3" s="132">
        <f>2244649563/10^7</f>
        <v>224.46495630000001</v>
      </c>
      <c r="Q3" s="132">
        <f>2155373107/10^7</f>
        <v>215.53731070000001</v>
      </c>
      <c r="R3" s="132">
        <f>2070425726/10^7</f>
        <v>207.0425726</v>
      </c>
      <c r="S3" s="132">
        <f>1985421948.72343/10^7</f>
        <v>198.542194872343</v>
      </c>
    </row>
    <row r="4" spans="1:19" ht="18" customHeight="1">
      <c r="B4" s="2" t="s">
        <v>55</v>
      </c>
      <c r="C4" s="1"/>
      <c r="D4" s="1"/>
      <c r="E4" s="1"/>
      <c r="F4" s="1"/>
      <c r="G4" s="1"/>
      <c r="H4" s="1"/>
      <c r="I4" s="1"/>
      <c r="J4" s="1"/>
      <c r="N4" s="125" t="s">
        <v>665</v>
      </c>
      <c r="O4" s="122"/>
      <c r="P4" s="404">
        <f>P3/O3-1</f>
        <v>-3.9279939187685908E-2</v>
      </c>
      <c r="Q4" s="404">
        <f>Q3/P3-1</f>
        <v>-3.9773003978706201E-2</v>
      </c>
      <c r="R4" s="404">
        <f>R3/Q3-1</f>
        <v>-3.9411914681554028E-2</v>
      </c>
      <c r="S4" s="404">
        <f>S3/R3-1</f>
        <v>-4.105618289471058E-2</v>
      </c>
    </row>
    <row r="5" spans="1:19" ht="15" customHeight="1">
      <c r="N5" s="856" t="s">
        <v>666</v>
      </c>
      <c r="O5" s="857"/>
      <c r="P5" s="856" t="s">
        <v>670</v>
      </c>
      <c r="Q5" s="857"/>
      <c r="R5" s="851" t="s">
        <v>158</v>
      </c>
      <c r="S5" s="852"/>
    </row>
    <row r="6" spans="1:19" ht="18" customHeight="1">
      <c r="B6" s="2" t="s">
        <v>218</v>
      </c>
      <c r="C6" s="2"/>
      <c r="D6" s="2"/>
      <c r="E6" s="14" t="s">
        <v>18</v>
      </c>
      <c r="F6" s="2" t="s">
        <v>205</v>
      </c>
      <c r="G6" s="2"/>
      <c r="H6" s="14" t="s">
        <v>1</v>
      </c>
      <c r="I6" s="2"/>
      <c r="J6" s="13" t="s">
        <v>16</v>
      </c>
      <c r="N6" s="858">
        <f>P12</f>
        <v>3.9880260185664179E-2</v>
      </c>
      <c r="O6" s="859"/>
      <c r="P6" s="858">
        <f>Q12</f>
        <v>3.3233550154720148E-3</v>
      </c>
      <c r="Q6" s="859"/>
      <c r="R6" s="853">
        <f>S12</f>
        <v>195.24306387678388</v>
      </c>
      <c r="S6" s="854"/>
    </row>
    <row r="7" spans="1:19" ht="15" customHeight="1">
      <c r="E7" s="21"/>
    </row>
    <row r="8" spans="1:19" ht="18.75" customHeight="1">
      <c r="B8" s="9" t="s">
        <v>11</v>
      </c>
      <c r="E8" s="21"/>
      <c r="K8" s="370"/>
      <c r="L8" s="370"/>
      <c r="M8" s="370"/>
      <c r="N8" s="122" t="s">
        <v>664</v>
      </c>
      <c r="O8" s="122">
        <v>2018</v>
      </c>
      <c r="P8" s="122">
        <f>O8+1</f>
        <v>2019</v>
      </c>
      <c r="Q8" s="122">
        <f t="shared" ref="Q8:S8" si="0">P8+1</f>
        <v>2020</v>
      </c>
      <c r="R8" s="122">
        <f t="shared" si="0"/>
        <v>2021</v>
      </c>
      <c r="S8" s="122">
        <f t="shared" si="0"/>
        <v>2022</v>
      </c>
    </row>
    <row r="9" spans="1:19" ht="20.25" customHeight="1">
      <c r="B9" s="23" t="str">
        <f>UPPER('[354]NF Balancesheet'!$C$9)</f>
        <v>(A) PROPERTY, PLANT AND EQUIPMENT</v>
      </c>
      <c r="E9" s="21"/>
      <c r="L9" s="370"/>
      <c r="M9" s="370"/>
      <c r="N9" s="122" t="s">
        <v>663</v>
      </c>
      <c r="O9" s="132">
        <f>2336424162/10^7</f>
        <v>233.64241620000001</v>
      </c>
      <c r="P9" s="132">
        <f>2244649563/10^7</f>
        <v>224.46495630000001</v>
      </c>
      <c r="Q9" s="132">
        <f>2155373107/10^7</f>
        <v>215.53731070000001</v>
      </c>
      <c r="R9" s="132">
        <f>2070425726/10^7</f>
        <v>207.0425726</v>
      </c>
      <c r="S9" s="132">
        <f>1985421948.72343/10^7</f>
        <v>198.542194872343</v>
      </c>
    </row>
    <row r="10" spans="1:19" ht="18">
      <c r="B10" s="7" t="s">
        <v>34</v>
      </c>
      <c r="E10" s="6">
        <f>141796580/10^7</f>
        <v>14.179658</v>
      </c>
      <c r="F10" s="6">
        <f>101945.77*10^5/10^7</f>
        <v>1019.4577</v>
      </c>
      <c r="H10" s="5"/>
      <c r="J10" s="27"/>
      <c r="K10" s="371"/>
      <c r="L10" s="371"/>
      <c r="M10" s="371"/>
      <c r="N10" s="122" t="s">
        <v>665</v>
      </c>
      <c r="O10" s="122"/>
      <c r="P10" s="373">
        <f>P9/O9-1</f>
        <v>-3.9279939187685908E-2</v>
      </c>
      <c r="Q10" s="373">
        <f>Q9/P9-1</f>
        <v>-3.9773003978706201E-2</v>
      </c>
      <c r="R10" s="373">
        <f>R9/Q9-1</f>
        <v>-3.9411914681554028E-2</v>
      </c>
      <c r="S10" s="373">
        <f>S9/R9-1</f>
        <v>-4.105618289471058E-2</v>
      </c>
    </row>
    <row r="11" spans="1:19" ht="18">
      <c r="B11" s="7" t="s">
        <v>27</v>
      </c>
      <c r="E11" s="6">
        <f>1271937924/10^7</f>
        <v>127.19379240000001</v>
      </c>
      <c r="F11" s="6">
        <f>7540.206*10^5/10^7</f>
        <v>75.402060000000006</v>
      </c>
      <c r="H11" s="5"/>
      <c r="J11" s="27"/>
      <c r="K11" s="372"/>
      <c r="L11" s="372"/>
      <c r="M11" s="372"/>
      <c r="N11" s="374"/>
      <c r="P11" s="122" t="s">
        <v>666</v>
      </c>
      <c r="Q11" s="122" t="s">
        <v>670</v>
      </c>
      <c r="R11" s="122" t="s">
        <v>667</v>
      </c>
      <c r="S11" s="77" t="s">
        <v>158</v>
      </c>
    </row>
    <row r="12" spans="1:19">
      <c r="A12" s="7"/>
      <c r="B12" s="7" t="s">
        <v>29</v>
      </c>
      <c r="E12" s="6">
        <f>108054961.6525/10^7</f>
        <v>10.80549616525</v>
      </c>
      <c r="F12" s="6">
        <f>100719.927*10^5/10^7</f>
        <v>1007.19927</v>
      </c>
      <c r="H12" s="5"/>
      <c r="J12" s="27"/>
      <c r="N12" s="122"/>
      <c r="O12" s="122"/>
      <c r="P12" s="373">
        <f>-AVERAGE(P10:S10)</f>
        <v>3.9880260185664179E-2</v>
      </c>
      <c r="Q12" s="373">
        <f>P12/12</f>
        <v>3.3233550154720148E-3</v>
      </c>
      <c r="R12" s="373">
        <f>Q12*5</f>
        <v>1.6616775077360074E-2</v>
      </c>
      <c r="S12" s="132">
        <f>S9-S9*R12</f>
        <v>195.24306387678388</v>
      </c>
    </row>
    <row r="13" spans="1:19">
      <c r="B13" s="7" t="s">
        <v>543</v>
      </c>
      <c r="E13" s="6">
        <f>8021368.197/10^7</f>
        <v>0.80213681969999995</v>
      </c>
      <c r="F13" s="6">
        <f>26.37*10^5/10^7</f>
        <v>0.26369999999999999</v>
      </c>
      <c r="H13" s="5"/>
      <c r="J13" s="27"/>
    </row>
    <row r="14" spans="1:19">
      <c r="B14" s="7" t="s">
        <v>544</v>
      </c>
      <c r="E14" s="6">
        <f>69986405.0225/10^7</f>
        <v>6.9986405022499998</v>
      </c>
      <c r="F14" s="6">
        <f>247.88*10^5/10^7</f>
        <v>2.4788000000000001</v>
      </c>
      <c r="H14" s="5"/>
      <c r="J14" s="27"/>
    </row>
    <row r="15" spans="1:19">
      <c r="B15" s="7" t="s">
        <v>31</v>
      </c>
      <c r="E15" s="6" t="s">
        <v>548</v>
      </c>
      <c r="F15" s="6">
        <f>23.91*10^5/10^7</f>
        <v>0.23910000000000001</v>
      </c>
      <c r="H15" s="5"/>
      <c r="J15" s="27"/>
    </row>
    <row r="16" spans="1:19">
      <c r="B16" s="7" t="s">
        <v>168</v>
      </c>
      <c r="E16" s="6">
        <f>372275913.91375/10^7</f>
        <v>37.227591391375</v>
      </c>
      <c r="F16" s="6">
        <f>68.07*10^5/10^7</f>
        <v>0.68069999999999986</v>
      </c>
      <c r="H16" s="5"/>
      <c r="J16" s="27"/>
    </row>
    <row r="17" spans="1:12">
      <c r="B17" s="7" t="s">
        <v>545</v>
      </c>
      <c r="E17" s="6" t="s">
        <v>548</v>
      </c>
      <c r="F17" s="6"/>
      <c r="H17" s="5"/>
      <c r="J17" s="27"/>
    </row>
    <row r="18" spans="1:12">
      <c r="B18" s="7" t="s">
        <v>546</v>
      </c>
      <c r="E18" s="6">
        <f>13348795.38375/10^7</f>
        <v>1.3348795383749998</v>
      </c>
      <c r="F18" s="6">
        <f>46.63*10^5/10^7</f>
        <v>0.46629999999999999</v>
      </c>
      <c r="H18" s="5"/>
      <c r="J18" s="27"/>
    </row>
    <row r="19" spans="1:12" ht="18.75" customHeight="1">
      <c r="B19" s="18" t="s">
        <v>12</v>
      </c>
      <c r="C19" s="18"/>
      <c r="D19" s="18"/>
      <c r="E19" s="11">
        <f>SUM(E10:E18)</f>
        <v>198.54219481694997</v>
      </c>
      <c r="F19" s="11">
        <f>SUM(F10:F18)</f>
        <v>2106.1876299999994</v>
      </c>
      <c r="G19" s="22"/>
      <c r="H19" s="11">
        <f>R6</f>
        <v>195.24306387678388</v>
      </c>
      <c r="I19" s="11"/>
      <c r="J19" s="11"/>
      <c r="L19" s="118"/>
    </row>
    <row r="20" spans="1:12">
      <c r="E20" s="21"/>
      <c r="F20" s="21"/>
    </row>
    <row r="21" spans="1:12">
      <c r="B21" s="23" t="s">
        <v>542</v>
      </c>
      <c r="E21" s="21"/>
      <c r="F21" s="21"/>
    </row>
    <row r="22" spans="1:12">
      <c r="E22" s="21"/>
      <c r="F22" s="21"/>
    </row>
    <row r="23" spans="1:12">
      <c r="B23" s="7" t="s">
        <v>549</v>
      </c>
      <c r="C23" s="7"/>
      <c r="E23" s="5"/>
      <c r="F23" s="5">
        <f>F38</f>
        <v>0.23734472400000001</v>
      </c>
      <c r="H23" s="6"/>
    </row>
    <row r="24" spans="1:12">
      <c r="B24" s="7" t="s">
        <v>560</v>
      </c>
      <c r="C24" s="7"/>
      <c r="E24" s="5"/>
      <c r="F24" s="5"/>
    </row>
    <row r="25" spans="1:12">
      <c r="B25" s="7" t="s">
        <v>559</v>
      </c>
      <c r="C25" s="7"/>
      <c r="F25" s="5"/>
    </row>
    <row r="26" spans="1:12">
      <c r="A26" s="364"/>
      <c r="B26" s="7" t="s">
        <v>554</v>
      </c>
      <c r="C26" s="7"/>
      <c r="E26" s="5">
        <f>70369750/10^7</f>
        <v>7.036975</v>
      </c>
      <c r="F26" s="5">
        <f>0.669*10^5/10^7</f>
        <v>6.6899999999999998E-3</v>
      </c>
      <c r="H26" s="119">
        <f>E26*J26</f>
        <v>3.5184875</v>
      </c>
      <c r="J26" s="120">
        <v>0.5</v>
      </c>
      <c r="L26" s="118"/>
    </row>
    <row r="27" spans="1:12">
      <c r="A27" s="364"/>
      <c r="B27" s="7" t="s">
        <v>555</v>
      </c>
      <c r="C27" s="7"/>
      <c r="E27" s="5">
        <f>40000000/10^7</f>
        <v>4</v>
      </c>
      <c r="F27" s="5">
        <f>7.843*10^5/10^7</f>
        <v>7.843E-2</v>
      </c>
      <c r="H27" s="6">
        <v>0</v>
      </c>
      <c r="J27" s="6"/>
    </row>
    <row r="28" spans="1:12">
      <c r="A28" s="364"/>
      <c r="B28" s="7" t="s">
        <v>556</v>
      </c>
      <c r="E28" s="5">
        <f>46692670/10^7</f>
        <v>4.6692669999999996</v>
      </c>
      <c r="F28" s="5">
        <f>5.2224724*10^5/10^7</f>
        <v>5.2224724E-2</v>
      </c>
      <c r="H28" s="6">
        <v>0</v>
      </c>
      <c r="J28" s="6"/>
    </row>
    <row r="29" spans="1:12">
      <c r="A29" s="364"/>
      <c r="B29" s="7" t="s">
        <v>557</v>
      </c>
      <c r="C29" s="3"/>
      <c r="D29" s="3"/>
      <c r="E29" s="5">
        <f>100000/10^7</f>
        <v>0.01</v>
      </c>
      <c r="F29" s="8">
        <f>SUM(F26:F28)</f>
        <v>0.137344724</v>
      </c>
      <c r="G29" s="3"/>
      <c r="H29" s="6">
        <v>0</v>
      </c>
      <c r="I29" s="3"/>
      <c r="J29" s="6"/>
    </row>
    <row r="30" spans="1:12">
      <c r="A30" s="364"/>
      <c r="B30" s="7" t="s">
        <v>558</v>
      </c>
      <c r="E30" s="5">
        <f>31800000/10^7</f>
        <v>3.18</v>
      </c>
      <c r="F30" s="5">
        <f>10*10^5/10^7</f>
        <v>0.1</v>
      </c>
      <c r="H30" s="6">
        <v>0</v>
      </c>
      <c r="J30" s="6"/>
    </row>
    <row r="31" spans="1:12">
      <c r="A31" s="364"/>
      <c r="B31" s="7" t="s">
        <v>19</v>
      </c>
      <c r="E31" s="8">
        <f>SUM(E26:E30)</f>
        <v>18.896242000000001</v>
      </c>
      <c r="F31" s="5"/>
      <c r="H31" s="8">
        <f>SUM(H26:H30)</f>
        <v>3.5184875</v>
      </c>
      <c r="J31" s="8"/>
    </row>
    <row r="32" spans="1:12">
      <c r="A32" s="364"/>
      <c r="B32" s="7" t="s">
        <v>551</v>
      </c>
      <c r="E32" s="5"/>
      <c r="F32" s="5"/>
      <c r="H32" s="15"/>
      <c r="J32" s="120"/>
    </row>
    <row r="33" spans="1:10">
      <c r="A33" s="364"/>
      <c r="B33" s="7" t="s">
        <v>550</v>
      </c>
      <c r="E33" s="5"/>
      <c r="F33" s="5"/>
      <c r="H33" s="15"/>
      <c r="J33" s="120"/>
    </row>
    <row r="34" spans="1:10">
      <c r="A34" s="364"/>
      <c r="B34" s="7" t="s">
        <v>552</v>
      </c>
      <c r="E34" s="5"/>
      <c r="F34" s="5"/>
      <c r="H34" s="15"/>
      <c r="J34" s="120"/>
    </row>
    <row r="35" spans="1:10">
      <c r="A35" s="364"/>
      <c r="B35" s="7" t="s">
        <v>553</v>
      </c>
      <c r="E35" s="5"/>
      <c r="F35" s="5"/>
      <c r="H35" s="15"/>
      <c r="J35" s="120"/>
    </row>
    <row r="36" spans="1:10" ht="15">
      <c r="A36" s="364"/>
      <c r="B36" s="365"/>
      <c r="C36" s="4">
        <f>8012244/10^7</f>
        <v>0.80122439999999995</v>
      </c>
      <c r="E36" s="5"/>
      <c r="F36" s="5"/>
      <c r="H36" s="15"/>
      <c r="J36" s="120"/>
    </row>
    <row r="37" spans="1:10">
      <c r="A37" s="364"/>
      <c r="B37" s="117"/>
      <c r="C37" s="4">
        <f>79915540/10^7</f>
        <v>7.9915539999999998</v>
      </c>
      <c r="E37" s="5"/>
      <c r="F37" s="5">
        <f>F30</f>
        <v>0.1</v>
      </c>
      <c r="H37" s="5"/>
    </row>
    <row r="38" spans="1:10">
      <c r="B38" s="855" t="s">
        <v>13</v>
      </c>
      <c r="C38" s="855"/>
      <c r="D38" s="855"/>
      <c r="E38" s="11">
        <f>E31</f>
        <v>18.896242000000001</v>
      </c>
      <c r="F38" s="11">
        <f>F29+F37</f>
        <v>0.23734472400000001</v>
      </c>
      <c r="G38" s="16"/>
      <c r="H38" s="11">
        <f>H31</f>
        <v>3.5184875</v>
      </c>
      <c r="I38" s="16"/>
      <c r="J38" s="11"/>
    </row>
    <row r="39" spans="1:10">
      <c r="B39" s="33"/>
      <c r="E39" s="5"/>
      <c r="F39" s="5"/>
    </row>
    <row r="40" spans="1:10">
      <c r="B40" s="23" t="s">
        <v>561</v>
      </c>
      <c r="E40" s="21"/>
      <c r="F40" s="21"/>
    </row>
    <row r="41" spans="1:10">
      <c r="B41" s="3" t="s">
        <v>562</v>
      </c>
      <c r="E41" s="6"/>
      <c r="F41" s="6">
        <v>0</v>
      </c>
      <c r="H41" s="6"/>
      <c r="J41" s="120"/>
    </row>
    <row r="42" spans="1:10">
      <c r="B42" t="s">
        <v>563</v>
      </c>
      <c r="E42" s="5" t="s">
        <v>547</v>
      </c>
      <c r="F42" s="6">
        <v>0</v>
      </c>
      <c r="H42" s="6"/>
      <c r="J42" s="120"/>
    </row>
    <row r="43" spans="1:10">
      <c r="B43" t="s">
        <v>564</v>
      </c>
      <c r="E43" s="6">
        <f>13789615.82/10^7</f>
        <v>1.3789615820000001</v>
      </c>
      <c r="F43" s="6">
        <v>0</v>
      </c>
      <c r="H43" s="6">
        <f>E43*J43</f>
        <v>1.2410654238000001</v>
      </c>
      <c r="J43" s="120">
        <v>0.9</v>
      </c>
    </row>
    <row r="44" spans="1:10">
      <c r="B44" s="3" t="s">
        <v>62</v>
      </c>
      <c r="E44" s="5"/>
      <c r="F44" s="5">
        <f>475.04*10^5/10^7-475.04*10^5/10^7</f>
        <v>0</v>
      </c>
      <c r="H44" s="6"/>
      <c r="J44" s="120"/>
    </row>
    <row r="45" spans="1:10">
      <c r="B45" t="s">
        <v>563</v>
      </c>
      <c r="E45" s="5" t="s">
        <v>547</v>
      </c>
      <c r="F45" s="5"/>
      <c r="H45" s="6"/>
      <c r="J45" s="120"/>
    </row>
    <row r="46" spans="1:10">
      <c r="B46" t="s">
        <v>564</v>
      </c>
      <c r="E46" s="5">
        <f>5768182.97/10^7</f>
        <v>0.57681829699999998</v>
      </c>
      <c r="F46" s="5"/>
      <c r="H46" s="6">
        <f>E46*J46</f>
        <v>0.51913646729999996</v>
      </c>
      <c r="J46" s="120">
        <v>0.9</v>
      </c>
    </row>
    <row r="47" spans="1:10">
      <c r="B47" s="3" t="s">
        <v>565</v>
      </c>
      <c r="E47" s="5"/>
      <c r="F47" s="5"/>
      <c r="H47" s="6"/>
      <c r="J47" s="120"/>
    </row>
    <row r="48" spans="1:10">
      <c r="B48" t="s">
        <v>566</v>
      </c>
      <c r="E48" s="5" t="s">
        <v>547</v>
      </c>
      <c r="F48" s="5"/>
      <c r="H48" s="6"/>
      <c r="J48" s="120"/>
    </row>
    <row r="49" spans="2:10">
      <c r="B49" t="s">
        <v>563</v>
      </c>
      <c r="E49" s="5">
        <f>-323586/10^7</f>
        <v>-3.2358600000000001E-2</v>
      </c>
      <c r="F49" s="5"/>
      <c r="H49" s="6">
        <f>E49*J49</f>
        <v>0</v>
      </c>
      <c r="J49" s="120">
        <v>0</v>
      </c>
    </row>
    <row r="50" spans="2:10">
      <c r="B50" t="s">
        <v>505</v>
      </c>
      <c r="E50" s="5" t="s">
        <v>547</v>
      </c>
      <c r="F50" s="5"/>
      <c r="H50" s="6"/>
      <c r="J50" s="120"/>
    </row>
    <row r="51" spans="2:10">
      <c r="B51" t="s">
        <v>563</v>
      </c>
      <c r="E51" s="5" t="s">
        <v>547</v>
      </c>
      <c r="F51" s="5"/>
      <c r="H51" s="6"/>
      <c r="J51" s="120"/>
    </row>
    <row r="52" spans="2:10">
      <c r="B52" t="s">
        <v>567</v>
      </c>
      <c r="E52" s="5" t="s">
        <v>547</v>
      </c>
      <c r="F52" s="5"/>
      <c r="H52" s="6"/>
      <c r="J52" s="120"/>
    </row>
    <row r="53" spans="2:10">
      <c r="B53" t="s">
        <v>505</v>
      </c>
      <c r="E53" s="5" t="s">
        <v>547</v>
      </c>
      <c r="F53" s="5"/>
      <c r="H53" s="6"/>
      <c r="J53" s="120"/>
    </row>
    <row r="54" spans="2:10">
      <c r="B54" t="s">
        <v>568</v>
      </c>
      <c r="E54" s="5">
        <f>7642317/10^7</f>
        <v>0.76423169999999996</v>
      </c>
      <c r="F54" s="5"/>
      <c r="H54" s="6">
        <f>E54*J54</f>
        <v>0.61138535999999999</v>
      </c>
      <c r="J54" s="120">
        <v>0.8</v>
      </c>
    </row>
    <row r="55" spans="2:10">
      <c r="B55" s="18" t="s">
        <v>14</v>
      </c>
      <c r="C55" s="10"/>
      <c r="D55" s="10"/>
      <c r="E55" s="11">
        <f>SUM(E41:E54)</f>
        <v>2.6876529790000001</v>
      </c>
      <c r="F55" s="11">
        <f>SUM(F41:F54)</f>
        <v>0</v>
      </c>
      <c r="G55" s="10"/>
      <c r="H55" s="11">
        <f>SUM(H41:H54)</f>
        <v>2.3715872510999998</v>
      </c>
      <c r="I55" s="10"/>
      <c r="J55" s="10"/>
    </row>
    <row r="56" spans="2:10">
      <c r="E56" s="21"/>
      <c r="F56" s="21"/>
    </row>
    <row r="57" spans="2:10">
      <c r="B57" s="23" t="s">
        <v>569</v>
      </c>
      <c r="E57" s="21"/>
      <c r="F57" s="21"/>
    </row>
    <row r="58" spans="2:10">
      <c r="B58" t="s">
        <v>570</v>
      </c>
      <c r="E58" s="5" t="s">
        <v>547</v>
      </c>
      <c r="F58" s="21"/>
    </row>
    <row r="59" spans="2:10">
      <c r="B59" t="s">
        <v>571</v>
      </c>
      <c r="E59" s="5" t="s">
        <v>547</v>
      </c>
      <c r="F59" s="21"/>
    </row>
    <row r="60" spans="2:10">
      <c r="B60" t="s">
        <v>572</v>
      </c>
      <c r="E60" s="5">
        <f>4941436.03/10^7</f>
        <v>0.49414360300000004</v>
      </c>
      <c r="F60" s="21"/>
      <c r="H60" s="6">
        <f>E60*J60</f>
        <v>0.39531488240000007</v>
      </c>
      <c r="J60" s="120">
        <v>0.8</v>
      </c>
    </row>
    <row r="61" spans="2:10">
      <c r="B61" t="s">
        <v>573</v>
      </c>
      <c r="E61" s="5">
        <f>57727930.09/10^7</f>
        <v>5.7727930089999999</v>
      </c>
      <c r="F61" s="21"/>
      <c r="H61" s="6">
        <f>E61*J61</f>
        <v>4.6182344072000001</v>
      </c>
      <c r="J61" s="120">
        <v>0.8</v>
      </c>
    </row>
    <row r="62" spans="2:10">
      <c r="B62" t="s">
        <v>574</v>
      </c>
      <c r="E62" s="5" t="s">
        <v>547</v>
      </c>
      <c r="F62" s="21"/>
    </row>
    <row r="63" spans="2:10">
      <c r="B63" t="s">
        <v>575</v>
      </c>
      <c r="E63" s="368">
        <f>292332.17/10^7</f>
        <v>2.9233216999999999E-2</v>
      </c>
      <c r="F63" s="21"/>
      <c r="H63" s="6">
        <f>E63*J63</f>
        <v>2.63098953E-2</v>
      </c>
      <c r="J63" s="120">
        <v>0.9</v>
      </c>
    </row>
    <row r="64" spans="2:10">
      <c r="B64" s="18" t="s">
        <v>82</v>
      </c>
      <c r="C64" s="10"/>
      <c r="D64" s="10"/>
      <c r="E64" s="11">
        <f>SUM(E58:E63)</f>
        <v>6.2961698290000001</v>
      </c>
      <c r="F64" s="11">
        <f>SUM(F50:F63)</f>
        <v>0</v>
      </c>
      <c r="G64" s="10"/>
      <c r="H64" s="11">
        <f>SUM(H58:H63)</f>
        <v>5.0398591849000001</v>
      </c>
      <c r="I64" s="10"/>
      <c r="J64" s="10"/>
    </row>
    <row r="65" spans="2:10">
      <c r="E65" s="21"/>
      <c r="F65" s="21"/>
    </row>
    <row r="66" spans="2:10" ht="20.25" customHeight="1">
      <c r="B66" s="24" t="s">
        <v>15</v>
      </c>
      <c r="C66" s="24"/>
      <c r="D66" s="24"/>
      <c r="E66" s="25">
        <f>E19+E38+E55+E64</f>
        <v>226.42225962494999</v>
      </c>
      <c r="F66" s="25">
        <f>F19+F38+F55</f>
        <v>2106.4249747239996</v>
      </c>
      <c r="G66" s="26"/>
      <c r="H66" s="25">
        <f>H19+H38+H55+H64</f>
        <v>206.17299781278388</v>
      </c>
      <c r="I66" s="26"/>
      <c r="J66" s="28"/>
    </row>
    <row r="67" spans="2:10">
      <c r="E67" s="21"/>
      <c r="F67" s="21"/>
    </row>
    <row r="68" spans="2:10">
      <c r="E68" s="21"/>
      <c r="F68" s="21"/>
    </row>
    <row r="69" spans="2:10">
      <c r="E69" s="21"/>
      <c r="F69" s="21"/>
    </row>
    <row r="70" spans="2:10">
      <c r="E70" s="21"/>
      <c r="F70" s="21"/>
    </row>
    <row r="71" spans="2:10">
      <c r="E71" s="21"/>
      <c r="F71" s="21"/>
    </row>
    <row r="72" spans="2:10">
      <c r="E72" s="21"/>
      <c r="F72" s="21"/>
    </row>
    <row r="73" spans="2:10">
      <c r="E73" s="21"/>
      <c r="F73" s="21"/>
    </row>
    <row r="74" spans="2:10">
      <c r="E74" s="21"/>
      <c r="F74" s="21"/>
    </row>
    <row r="75" spans="2:10">
      <c r="E75" s="21"/>
      <c r="F75" s="21"/>
    </row>
    <row r="76" spans="2:10">
      <c r="E76" s="21"/>
      <c r="F76" s="21"/>
    </row>
    <row r="77" spans="2:10">
      <c r="E77" s="21"/>
      <c r="F77" s="21"/>
    </row>
    <row r="78" spans="2:10">
      <c r="E78" s="21"/>
      <c r="F78" s="21"/>
    </row>
    <row r="79" spans="2:10">
      <c r="E79" s="21"/>
      <c r="F79" s="21"/>
    </row>
    <row r="80" spans="2:10">
      <c r="E80" s="21"/>
      <c r="F80" s="21"/>
    </row>
    <row r="81" spans="5:10">
      <c r="E81" s="21"/>
      <c r="F81" s="21"/>
    </row>
    <row r="82" spans="5:10">
      <c r="E82" s="21"/>
      <c r="F82" s="21"/>
    </row>
    <row r="83" spans="5:10">
      <c r="E83" s="21"/>
      <c r="F83" s="21"/>
    </row>
    <row r="84" spans="5:10">
      <c r="E84" s="21"/>
      <c r="F84" s="21"/>
      <c r="H84" s="4"/>
      <c r="J84" s="21"/>
    </row>
  </sheetData>
  <mergeCells count="7">
    <mergeCell ref="R5:S5"/>
    <mergeCell ref="R6:S6"/>
    <mergeCell ref="B38:D38"/>
    <mergeCell ref="N5:O5"/>
    <mergeCell ref="N6:O6"/>
    <mergeCell ref="P5:Q5"/>
    <mergeCell ref="P6:Q6"/>
  </mergeCell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2:I34"/>
  <sheetViews>
    <sheetView showGridLines="0" topLeftCell="A25" workbookViewId="0">
      <selection activeCell="E34" sqref="E34"/>
    </sheetView>
  </sheetViews>
  <sheetFormatPr defaultRowHeight="14.4"/>
  <cols>
    <col min="1" max="1" width="7.6640625" customWidth="1"/>
    <col min="2" max="2" width="39.6640625" customWidth="1"/>
    <col min="3" max="3" width="27.33203125" customWidth="1"/>
    <col min="4" max="4" width="19.6640625" hidden="1" customWidth="1"/>
    <col min="5" max="5" width="19.88671875" customWidth="1"/>
    <col min="6" max="6" width="8.88671875" customWidth="1"/>
    <col min="7" max="7" width="12" customWidth="1"/>
    <col min="8" max="8" width="39.109375" bestFit="1" customWidth="1"/>
    <col min="9" max="9" width="35.44140625" bestFit="1" customWidth="1"/>
  </cols>
  <sheetData>
    <row r="2" spans="1:9" ht="17.25" customHeight="1">
      <c r="B2" s="20" t="s">
        <v>541</v>
      </c>
      <c r="C2" s="19"/>
      <c r="D2" s="19"/>
      <c r="E2" s="19"/>
      <c r="F2" s="19"/>
      <c r="G2" s="19"/>
      <c r="H2" s="19"/>
      <c r="I2" s="19"/>
    </row>
    <row r="3" spans="1:9" ht="10.5" customHeight="1"/>
    <row r="4" spans="1:9" ht="18" customHeight="1">
      <c r="B4" s="2" t="s">
        <v>7</v>
      </c>
      <c r="C4" s="1"/>
      <c r="D4" s="1"/>
      <c r="E4" s="1"/>
      <c r="F4" s="1"/>
      <c r="G4" s="1"/>
      <c r="H4" s="1"/>
      <c r="I4" s="1"/>
    </row>
    <row r="5" spans="1:9" ht="9.75" customHeight="1"/>
    <row r="6" spans="1:9" ht="18" customHeight="1">
      <c r="B6" s="2" t="s">
        <v>218</v>
      </c>
      <c r="C6" s="14" t="s">
        <v>18</v>
      </c>
      <c r="D6" s="2" t="s">
        <v>205</v>
      </c>
      <c r="E6" s="14" t="s">
        <v>1</v>
      </c>
      <c r="F6" s="2"/>
      <c r="G6" s="13" t="s">
        <v>16</v>
      </c>
      <c r="H6" s="2" t="s">
        <v>220</v>
      </c>
      <c r="I6" s="2" t="s">
        <v>221</v>
      </c>
    </row>
    <row r="7" spans="1:9" ht="10.5" customHeight="1">
      <c r="C7" s="21"/>
    </row>
    <row r="8" spans="1:9" ht="18.75" customHeight="1">
      <c r="B8" s="9" t="s">
        <v>83</v>
      </c>
      <c r="C8" s="21"/>
    </row>
    <row r="9" spans="1:9" ht="18.75" customHeight="1">
      <c r="A9" t="s">
        <v>577</v>
      </c>
      <c r="B9" s="34" t="s">
        <v>576</v>
      </c>
      <c r="C9" s="6">
        <f>6547330.27/10^7</f>
        <v>0.65473302699999991</v>
      </c>
      <c r="D9" s="5">
        <f>C9-0.83-3.18</f>
        <v>-3.355266973</v>
      </c>
      <c r="E9" s="6">
        <f>C9*G9</f>
        <v>0.58925972429999995</v>
      </c>
      <c r="F9" s="151"/>
      <c r="G9" s="120">
        <v>0.9</v>
      </c>
    </row>
    <row r="10" spans="1:9" s="3" customFormat="1" ht="18.75" customHeight="1">
      <c r="B10" s="18" t="s">
        <v>12</v>
      </c>
      <c r="C10" s="11">
        <f>SUM(C9:C9)</f>
        <v>0.65473302699999991</v>
      </c>
      <c r="D10" s="11">
        <f>SUM(D9:D9)</f>
        <v>-3.355266973</v>
      </c>
      <c r="E10" s="11">
        <f>SUM(E9:E9)</f>
        <v>0.58925972429999995</v>
      </c>
      <c r="F10" s="10"/>
      <c r="G10" s="10"/>
    </row>
    <row r="11" spans="1:9" ht="18.75" customHeight="1">
      <c r="B11" s="34"/>
      <c r="D11" s="21"/>
      <c r="E11" s="4"/>
    </row>
    <row r="12" spans="1:9" ht="18.75" customHeight="1">
      <c r="B12" s="35"/>
      <c r="D12" s="21"/>
      <c r="E12" s="4"/>
    </row>
    <row r="13" spans="1:9" ht="18.75" customHeight="1">
      <c r="B13" s="9" t="s">
        <v>20</v>
      </c>
      <c r="D13" s="21"/>
      <c r="E13" s="4"/>
    </row>
    <row r="14" spans="1:9" ht="18.75" customHeight="1">
      <c r="B14" s="34" t="s">
        <v>63</v>
      </c>
      <c r="C14" s="6"/>
      <c r="D14" s="5">
        <f>45910.15*10^5/10^7-442.79-0.56</f>
        <v>15.751499999999966</v>
      </c>
      <c r="E14" s="6"/>
      <c r="F14" s="151"/>
      <c r="G14" s="120"/>
    </row>
    <row r="15" spans="1:9" ht="18.75" customHeight="1">
      <c r="B15" s="34" t="s">
        <v>563</v>
      </c>
      <c r="C15" s="6">
        <f>2764711.95/10^7</f>
        <v>0.276471195</v>
      </c>
      <c r="D15" s="5">
        <f>4181.27*10^5/10^7-42.14</f>
        <v>-0.32729999999999393</v>
      </c>
      <c r="E15" s="6">
        <f>C15*G15</f>
        <v>0.24882407550000002</v>
      </c>
      <c r="F15" s="151"/>
      <c r="G15" s="120">
        <v>0.9</v>
      </c>
    </row>
    <row r="16" spans="1:9" ht="18.75" customHeight="1">
      <c r="B16" s="34" t="s">
        <v>564</v>
      </c>
      <c r="C16" s="6">
        <f>35821910.59/10^7</f>
        <v>3.5821910590000003</v>
      </c>
      <c r="D16" s="5">
        <f>6276.63*10^5/10^7</f>
        <v>62.766300000000001</v>
      </c>
      <c r="E16" s="6">
        <f>C16*G16</f>
        <v>2.8657528472000005</v>
      </c>
      <c r="F16" s="151"/>
      <c r="G16" s="120">
        <v>0.8</v>
      </c>
    </row>
    <row r="17" spans="2:7" ht="18.75" customHeight="1">
      <c r="B17" s="18" t="s">
        <v>13</v>
      </c>
      <c r="C17" s="11">
        <f>SUM(C14:C16)</f>
        <v>3.8586622540000004</v>
      </c>
      <c r="D17" s="12" t="e">
        <f>#REF!-#REF!</f>
        <v>#REF!</v>
      </c>
      <c r="E17" s="12">
        <f>SUM(E15:E16)</f>
        <v>3.1145769227000004</v>
      </c>
      <c r="F17" s="10"/>
      <c r="G17" s="10"/>
    </row>
    <row r="18" spans="2:7" ht="18.75" customHeight="1">
      <c r="D18" s="21"/>
      <c r="E18" s="4"/>
    </row>
    <row r="19" spans="2:7" ht="18.75" customHeight="1">
      <c r="B19" s="9" t="s">
        <v>84</v>
      </c>
      <c r="D19" s="21"/>
      <c r="E19" s="4"/>
    </row>
    <row r="20" spans="2:7" ht="18.75" customHeight="1">
      <c r="B20" s="17" t="s">
        <v>75</v>
      </c>
      <c r="D20" s="21"/>
      <c r="E20" s="4"/>
    </row>
    <row r="21" spans="2:7" ht="18.75" customHeight="1">
      <c r="B21" s="7"/>
      <c r="D21" s="21"/>
      <c r="E21" s="4"/>
    </row>
    <row r="22" spans="2:7" ht="18.75" customHeight="1">
      <c r="B22" s="7" t="s">
        <v>77</v>
      </c>
      <c r="C22" s="6">
        <f>20433004.22/10^7</f>
        <v>2.0433004219999997</v>
      </c>
      <c r="D22" s="5">
        <f>2096.94*10^5/10^7-19.56-1.03</f>
        <v>0.37940000000000151</v>
      </c>
      <c r="E22" s="6">
        <f t="shared" ref="E22:E23" si="0">C22*G22</f>
        <v>2.0433004219999997</v>
      </c>
      <c r="F22" s="151"/>
      <c r="G22" s="120">
        <v>1</v>
      </c>
    </row>
    <row r="23" spans="2:7" ht="18.75" customHeight="1">
      <c r="B23" s="7" t="s">
        <v>79</v>
      </c>
      <c r="C23" s="6">
        <f>885931.67/10^7</f>
        <v>8.8593167E-2</v>
      </c>
      <c r="D23" s="5">
        <f>14.57*10^5/10^7</f>
        <v>0.1457</v>
      </c>
      <c r="E23" s="6">
        <f t="shared" si="0"/>
        <v>8.8593167E-2</v>
      </c>
      <c r="F23" s="151"/>
      <c r="G23" s="120">
        <v>1</v>
      </c>
    </row>
    <row r="24" spans="2:7" ht="18.75" customHeight="1">
      <c r="B24" s="18" t="s">
        <v>14</v>
      </c>
      <c r="C24" s="12">
        <f>SUM(C22:C23)</f>
        <v>2.1318935889999997</v>
      </c>
      <c r="D24" s="12">
        <f>SUM(D22:D23)</f>
        <v>0.52510000000000145</v>
      </c>
      <c r="E24" s="12">
        <f>SUM(E22:E23)</f>
        <v>2.1318935889999997</v>
      </c>
      <c r="F24" s="10"/>
      <c r="G24" s="10"/>
    </row>
    <row r="25" spans="2:7" ht="18.75" customHeight="1">
      <c r="B25" s="7"/>
      <c r="D25" s="21"/>
      <c r="E25" s="4"/>
    </row>
    <row r="26" spans="2:7" ht="18.75" customHeight="1">
      <c r="B26" s="9" t="s">
        <v>578</v>
      </c>
      <c r="D26" s="21"/>
      <c r="E26" s="4"/>
    </row>
    <row r="27" spans="2:7" ht="18.75" customHeight="1">
      <c r="B27" s="7" t="s">
        <v>582</v>
      </c>
      <c r="D27" s="21"/>
      <c r="E27" s="4"/>
    </row>
    <row r="28" spans="2:7" ht="18.75" customHeight="1">
      <c r="B28" s="7" t="s">
        <v>579</v>
      </c>
      <c r="C28" s="6">
        <f>463096/10^7</f>
        <v>4.6309599999999999E-2</v>
      </c>
      <c r="D28" s="21"/>
      <c r="E28" s="6">
        <f t="shared" ref="E28:E31" si="1">C28*G28</f>
        <v>3.704768E-2</v>
      </c>
      <c r="G28" s="120">
        <v>0.8</v>
      </c>
    </row>
    <row r="29" spans="2:7" ht="18.75" customHeight="1">
      <c r="B29" s="7" t="s">
        <v>580</v>
      </c>
      <c r="C29" s="6">
        <f>35972882.33/10^7</f>
        <v>3.597288233</v>
      </c>
      <c r="D29" s="5">
        <f>5189.79*10^5/10^7-47.26-4.64</f>
        <v>-2.0999999999977703E-3</v>
      </c>
      <c r="E29" s="6">
        <f t="shared" si="1"/>
        <v>2.8778305864</v>
      </c>
      <c r="G29" s="120">
        <v>0.8</v>
      </c>
    </row>
    <row r="30" spans="2:7" ht="18.75" customHeight="1">
      <c r="B30" s="7" t="s">
        <v>581</v>
      </c>
      <c r="C30" s="5">
        <f>18393740/10^7</f>
        <v>1.8393740000000001</v>
      </c>
      <c r="D30" s="5">
        <f>362.11*10^5/10^7</f>
        <v>3.6211000000000002</v>
      </c>
      <c r="E30" s="6">
        <f t="shared" si="1"/>
        <v>1.1036243999999999</v>
      </c>
      <c r="F30" s="151"/>
      <c r="G30" s="120">
        <v>0.6</v>
      </c>
    </row>
    <row r="31" spans="2:7" ht="18.75" customHeight="1">
      <c r="B31" s="7" t="s">
        <v>568</v>
      </c>
      <c r="C31" s="5">
        <f>1409454.15/10^7</f>
        <v>0.14094541499999999</v>
      </c>
      <c r="D31" s="8">
        <f>SUM(D29:D30)</f>
        <v>3.6190000000000024</v>
      </c>
      <c r="E31" s="6">
        <f t="shared" si="1"/>
        <v>0.112756332</v>
      </c>
      <c r="F31" s="3"/>
      <c r="G31" s="120">
        <v>0.8</v>
      </c>
    </row>
    <row r="32" spans="2:7" ht="18.75" customHeight="1">
      <c r="B32" s="18" t="s">
        <v>82</v>
      </c>
      <c r="C32" s="11">
        <f>SUM(C28:C31)</f>
        <v>5.6239172479999997</v>
      </c>
      <c r="D32" s="11" t="e">
        <f>D31-#REF!</f>
        <v>#REF!</v>
      </c>
      <c r="E32" s="12">
        <f>SUM(E28:E31)</f>
        <v>4.1312589983999999</v>
      </c>
      <c r="F32" s="16"/>
      <c r="G32" s="16"/>
    </row>
    <row r="33" spans="2:7" ht="18.75" customHeight="1">
      <c r="B33" s="7"/>
      <c r="D33" s="21"/>
      <c r="E33" s="4"/>
    </row>
    <row r="34" spans="2:7" ht="20.25" customHeight="1">
      <c r="B34" s="24" t="s">
        <v>658</v>
      </c>
      <c r="C34" s="25">
        <f>C10+C17+C24+C32</f>
        <v>12.269206118</v>
      </c>
      <c r="D34" s="25" t="e">
        <f>SUM(D10,D17,D24,#REF!,#REF!,#REF!,#REF!)</f>
        <v>#REF!</v>
      </c>
      <c r="E34" s="25">
        <f>E10+E17+E24+E32</f>
        <v>9.9669892343999997</v>
      </c>
      <c r="F34" s="26"/>
      <c r="G34" s="28"/>
    </row>
  </sheetData>
  <pageMargins left="0.25" right="0.25" top="0.75" bottom="0.75" header="0.3" footer="0.3"/>
  <pageSetup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499984740745262"/>
  </sheetPr>
  <dimension ref="B2:K138"/>
  <sheetViews>
    <sheetView showGridLines="0" topLeftCell="A103" workbookViewId="0">
      <selection activeCell="H134" sqref="H134"/>
    </sheetView>
  </sheetViews>
  <sheetFormatPr defaultRowHeight="14.4"/>
  <cols>
    <col min="1" max="1" width="3.6640625" customWidth="1"/>
    <col min="2" max="2" width="40.5546875" customWidth="1"/>
    <col min="3" max="3" width="4.5546875" customWidth="1"/>
    <col min="4" max="4" width="4.109375" customWidth="1"/>
    <col min="5" max="5" width="37" customWidth="1"/>
    <col min="6" max="6" width="5.6640625" customWidth="1"/>
    <col min="7" max="7" width="3.88671875" customWidth="1"/>
    <col min="8" max="8" width="25" customWidth="1"/>
    <col min="10" max="10" width="12" customWidth="1"/>
    <col min="13" max="13" width="11" bestFit="1" customWidth="1"/>
  </cols>
  <sheetData>
    <row r="2" spans="2:10" ht="17.25" customHeight="1">
      <c r="B2" s="20" t="s">
        <v>541</v>
      </c>
      <c r="C2" s="19"/>
      <c r="D2" s="19"/>
      <c r="E2" s="19"/>
      <c r="F2" s="19"/>
      <c r="G2" s="19"/>
      <c r="H2" s="19"/>
      <c r="I2" s="19"/>
      <c r="J2" s="19"/>
    </row>
    <row r="3" spans="2:10" ht="10.5" customHeight="1"/>
    <row r="4" spans="2:10" ht="18" customHeight="1">
      <c r="B4" s="2" t="s">
        <v>21</v>
      </c>
      <c r="C4" s="1"/>
      <c r="D4" s="1"/>
      <c r="E4" s="1"/>
      <c r="F4" s="1"/>
      <c r="G4" s="1"/>
      <c r="H4" s="1"/>
      <c r="I4" s="1"/>
      <c r="J4" s="1"/>
    </row>
    <row r="5" spans="2:10" ht="9.75" customHeight="1"/>
    <row r="6" spans="2:10" ht="18" customHeight="1">
      <c r="B6" s="2" t="s">
        <v>218</v>
      </c>
      <c r="C6" s="2"/>
      <c r="D6" s="2"/>
      <c r="E6" s="14" t="s">
        <v>18</v>
      </c>
      <c r="F6" s="2"/>
      <c r="G6" s="2"/>
      <c r="H6" s="14" t="s">
        <v>1</v>
      </c>
      <c r="I6" s="2"/>
      <c r="J6" s="13" t="s">
        <v>16</v>
      </c>
    </row>
    <row r="7" spans="2:10" ht="10.5" customHeight="1">
      <c r="E7" s="21"/>
    </row>
    <row r="8" spans="2:10" ht="16.5" customHeight="1">
      <c r="B8" s="3" t="s">
        <v>22</v>
      </c>
      <c r="E8" s="21"/>
    </row>
    <row r="9" spans="2:10" ht="18.75" customHeight="1">
      <c r="B9" s="23" t="s">
        <v>583</v>
      </c>
      <c r="E9" s="21"/>
    </row>
    <row r="10" spans="2:10" ht="18.75" customHeight="1">
      <c r="B10" s="366" t="s">
        <v>584</v>
      </c>
      <c r="E10" s="21"/>
    </row>
    <row r="11" spans="2:10" ht="18.75" customHeight="1">
      <c r="B11" s="366" t="s">
        <v>585</v>
      </c>
      <c r="E11" s="21"/>
    </row>
    <row r="12" spans="2:10" ht="18.75" customHeight="1">
      <c r="B12" s="366" t="s">
        <v>586</v>
      </c>
      <c r="E12" s="5">
        <f>450000000/10^7</f>
        <v>45</v>
      </c>
      <c r="H12" s="6">
        <f>E12</f>
        <v>45</v>
      </c>
    </row>
    <row r="13" spans="2:10" ht="18.75" customHeight="1">
      <c r="B13" s="366" t="s">
        <v>659</v>
      </c>
      <c r="E13" s="21"/>
      <c r="H13" s="15"/>
    </row>
    <row r="14" spans="2:10" ht="18.75" customHeight="1">
      <c r="B14" s="366" t="s">
        <v>660</v>
      </c>
      <c r="E14" s="21"/>
      <c r="H14" s="15"/>
    </row>
    <row r="15" spans="2:10" ht="18.75" customHeight="1">
      <c r="B15" s="366" t="s">
        <v>587</v>
      </c>
      <c r="E15" s="21">
        <f>100000000/10^7</f>
        <v>10</v>
      </c>
      <c r="H15" s="6">
        <f>E15</f>
        <v>10</v>
      </c>
    </row>
    <row r="16" spans="2:10" ht="18.75" customHeight="1">
      <c r="B16" s="366" t="s">
        <v>588</v>
      </c>
      <c r="E16" s="21"/>
      <c r="H16" s="15"/>
    </row>
    <row r="17" spans="2:10" ht="18.75" customHeight="1">
      <c r="B17" s="366" t="s">
        <v>589</v>
      </c>
      <c r="E17" s="21"/>
      <c r="H17" s="15"/>
    </row>
    <row r="18" spans="2:10" ht="18.75" customHeight="1">
      <c r="B18" s="366" t="s">
        <v>590</v>
      </c>
      <c r="E18" s="21"/>
      <c r="H18" s="15"/>
    </row>
    <row r="19" spans="2:10" ht="18.75" customHeight="1">
      <c r="B19" s="366" t="s">
        <v>591</v>
      </c>
      <c r="E19" s="5">
        <f>424052240/10^7</f>
        <v>42.405223999999997</v>
      </c>
      <c r="H19" s="6">
        <f>E19</f>
        <v>42.405223999999997</v>
      </c>
    </row>
    <row r="20" spans="2:10" ht="18.75" customHeight="1">
      <c r="B20" s="366" t="s">
        <v>592</v>
      </c>
      <c r="E20" s="21"/>
      <c r="H20" s="15"/>
    </row>
    <row r="21" spans="2:10" ht="18.75" customHeight="1">
      <c r="B21" s="366" t="s">
        <v>593</v>
      </c>
      <c r="E21" s="21"/>
      <c r="H21" s="15"/>
    </row>
    <row r="22" spans="2:10" ht="18.75" customHeight="1">
      <c r="B22" s="366" t="s">
        <v>594</v>
      </c>
      <c r="E22" s="5">
        <f>424052240/10^7</f>
        <v>42.405223999999997</v>
      </c>
      <c r="H22" s="6">
        <f>E22</f>
        <v>42.405223999999997</v>
      </c>
    </row>
    <row r="23" spans="2:10" ht="18.75" customHeight="1">
      <c r="B23" s="366" t="s">
        <v>591</v>
      </c>
      <c r="E23" s="21"/>
      <c r="H23" s="15"/>
    </row>
    <row r="24" spans="2:10" ht="18.75" customHeight="1">
      <c r="B24" s="366" t="s">
        <v>592</v>
      </c>
      <c r="E24" s="21"/>
      <c r="H24" s="15"/>
    </row>
    <row r="25" spans="2:10" ht="18.75" customHeight="1">
      <c r="B25" s="366" t="s">
        <v>593</v>
      </c>
      <c r="E25" s="21"/>
      <c r="H25" s="15"/>
    </row>
    <row r="26" spans="2:10" ht="18.75" customHeight="1">
      <c r="B26" s="366" t="s">
        <v>595</v>
      </c>
      <c r="E26" s="21"/>
      <c r="H26" s="15"/>
    </row>
    <row r="27" spans="2:10" ht="18.75" customHeight="1">
      <c r="B27" s="366" t="s">
        <v>596</v>
      </c>
      <c r="E27" s="21"/>
      <c r="H27" s="15"/>
    </row>
    <row r="28" spans="2:10" ht="18.75" customHeight="1">
      <c r="B28" s="37" t="s">
        <v>12</v>
      </c>
      <c r="C28" s="16"/>
      <c r="D28" s="16"/>
      <c r="E28" s="11">
        <f>424052240/10^7</f>
        <v>42.405223999999997</v>
      </c>
      <c r="F28" s="16"/>
      <c r="G28" s="16"/>
      <c r="H28" s="11">
        <f>424052240/10^7</f>
        <v>42.405223999999997</v>
      </c>
      <c r="I28" s="16"/>
      <c r="J28" s="16"/>
    </row>
    <row r="29" spans="2:10" ht="18.75" customHeight="1">
      <c r="B29" s="38"/>
      <c r="C29" s="3"/>
      <c r="D29" s="3"/>
      <c r="E29" s="29"/>
      <c r="F29" s="3"/>
      <c r="G29" s="3"/>
      <c r="H29" s="3"/>
      <c r="I29" s="3"/>
      <c r="J29" s="3"/>
    </row>
    <row r="30" spans="2:10" ht="18.75" customHeight="1">
      <c r="B30" s="39" t="s">
        <v>85</v>
      </c>
      <c r="C30" s="3"/>
      <c r="D30" s="3"/>
      <c r="E30" s="29"/>
      <c r="F30" s="3"/>
      <c r="G30" s="3"/>
      <c r="H30" s="3"/>
      <c r="I30" s="3"/>
      <c r="J30" s="3"/>
    </row>
    <row r="31" spans="2:10" ht="18.75" customHeight="1">
      <c r="B31" s="367" t="s">
        <v>597</v>
      </c>
      <c r="C31" s="3"/>
      <c r="D31" s="3"/>
      <c r="E31" s="29"/>
      <c r="F31" s="3"/>
      <c r="G31" s="3"/>
      <c r="H31" s="3"/>
      <c r="I31" s="3"/>
      <c r="J31" s="3"/>
    </row>
    <row r="32" spans="2:10" ht="18.75" customHeight="1">
      <c r="B32" s="367" t="s">
        <v>598</v>
      </c>
      <c r="C32" s="3"/>
      <c r="D32" s="3"/>
      <c r="E32" s="21"/>
      <c r="F32" s="3"/>
      <c r="G32" s="3"/>
      <c r="H32" s="3"/>
      <c r="I32" s="3"/>
      <c r="J32" s="3"/>
    </row>
    <row r="33" spans="2:10" ht="18.75" customHeight="1">
      <c r="B33" s="367" t="s">
        <v>599</v>
      </c>
      <c r="C33" s="3"/>
      <c r="D33" s="3"/>
      <c r="E33" s="5">
        <f>7433995.58/10^7</f>
        <v>0.74339955800000002</v>
      </c>
      <c r="F33" s="3"/>
      <c r="G33" s="3"/>
      <c r="H33" s="6">
        <f>E33</f>
        <v>0.74339955800000002</v>
      </c>
      <c r="I33" s="3"/>
      <c r="J33" s="3"/>
    </row>
    <row r="34" spans="2:10" ht="18.75" customHeight="1">
      <c r="B34" s="367" t="s">
        <v>600</v>
      </c>
      <c r="C34" s="3"/>
      <c r="D34" s="3"/>
      <c r="E34" s="21"/>
      <c r="F34" s="3"/>
      <c r="G34" s="3"/>
      <c r="H34" s="38"/>
      <c r="I34" s="3"/>
      <c r="J34" s="3"/>
    </row>
    <row r="35" spans="2:10" ht="18.75" customHeight="1">
      <c r="B35" s="367" t="s">
        <v>601</v>
      </c>
      <c r="C35" s="3"/>
      <c r="D35" s="3"/>
      <c r="E35" s="21"/>
      <c r="F35" s="3"/>
      <c r="G35" s="3"/>
      <c r="H35" s="38"/>
      <c r="I35" s="3"/>
      <c r="J35" s="3"/>
    </row>
    <row r="36" spans="2:10" ht="18.75" customHeight="1">
      <c r="B36" s="375" t="s">
        <v>602</v>
      </c>
      <c r="C36" s="16"/>
      <c r="D36" s="16"/>
      <c r="E36" s="11">
        <f>E33+E34-E35</f>
        <v>0.74339955800000002</v>
      </c>
      <c r="F36" s="16"/>
      <c r="G36" s="16"/>
      <c r="H36" s="12">
        <f>E36</f>
        <v>0.74339955800000002</v>
      </c>
      <c r="I36" s="16"/>
      <c r="J36" s="16"/>
    </row>
    <row r="37" spans="2:10" ht="18.75" customHeight="1">
      <c r="B37" s="367" t="s">
        <v>603</v>
      </c>
      <c r="C37" s="3"/>
      <c r="D37" s="3"/>
      <c r="E37" s="21"/>
      <c r="F37" s="3"/>
      <c r="G37" s="3"/>
      <c r="H37" s="38"/>
      <c r="I37" s="3"/>
      <c r="J37" s="3"/>
    </row>
    <row r="38" spans="2:10" ht="18.75" customHeight="1">
      <c r="B38" s="367" t="s">
        <v>599</v>
      </c>
      <c r="C38" s="3"/>
      <c r="D38" s="3"/>
      <c r="E38" s="5">
        <f>1717785670.25/10^7</f>
        <v>171.778567025</v>
      </c>
      <c r="F38" s="3"/>
      <c r="G38" s="3"/>
      <c r="H38" s="6">
        <f>E38</f>
        <v>171.778567025</v>
      </c>
      <c r="I38" s="3"/>
      <c r="J38" s="3"/>
    </row>
    <row r="39" spans="2:10" ht="18.75" customHeight="1">
      <c r="B39" s="367" t="s">
        <v>600</v>
      </c>
      <c r="C39" s="3"/>
      <c r="D39" s="3"/>
      <c r="E39" s="21"/>
      <c r="F39" s="3"/>
      <c r="G39" s="3"/>
      <c r="H39" s="38"/>
      <c r="I39" s="3"/>
      <c r="J39" s="3"/>
    </row>
    <row r="40" spans="2:10" ht="18.75" customHeight="1">
      <c r="B40" s="367" t="s">
        <v>601</v>
      </c>
      <c r="C40" s="3"/>
      <c r="D40" s="3"/>
      <c r="E40" s="21"/>
      <c r="F40" s="3"/>
      <c r="G40" s="3"/>
      <c r="H40" s="38"/>
      <c r="I40" s="3"/>
      <c r="J40" s="3"/>
    </row>
    <row r="41" spans="2:10" ht="18.75" customHeight="1">
      <c r="B41" s="375" t="s">
        <v>602</v>
      </c>
      <c r="C41" s="16"/>
      <c r="D41" s="16"/>
      <c r="E41" s="11">
        <f>E38+E39-E40</f>
        <v>171.778567025</v>
      </c>
      <c r="F41" s="16"/>
      <c r="G41" s="16"/>
      <c r="H41" s="12">
        <f>E41</f>
        <v>171.778567025</v>
      </c>
      <c r="I41" s="16"/>
      <c r="J41" s="16"/>
    </row>
    <row r="42" spans="2:10" ht="18.75" customHeight="1">
      <c r="B42" s="367" t="s">
        <v>604</v>
      </c>
      <c r="C42" s="3"/>
      <c r="D42" s="3"/>
      <c r="E42" s="21"/>
      <c r="F42" s="3"/>
      <c r="G42" s="3"/>
      <c r="H42" s="38"/>
      <c r="I42" s="3"/>
      <c r="J42" s="3"/>
    </row>
    <row r="43" spans="2:10" ht="18.75" customHeight="1">
      <c r="B43" s="367" t="s">
        <v>599</v>
      </c>
      <c r="C43" s="3"/>
      <c r="D43" s="3"/>
      <c r="E43" s="5">
        <f>50000000/10^7</f>
        <v>5</v>
      </c>
      <c r="F43" s="3"/>
      <c r="G43" s="3"/>
      <c r="H43" s="6">
        <f>E43</f>
        <v>5</v>
      </c>
      <c r="I43" s="3"/>
      <c r="J43" s="3"/>
    </row>
    <row r="44" spans="2:10" ht="18.75" customHeight="1">
      <c r="B44" s="367" t="s">
        <v>600</v>
      </c>
      <c r="C44" s="3"/>
      <c r="D44" s="3"/>
      <c r="E44" s="21"/>
      <c r="F44" s="3"/>
      <c r="G44" s="3"/>
      <c r="H44" s="38"/>
      <c r="I44" s="3"/>
      <c r="J44" s="3"/>
    </row>
    <row r="45" spans="2:10" ht="18.75" customHeight="1">
      <c r="B45" s="367" t="s">
        <v>601</v>
      </c>
      <c r="C45" s="3"/>
      <c r="D45" s="3"/>
      <c r="E45" s="21"/>
      <c r="F45" s="3"/>
      <c r="G45" s="3"/>
      <c r="H45" s="38"/>
      <c r="I45" s="3"/>
      <c r="J45" s="3"/>
    </row>
    <row r="46" spans="2:10" ht="18.75" customHeight="1">
      <c r="B46" s="375" t="s">
        <v>602</v>
      </c>
      <c r="C46" s="16"/>
      <c r="D46" s="16"/>
      <c r="E46" s="11">
        <f>E43+E44-E45</f>
        <v>5</v>
      </c>
      <c r="F46" s="16"/>
      <c r="G46" s="16"/>
      <c r="H46" s="12">
        <f>E46</f>
        <v>5</v>
      </c>
      <c r="I46" s="16"/>
      <c r="J46" s="16"/>
    </row>
    <row r="47" spans="2:10" ht="18.75" customHeight="1">
      <c r="B47" s="375" t="s">
        <v>605</v>
      </c>
      <c r="C47" s="16"/>
      <c r="D47" s="16"/>
      <c r="E47" s="11">
        <f>7919430/10^7</f>
        <v>0.79194299999999995</v>
      </c>
      <c r="F47" s="16"/>
      <c r="G47" s="16"/>
      <c r="H47" s="12">
        <f>E47</f>
        <v>0.79194299999999995</v>
      </c>
      <c r="I47" s="16"/>
      <c r="J47" s="16"/>
    </row>
    <row r="48" spans="2:10" ht="18.75" customHeight="1">
      <c r="B48" s="367" t="s">
        <v>606</v>
      </c>
      <c r="C48" s="3"/>
      <c r="D48" s="3"/>
      <c r="E48" s="21"/>
      <c r="F48" s="3"/>
      <c r="G48" s="3"/>
      <c r="H48" s="38"/>
      <c r="I48" s="3"/>
      <c r="J48" s="3"/>
    </row>
    <row r="49" spans="2:10" ht="18.75" customHeight="1">
      <c r="B49" s="367" t="s">
        <v>599</v>
      </c>
      <c r="C49" s="3"/>
      <c r="D49" s="3"/>
      <c r="E49" s="5">
        <f>32025000/10^7</f>
        <v>3.2025000000000001</v>
      </c>
      <c r="F49" s="3"/>
      <c r="G49" s="3"/>
      <c r="H49" s="6">
        <f>E49</f>
        <v>3.2025000000000001</v>
      </c>
      <c r="I49" s="3"/>
      <c r="J49" s="3"/>
    </row>
    <row r="50" spans="2:10" ht="18.75" customHeight="1">
      <c r="B50" s="367" t="s">
        <v>600</v>
      </c>
      <c r="C50" s="3"/>
      <c r="D50" s="3"/>
      <c r="E50" s="21"/>
      <c r="F50" s="3"/>
      <c r="G50" s="3"/>
      <c r="H50" s="38"/>
      <c r="I50" s="3"/>
      <c r="J50" s="3"/>
    </row>
    <row r="51" spans="2:10" ht="18.75" customHeight="1">
      <c r="B51" s="367" t="s">
        <v>607</v>
      </c>
      <c r="C51" s="3"/>
      <c r="D51" s="3"/>
      <c r="E51" s="21"/>
      <c r="F51" s="3"/>
      <c r="G51" s="3"/>
      <c r="H51" s="38"/>
      <c r="I51" s="3"/>
      <c r="J51" s="3"/>
    </row>
    <row r="52" spans="2:10" ht="18.75" customHeight="1">
      <c r="B52" s="375" t="s">
        <v>602</v>
      </c>
      <c r="C52" s="16"/>
      <c r="D52" s="16"/>
      <c r="E52" s="11">
        <f>E49+E50-E51</f>
        <v>3.2025000000000001</v>
      </c>
      <c r="F52" s="16"/>
      <c r="G52" s="16"/>
      <c r="H52" s="12">
        <f>E52</f>
        <v>3.2025000000000001</v>
      </c>
      <c r="I52" s="16"/>
      <c r="J52" s="16"/>
    </row>
    <row r="53" spans="2:10" ht="18.75" customHeight="1">
      <c r="B53" s="367" t="s">
        <v>608</v>
      </c>
      <c r="C53" s="3"/>
      <c r="D53" s="3"/>
      <c r="E53" s="21"/>
      <c r="F53" s="3"/>
      <c r="G53" s="3"/>
      <c r="H53" s="38"/>
      <c r="I53" s="3"/>
      <c r="J53" s="3"/>
    </row>
    <row r="54" spans="2:10" ht="18.75" customHeight="1">
      <c r="B54" s="367" t="s">
        <v>609</v>
      </c>
      <c r="C54" s="3"/>
      <c r="D54" s="3"/>
      <c r="E54" s="5">
        <f>-6199967391.14/10^7</f>
        <v>-619.99673911399998</v>
      </c>
      <c r="F54" s="3"/>
      <c r="G54" s="3"/>
      <c r="H54" s="6">
        <f>E54</f>
        <v>-619.99673911399998</v>
      </c>
      <c r="I54" s="3"/>
      <c r="J54" s="3"/>
    </row>
    <row r="55" spans="2:10" ht="18.75" customHeight="1">
      <c r="B55" s="367" t="s">
        <v>610</v>
      </c>
      <c r="C55" s="3"/>
      <c r="D55" s="3"/>
      <c r="E55" s="5">
        <f>-98455299.1730331/10^7</f>
        <v>-9.8455299173033097</v>
      </c>
      <c r="F55" s="3"/>
      <c r="G55" s="3"/>
      <c r="H55" s="6">
        <f>E55</f>
        <v>-9.8455299173033097</v>
      </c>
      <c r="I55" s="3"/>
      <c r="J55" s="3"/>
    </row>
    <row r="56" spans="2:10" ht="18.75" customHeight="1">
      <c r="B56" s="367" t="s">
        <v>611</v>
      </c>
      <c r="C56" s="3"/>
      <c r="D56" s="3"/>
      <c r="E56" s="21"/>
      <c r="F56" s="3"/>
      <c r="G56" s="3"/>
      <c r="H56" s="38"/>
      <c r="I56" s="3"/>
      <c r="J56" s="3"/>
    </row>
    <row r="57" spans="2:10" ht="18.75" customHeight="1">
      <c r="B57" s="367" t="s">
        <v>612</v>
      </c>
      <c r="C57" s="3"/>
      <c r="D57" s="3"/>
      <c r="E57" s="21"/>
      <c r="F57" s="3"/>
      <c r="G57" s="3"/>
      <c r="H57" s="38"/>
      <c r="I57" s="3"/>
      <c r="J57" s="3"/>
    </row>
    <row r="58" spans="2:10" ht="18.75" customHeight="1">
      <c r="B58" s="375" t="s">
        <v>602</v>
      </c>
      <c r="C58" s="16"/>
      <c r="D58" s="16"/>
      <c r="E58" s="11">
        <f>E54+E55-E56-E57</f>
        <v>-629.84226903130332</v>
      </c>
      <c r="F58" s="16"/>
      <c r="G58" s="16"/>
      <c r="H58" s="12">
        <f>E58</f>
        <v>-629.84226903130332</v>
      </c>
      <c r="I58" s="16"/>
      <c r="J58" s="16"/>
    </row>
    <row r="59" spans="2:10" ht="18.75" customHeight="1">
      <c r="B59" s="37" t="s">
        <v>13</v>
      </c>
      <c r="C59" s="16"/>
      <c r="D59" s="16"/>
      <c r="E59" s="11">
        <f>E36+E41+E46+E47+E52+E58</f>
        <v>-448.32585944830333</v>
      </c>
      <c r="F59" s="16"/>
      <c r="G59" s="16"/>
      <c r="H59" s="11">
        <f>H36+H41+H46+H47+H52+H58</f>
        <v>-448.32585944830333</v>
      </c>
      <c r="I59" s="16"/>
      <c r="J59" s="16"/>
    </row>
    <row r="60" spans="2:10" ht="18.75" customHeight="1">
      <c r="B60" s="39"/>
      <c r="C60" s="3"/>
      <c r="D60" s="3"/>
      <c r="E60" s="29"/>
      <c r="F60" s="3"/>
      <c r="G60" s="3"/>
      <c r="H60" s="3"/>
      <c r="I60" s="3"/>
      <c r="J60" s="3"/>
    </row>
    <row r="62" spans="2:10" ht="18.75" customHeight="1">
      <c r="B62" s="24" t="s">
        <v>92</v>
      </c>
      <c r="C62" s="24"/>
      <c r="D62" s="24"/>
      <c r="E62" s="46">
        <f>E28+E59</f>
        <v>-405.92063544830336</v>
      </c>
      <c r="F62" s="25"/>
      <c r="G62" s="25"/>
      <c r="H62" s="46">
        <f>H28+H59</f>
        <v>-405.92063544830336</v>
      </c>
      <c r="I62" s="26"/>
      <c r="J62" s="28"/>
    </row>
    <row r="63" spans="2:10" s="41" customFormat="1" ht="18.75" customHeight="1">
      <c r="B63" s="42"/>
      <c r="C63" s="42"/>
      <c r="D63" s="42"/>
      <c r="E63" s="43"/>
      <c r="F63" s="43"/>
      <c r="G63" s="43"/>
      <c r="H63" s="43"/>
      <c r="I63" s="44"/>
      <c r="J63" s="45"/>
    </row>
    <row r="64" spans="2:10" ht="18.75" customHeight="1">
      <c r="B64" s="32" t="s">
        <v>87</v>
      </c>
      <c r="E64" s="21"/>
    </row>
    <row r="65" spans="2:10" ht="18.75" customHeight="1">
      <c r="B65" s="3" t="s">
        <v>23</v>
      </c>
      <c r="E65" s="21"/>
    </row>
    <row r="66" spans="2:10" ht="18.75" customHeight="1">
      <c r="B66" s="30" t="s">
        <v>88</v>
      </c>
      <c r="E66" s="21"/>
    </row>
    <row r="67" spans="2:10" ht="18.75" customHeight="1">
      <c r="B67" s="36" t="s">
        <v>613</v>
      </c>
      <c r="E67" s="21"/>
    </row>
    <row r="68" spans="2:10" ht="18.75" customHeight="1">
      <c r="B68" s="36" t="s">
        <v>614</v>
      </c>
      <c r="E68" s="21"/>
    </row>
    <row r="69" spans="2:10" ht="18.75" customHeight="1">
      <c r="B69" s="36" t="s">
        <v>615</v>
      </c>
      <c r="E69" s="21"/>
    </row>
    <row r="70" spans="2:10" ht="18.75" customHeight="1">
      <c r="B70" s="36" t="s">
        <v>669</v>
      </c>
      <c r="E70" s="5">
        <f>425000000/10^7</f>
        <v>42.5</v>
      </c>
      <c r="H70" s="6">
        <f>E70</f>
        <v>42.5</v>
      </c>
    </row>
    <row r="71" spans="2:10" ht="18.75" customHeight="1">
      <c r="B71" s="376" t="s">
        <v>616</v>
      </c>
      <c r="C71" s="10"/>
      <c r="D71" s="10"/>
      <c r="E71" s="11">
        <f>E70</f>
        <v>42.5</v>
      </c>
      <c r="F71" s="10"/>
      <c r="G71" s="10"/>
      <c r="H71" s="12">
        <f>E71</f>
        <v>42.5</v>
      </c>
      <c r="I71" s="10"/>
      <c r="J71" s="10"/>
    </row>
    <row r="72" spans="2:10" ht="18.75" customHeight="1">
      <c r="B72" s="36" t="s">
        <v>617</v>
      </c>
      <c r="E72" s="21"/>
      <c r="H72" s="15"/>
    </row>
    <row r="73" spans="2:10" ht="18.75" customHeight="1">
      <c r="B73" s="36" t="s">
        <v>618</v>
      </c>
      <c r="E73" s="5">
        <f>1694402192.27/10^7</f>
        <v>169.440219227</v>
      </c>
      <c r="H73" s="6">
        <f>E73</f>
        <v>169.440219227</v>
      </c>
    </row>
    <row r="74" spans="2:10" ht="18.75" customHeight="1">
      <c r="B74" s="36" t="s">
        <v>619</v>
      </c>
      <c r="E74" s="21">
        <f>28300000/10^7</f>
        <v>2.83</v>
      </c>
      <c r="H74" s="15">
        <f>E74</f>
        <v>2.83</v>
      </c>
    </row>
    <row r="75" spans="2:10" ht="18.75" customHeight="1">
      <c r="B75" s="36" t="s">
        <v>620</v>
      </c>
      <c r="E75" s="21"/>
      <c r="H75" s="15"/>
    </row>
    <row r="76" spans="2:10" ht="18.75" customHeight="1">
      <c r="B76" s="376" t="s">
        <v>616</v>
      </c>
      <c r="C76" s="10"/>
      <c r="D76" s="10"/>
      <c r="E76" s="11">
        <f>SUM(E73:E75)</f>
        <v>172.27021922700001</v>
      </c>
      <c r="F76" s="10"/>
      <c r="G76" s="10"/>
      <c r="H76" s="12">
        <f>E76</f>
        <v>172.27021922700001</v>
      </c>
      <c r="I76" s="10"/>
      <c r="J76" s="10"/>
    </row>
    <row r="77" spans="2:10" ht="18.75" customHeight="1">
      <c r="B77" s="36" t="s">
        <v>621</v>
      </c>
      <c r="E77" s="21"/>
      <c r="H77" s="15"/>
    </row>
    <row r="78" spans="2:10" ht="18.75" customHeight="1">
      <c r="B78" s="36" t="s">
        <v>622</v>
      </c>
      <c r="E78" s="21"/>
      <c r="H78" s="15"/>
    </row>
    <row r="79" spans="2:10" ht="18.75" customHeight="1">
      <c r="B79" s="36" t="s">
        <v>620</v>
      </c>
      <c r="E79" s="5">
        <f>1669600095.01/10^7</f>
        <v>166.960009501</v>
      </c>
      <c r="H79" s="6">
        <f>E79</f>
        <v>166.960009501</v>
      </c>
    </row>
    <row r="80" spans="2:10" ht="18.75" customHeight="1">
      <c r="B80" s="376" t="s">
        <v>623</v>
      </c>
      <c r="C80" s="10"/>
      <c r="D80" s="10"/>
      <c r="E80" s="11">
        <f>SUM(E79)</f>
        <v>166.960009501</v>
      </c>
      <c r="F80" s="10"/>
      <c r="G80" s="10"/>
      <c r="H80" s="12">
        <f>E80</f>
        <v>166.960009501</v>
      </c>
      <c r="I80" s="10"/>
      <c r="J80" s="10"/>
    </row>
    <row r="81" spans="2:11" ht="18.75" customHeight="1">
      <c r="B81" s="37" t="s">
        <v>12</v>
      </c>
      <c r="C81" s="16"/>
      <c r="D81" s="16"/>
      <c r="E81" s="11">
        <f>E71+E76+E80</f>
        <v>381.73022872800004</v>
      </c>
      <c r="F81" s="16"/>
      <c r="G81" s="16"/>
      <c r="H81" s="11">
        <f>E81</f>
        <v>381.73022872800004</v>
      </c>
      <c r="I81" s="16"/>
      <c r="J81" s="16"/>
    </row>
    <row r="82" spans="2:11" s="3" customFormat="1" ht="18.75" customHeight="1">
      <c r="B82" s="30"/>
      <c r="E82" s="29"/>
    </row>
    <row r="83" spans="2:11" ht="18.75" customHeight="1">
      <c r="B83" s="30" t="s">
        <v>624</v>
      </c>
      <c r="E83" s="21"/>
    </row>
    <row r="84" spans="2:11" ht="18.75" customHeight="1">
      <c r="B84" s="36" t="s">
        <v>625</v>
      </c>
      <c r="E84" s="6">
        <f>283939089.083209/10^7</f>
        <v>28.393908908320899</v>
      </c>
      <c r="H84" s="6">
        <f>E84</f>
        <v>28.393908908320899</v>
      </c>
      <c r="J84" s="118"/>
    </row>
    <row r="85" spans="2:11" ht="18.75" customHeight="1">
      <c r="B85" s="36" t="s">
        <v>626</v>
      </c>
      <c r="E85" s="6"/>
      <c r="H85" s="6"/>
      <c r="J85" s="118"/>
    </row>
    <row r="86" spans="2:11" ht="18.75" customHeight="1">
      <c r="B86" s="36" t="s">
        <v>627</v>
      </c>
      <c r="E86" s="6">
        <f>8228737.82303321/10^7</f>
        <v>0.82287378230332098</v>
      </c>
      <c r="H86" s="6">
        <f>E86</f>
        <v>0.82287378230332098</v>
      </c>
      <c r="J86" s="118"/>
    </row>
    <row r="87" spans="2:11" ht="18.75" customHeight="1">
      <c r="B87" s="36" t="s">
        <v>628</v>
      </c>
    </row>
    <row r="88" spans="2:11" ht="18.75" customHeight="1">
      <c r="B88" s="37" t="s">
        <v>13</v>
      </c>
      <c r="C88" s="16"/>
      <c r="D88" s="16"/>
      <c r="E88" s="11">
        <f>SUM(E84:E87)</f>
        <v>29.216782690624221</v>
      </c>
      <c r="F88" s="16"/>
      <c r="G88" s="16"/>
      <c r="H88" s="11">
        <f>E88</f>
        <v>29.216782690624221</v>
      </c>
      <c r="I88" s="16"/>
      <c r="J88" s="16"/>
    </row>
    <row r="89" spans="2:11" ht="18.75" customHeight="1">
      <c r="B89" s="30"/>
    </row>
    <row r="90" spans="2:11" ht="18.75" customHeight="1">
      <c r="B90" s="30" t="s">
        <v>630</v>
      </c>
      <c r="E90" s="5"/>
    </row>
    <row r="91" spans="2:11" ht="18.75" customHeight="1">
      <c r="B91" s="36" t="s">
        <v>629</v>
      </c>
      <c r="E91" s="5">
        <f>15891790.1/10^7</f>
        <v>1.5891790100000001</v>
      </c>
      <c r="H91" s="6">
        <f>E91</f>
        <v>1.5891790100000001</v>
      </c>
    </row>
    <row r="92" spans="2:11" ht="18.75" customHeight="1">
      <c r="B92" s="37" t="s">
        <v>14</v>
      </c>
      <c r="C92" s="16"/>
      <c r="D92" s="16"/>
      <c r="E92" s="11">
        <f>SUM(E91)</f>
        <v>1.5891790100000001</v>
      </c>
      <c r="F92" s="16"/>
      <c r="G92" s="16"/>
      <c r="H92" s="11">
        <f>E92</f>
        <v>1.5891790100000001</v>
      </c>
      <c r="I92" s="16"/>
      <c r="J92" s="16"/>
      <c r="K92" s="3"/>
    </row>
    <row r="93" spans="2:11" ht="18.75" customHeight="1">
      <c r="B93" s="30"/>
      <c r="C93" s="3"/>
      <c r="D93" s="3"/>
      <c r="E93" s="8"/>
      <c r="F93" s="3"/>
      <c r="G93" s="3"/>
      <c r="H93" s="3"/>
      <c r="I93" s="3"/>
      <c r="J93" s="3"/>
      <c r="K93" s="3"/>
    </row>
    <row r="94" spans="2:11" ht="18.75" customHeight="1">
      <c r="B94" s="24" t="s">
        <v>93</v>
      </c>
      <c r="C94" s="24"/>
      <c r="D94" s="24"/>
      <c r="E94" s="25">
        <f>E81+E88+E92</f>
        <v>412.53619042862425</v>
      </c>
      <c r="F94" s="25"/>
      <c r="G94" s="25"/>
      <c r="H94" s="25">
        <f>H81+H88+H92</f>
        <v>412.53619042862425</v>
      </c>
      <c r="I94" s="26"/>
      <c r="J94" s="28"/>
      <c r="K94" s="3"/>
    </row>
    <row r="95" spans="2:11" ht="18.75" customHeight="1">
      <c r="B95" s="30"/>
      <c r="E95" s="5"/>
    </row>
    <row r="96" spans="2:11" ht="18.75" customHeight="1">
      <c r="B96" s="3" t="s">
        <v>86</v>
      </c>
      <c r="E96" s="5"/>
    </row>
    <row r="97" spans="2:10" ht="18.75" customHeight="1">
      <c r="B97" s="30" t="s">
        <v>88</v>
      </c>
      <c r="E97" s="5"/>
    </row>
    <row r="98" spans="2:10" ht="22.2" customHeight="1">
      <c r="B98" s="30" t="s">
        <v>631</v>
      </c>
      <c r="E98" s="5"/>
    </row>
    <row r="99" spans="2:10" ht="18.75" customHeight="1">
      <c r="B99" s="36" t="s">
        <v>633</v>
      </c>
      <c r="E99" s="5"/>
      <c r="H99" s="6"/>
      <c r="J99" s="118"/>
    </row>
    <row r="100" spans="2:10" ht="18.75" customHeight="1">
      <c r="B100" s="36" t="s">
        <v>632</v>
      </c>
      <c r="E100" s="5">
        <f>10613391.29/10^7</f>
        <v>1.0613391289999998</v>
      </c>
      <c r="H100" s="6">
        <f>E100</f>
        <v>1.0613391289999998</v>
      </c>
    </row>
    <row r="101" spans="2:10" ht="18.75" customHeight="1">
      <c r="B101" s="40" t="s">
        <v>634</v>
      </c>
      <c r="C101" s="16"/>
      <c r="D101" s="16"/>
      <c r="E101" s="12">
        <f>SUM(E99:E100)</f>
        <v>1.0613391289999998</v>
      </c>
      <c r="F101" s="16"/>
      <c r="G101" s="16"/>
      <c r="H101" s="12">
        <f>SUM(H99:H100)</f>
        <v>1.0613391289999998</v>
      </c>
      <c r="I101" s="16"/>
      <c r="J101" s="16"/>
    </row>
    <row r="102" spans="2:10" ht="18.75" customHeight="1">
      <c r="B102" s="30"/>
      <c r="E102" s="5"/>
    </row>
    <row r="103" spans="2:10" ht="18.75" customHeight="1">
      <c r="B103" s="30" t="s">
        <v>89</v>
      </c>
      <c r="E103" s="5"/>
    </row>
    <row r="104" spans="2:10" ht="18.75" customHeight="1">
      <c r="E104" s="5"/>
    </row>
    <row r="105" spans="2:10" ht="18.75" customHeight="1">
      <c r="B105" s="36" t="s">
        <v>635</v>
      </c>
      <c r="E105" s="6">
        <f>176375118.78/10^7</f>
        <v>17.637511878000002</v>
      </c>
      <c r="H105" s="6">
        <f>E105</f>
        <v>17.637511878000002</v>
      </c>
      <c r="J105" s="118"/>
    </row>
    <row r="106" spans="2:10" ht="18.75" customHeight="1">
      <c r="B106" s="40" t="s">
        <v>661</v>
      </c>
      <c r="C106" s="16"/>
      <c r="D106" s="16"/>
      <c r="E106" s="11">
        <f>SUM(E105:E105)</f>
        <v>17.637511878000002</v>
      </c>
      <c r="F106" s="16"/>
      <c r="G106" s="16"/>
      <c r="H106" s="11">
        <f>SUM(H105:H105)</f>
        <v>17.637511878000002</v>
      </c>
      <c r="I106" s="16"/>
      <c r="J106" s="16"/>
    </row>
    <row r="107" spans="2:10" ht="18.75" customHeight="1">
      <c r="B107" s="30"/>
      <c r="E107" s="5"/>
    </row>
    <row r="108" spans="2:10" ht="18.75" customHeight="1">
      <c r="B108" s="30" t="s">
        <v>649</v>
      </c>
      <c r="E108" s="5"/>
    </row>
    <row r="109" spans="2:10" ht="18.75" customHeight="1">
      <c r="B109" s="36" t="s">
        <v>637</v>
      </c>
      <c r="E109" s="5">
        <f>857411509/10^7</f>
        <v>85.741150899999994</v>
      </c>
      <c r="H109" s="6">
        <f t="shared" ref="H109:H121" si="0">E109</f>
        <v>85.741150899999994</v>
      </c>
    </row>
    <row r="110" spans="2:10" ht="18.75" customHeight="1">
      <c r="B110" s="36" t="s">
        <v>638</v>
      </c>
      <c r="E110" s="6">
        <f>918688887.68/10^7</f>
        <v>91.868888767999991</v>
      </c>
      <c r="H110" s="6">
        <f t="shared" si="0"/>
        <v>91.868888767999991</v>
      </c>
      <c r="J110" s="118"/>
    </row>
    <row r="111" spans="2:10" ht="18.75" customHeight="1">
      <c r="B111" s="36" t="s">
        <v>639</v>
      </c>
      <c r="E111" s="6">
        <f>-12743112.99/10^7</f>
        <v>-1.2743112990000001</v>
      </c>
      <c r="H111" s="6">
        <f t="shared" si="0"/>
        <v>-1.2743112990000001</v>
      </c>
      <c r="J111" s="118"/>
    </row>
    <row r="112" spans="2:10" ht="18.75" customHeight="1">
      <c r="B112" s="36" t="s">
        <v>640</v>
      </c>
      <c r="E112" s="6">
        <f>851818.21/10^7</f>
        <v>8.5181820999999991E-2</v>
      </c>
      <c r="H112" s="6">
        <f t="shared" si="0"/>
        <v>8.5181820999999991E-2</v>
      </c>
    </row>
    <row r="113" spans="2:10" ht="18.75" customHeight="1">
      <c r="B113" s="36" t="s">
        <v>636</v>
      </c>
      <c r="E113" s="6">
        <f>103891874.42/10^7</f>
        <v>10.389187442000001</v>
      </c>
      <c r="H113" s="6">
        <f t="shared" si="0"/>
        <v>10.389187442000001</v>
      </c>
      <c r="J113" s="118"/>
    </row>
    <row r="114" spans="2:10" ht="18.75" customHeight="1">
      <c r="B114" s="36" t="s">
        <v>641</v>
      </c>
      <c r="E114" s="6">
        <f>1477780.43/10^7</f>
        <v>0.147778043</v>
      </c>
      <c r="H114" s="6">
        <f t="shared" si="0"/>
        <v>0.147778043</v>
      </c>
      <c r="J114" s="118"/>
    </row>
    <row r="115" spans="2:10" ht="18.75" customHeight="1">
      <c r="B115" s="36" t="s">
        <v>642</v>
      </c>
      <c r="E115" s="6">
        <f>1146902.71/10^7</f>
        <v>0.114690271</v>
      </c>
      <c r="H115" s="6">
        <f t="shared" si="0"/>
        <v>0.114690271</v>
      </c>
      <c r="J115" s="118"/>
    </row>
    <row r="116" spans="2:10" ht="18.75" customHeight="1">
      <c r="B116" s="36" t="s">
        <v>643</v>
      </c>
      <c r="E116" s="6">
        <f>36113605.87/10^7</f>
        <v>3.6113605869999996</v>
      </c>
      <c r="H116" s="6">
        <f t="shared" si="0"/>
        <v>3.6113605869999996</v>
      </c>
      <c r="J116" s="118"/>
    </row>
    <row r="117" spans="2:10" ht="18.75" customHeight="1">
      <c r="B117" s="36" t="s">
        <v>644</v>
      </c>
      <c r="E117" s="6">
        <f>1551047.72/10^7</f>
        <v>0.155104772</v>
      </c>
      <c r="H117" s="6">
        <f t="shared" si="0"/>
        <v>0.155104772</v>
      </c>
      <c r="J117" s="118"/>
    </row>
    <row r="118" spans="2:10" ht="18.75" customHeight="1">
      <c r="B118" s="36" t="s">
        <v>645</v>
      </c>
      <c r="E118" s="6">
        <f>5052112.03/10^7</f>
        <v>0.505211203</v>
      </c>
      <c r="H118" s="6">
        <f t="shared" si="0"/>
        <v>0.505211203</v>
      </c>
      <c r="J118" s="118"/>
    </row>
    <row r="119" spans="2:10" ht="18.75" customHeight="1">
      <c r="B119" s="36" t="s">
        <v>646</v>
      </c>
      <c r="E119" s="119">
        <f>26038.17/10^7</f>
        <v>2.603817E-3</v>
      </c>
      <c r="H119" s="6">
        <f t="shared" si="0"/>
        <v>2.603817E-3</v>
      </c>
      <c r="J119" s="118"/>
    </row>
    <row r="120" spans="2:10" ht="18.75" customHeight="1">
      <c r="B120" s="36" t="s">
        <v>647</v>
      </c>
      <c r="E120" s="6">
        <f>157627/10^7</f>
        <v>1.5762700000000001E-2</v>
      </c>
      <c r="H120" s="6">
        <f t="shared" si="0"/>
        <v>1.5762700000000001E-2</v>
      </c>
      <c r="J120" s="118"/>
    </row>
    <row r="121" spans="2:10" ht="18.75" customHeight="1">
      <c r="B121" s="36" t="s">
        <v>648</v>
      </c>
      <c r="E121" s="6">
        <f>34250758.77/10^7</f>
        <v>3.4250758770000003</v>
      </c>
      <c r="H121" s="6">
        <f t="shared" si="0"/>
        <v>3.4250758770000003</v>
      </c>
      <c r="J121" s="118"/>
    </row>
    <row r="122" spans="2:10" ht="18.75" customHeight="1">
      <c r="B122" s="40" t="s">
        <v>17</v>
      </c>
      <c r="C122" s="16"/>
      <c r="D122" s="16"/>
      <c r="E122" s="11">
        <f>SUM(E109:E121)</f>
        <v>194.78768490199997</v>
      </c>
      <c r="F122" s="16"/>
      <c r="G122" s="16"/>
      <c r="H122" s="11">
        <f>SUM(H109:H121)</f>
        <v>194.78768490199997</v>
      </c>
      <c r="I122" s="16"/>
      <c r="J122" s="16"/>
    </row>
    <row r="123" spans="2:10" ht="18.75" customHeight="1">
      <c r="B123" s="36"/>
      <c r="E123" s="6"/>
      <c r="H123" s="6"/>
      <c r="J123" s="118"/>
    </row>
    <row r="124" spans="2:10" ht="18.75" customHeight="1">
      <c r="B124" s="30" t="s">
        <v>650</v>
      </c>
      <c r="E124" s="5"/>
    </row>
    <row r="125" spans="2:10" ht="18.75" customHeight="1">
      <c r="B125" s="36" t="s">
        <v>651</v>
      </c>
      <c r="E125" s="5"/>
    </row>
    <row r="126" spans="2:10" ht="18.75" customHeight="1">
      <c r="B126" s="36" t="s">
        <v>657</v>
      </c>
      <c r="E126" s="368">
        <f>11435.41/10^7</f>
        <v>1.1435410000000001E-3</v>
      </c>
      <c r="H126" s="6">
        <f t="shared" ref="H126:H128" si="1">E126</f>
        <v>1.1435410000000001E-3</v>
      </c>
    </row>
    <row r="127" spans="2:10" ht="18.75" customHeight="1">
      <c r="B127" s="36" t="s">
        <v>652</v>
      </c>
      <c r="E127" s="6">
        <f>9248780.14/10^7</f>
        <v>0.92487801400000003</v>
      </c>
      <c r="H127" s="6">
        <f t="shared" si="1"/>
        <v>0.92487801400000003</v>
      </c>
      <c r="J127" s="118"/>
    </row>
    <row r="128" spans="2:10" ht="18.75" customHeight="1">
      <c r="B128" s="36" t="s">
        <v>653</v>
      </c>
      <c r="E128" s="6">
        <f>169968440.58/10^7</f>
        <v>16.996844058000001</v>
      </c>
      <c r="H128" s="6">
        <f t="shared" si="1"/>
        <v>16.996844058000001</v>
      </c>
      <c r="J128" s="118"/>
    </row>
    <row r="129" spans="2:10" ht="18.75" customHeight="1">
      <c r="B129" s="36" t="s">
        <v>654</v>
      </c>
      <c r="E129" s="6"/>
      <c r="H129" s="6"/>
      <c r="J129" s="118"/>
    </row>
    <row r="130" spans="2:10" ht="18.75" customHeight="1">
      <c r="B130" s="36" t="s">
        <v>655</v>
      </c>
      <c r="E130" s="6">
        <f>74919/10^7</f>
        <v>7.4919000000000001E-3</v>
      </c>
      <c r="H130" s="6">
        <f t="shared" ref="H130:H131" si="2">E130</f>
        <v>7.4919000000000001E-3</v>
      </c>
    </row>
    <row r="131" spans="2:10" ht="18.75" customHeight="1">
      <c r="B131" s="36" t="s">
        <v>656</v>
      </c>
      <c r="E131" s="6">
        <f>6590182.49/10^7</f>
        <v>0.65901824900000006</v>
      </c>
      <c r="H131" s="6">
        <f t="shared" si="2"/>
        <v>0.65901824900000006</v>
      </c>
      <c r="J131" s="118"/>
    </row>
    <row r="132" spans="2:10" ht="18.75" customHeight="1">
      <c r="B132" s="40" t="s">
        <v>17</v>
      </c>
      <c r="C132" s="16"/>
      <c r="D132" s="16"/>
      <c r="E132" s="12">
        <f>SUM(E126:E131)</f>
        <v>18.589375762</v>
      </c>
      <c r="F132" s="10"/>
      <c r="G132" s="10"/>
      <c r="H132" s="12">
        <f>SUM(H127:H131)</f>
        <v>18.588232221000002</v>
      </c>
      <c r="I132" s="10"/>
      <c r="J132" s="10"/>
    </row>
    <row r="133" spans="2:10" ht="18.75" customHeight="1">
      <c r="B133" s="30"/>
      <c r="C133" s="3"/>
      <c r="D133" s="3"/>
      <c r="E133" s="38"/>
    </row>
    <row r="134" spans="2:10" ht="18.75" customHeight="1">
      <c r="B134" s="24" t="s">
        <v>94</v>
      </c>
      <c r="C134" s="24"/>
      <c r="D134" s="24"/>
      <c r="E134" s="25">
        <f>E101+E106+E122+E132</f>
        <v>232.07591167099997</v>
      </c>
      <c r="F134" s="25"/>
      <c r="G134" s="25"/>
      <c r="H134" s="25">
        <f>H101+H106+H122+H132</f>
        <v>232.07476812999997</v>
      </c>
      <c r="I134" s="26"/>
      <c r="J134" s="28"/>
    </row>
    <row r="135" spans="2:10" ht="18.75" customHeight="1">
      <c r="B135" s="30"/>
      <c r="E135" s="21"/>
    </row>
    <row r="136" spans="2:10" ht="18.75" customHeight="1">
      <c r="B136" s="24" t="s">
        <v>90</v>
      </c>
      <c r="C136" s="24"/>
      <c r="D136" s="24"/>
      <c r="E136" s="25">
        <f>E94+E134</f>
        <v>644.61210209962428</v>
      </c>
      <c r="F136" s="25"/>
      <c r="G136" s="25"/>
      <c r="H136" s="25">
        <f>H94+H134</f>
        <v>644.61095855862425</v>
      </c>
      <c r="I136" s="26"/>
      <c r="J136" s="28"/>
    </row>
    <row r="138" spans="2:10">
      <c r="B138" s="24" t="s">
        <v>91</v>
      </c>
      <c r="C138" s="24"/>
      <c r="D138" s="24"/>
      <c r="E138" s="25">
        <f>SUM(E62,E136)</f>
        <v>238.69146665132092</v>
      </c>
      <c r="F138" s="25"/>
      <c r="G138" s="25"/>
      <c r="H138" s="25">
        <f>SUM(H62,H136)</f>
        <v>238.69032311032089</v>
      </c>
      <c r="I138" s="26"/>
      <c r="J138" s="28"/>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5"/>
  <sheetViews>
    <sheetView topLeftCell="F4" zoomScale="99" zoomScaleNormal="99" workbookViewId="0">
      <selection activeCell="H9" sqref="H9"/>
    </sheetView>
  </sheetViews>
  <sheetFormatPr defaultRowHeight="14.4"/>
  <cols>
    <col min="2" max="2" width="29.33203125" customWidth="1"/>
    <col min="3" max="3" width="11.6640625" customWidth="1"/>
    <col min="4" max="4" width="10" customWidth="1"/>
    <col min="5" max="5" width="12.5546875" customWidth="1"/>
    <col min="6" max="6" width="12.33203125" customWidth="1"/>
    <col min="7" max="7" width="12.5546875" customWidth="1"/>
    <col min="8" max="8" width="64.33203125" customWidth="1"/>
  </cols>
  <sheetData>
    <row r="1" spans="1:11">
      <c r="A1" s="863" t="s">
        <v>319</v>
      </c>
      <c r="B1" s="863"/>
      <c r="C1" s="863"/>
      <c r="D1" s="863"/>
      <c r="E1" s="863"/>
      <c r="F1" s="863"/>
      <c r="G1" s="863"/>
      <c r="H1" s="863"/>
    </row>
    <row r="2" spans="1:11" ht="15" thickBot="1">
      <c r="A2" s="864" t="s">
        <v>294</v>
      </c>
      <c r="B2" s="864"/>
      <c r="C2" s="864"/>
      <c r="D2" s="864"/>
      <c r="E2" s="864"/>
      <c r="F2" s="864"/>
      <c r="G2" s="864"/>
      <c r="H2" s="864"/>
    </row>
    <row r="3" spans="1:11" ht="52.2" customHeight="1" thickBot="1">
      <c r="A3" s="278" t="s">
        <v>222</v>
      </c>
      <c r="B3" s="278" t="s">
        <v>239</v>
      </c>
      <c r="C3" s="277" t="s">
        <v>236</v>
      </c>
      <c r="D3" s="278" t="s">
        <v>237</v>
      </c>
      <c r="E3" s="280" t="s">
        <v>228</v>
      </c>
      <c r="F3" s="280" t="s">
        <v>292</v>
      </c>
      <c r="G3" s="280" t="s">
        <v>291</v>
      </c>
      <c r="H3" s="278" t="s">
        <v>229</v>
      </c>
    </row>
    <row r="4" spans="1:11">
      <c r="A4" s="865" t="s">
        <v>281</v>
      </c>
      <c r="B4" s="866"/>
      <c r="C4" s="866"/>
      <c r="D4" s="866"/>
      <c r="E4" s="866"/>
      <c r="F4" s="866"/>
      <c r="G4" s="866"/>
      <c r="H4" s="867"/>
    </row>
    <row r="5" spans="1:11">
      <c r="A5" s="272"/>
      <c r="B5" s="276" t="s">
        <v>56</v>
      </c>
      <c r="C5" s="272"/>
      <c r="D5" s="272"/>
      <c r="E5" s="272"/>
      <c r="F5" s="272"/>
      <c r="G5" s="272"/>
      <c r="H5" s="272"/>
    </row>
    <row r="6" spans="1:11" ht="70.95" customHeight="1">
      <c r="A6" s="185">
        <v>1</v>
      </c>
      <c r="B6" s="302" t="s">
        <v>215</v>
      </c>
      <c r="C6" s="148">
        <f>0.669*10^5/10^7</f>
        <v>6.6899999999999998E-3</v>
      </c>
      <c r="D6" s="186" t="s">
        <v>304</v>
      </c>
      <c r="E6" s="275">
        <f>C6*I6</f>
        <v>5.352E-3</v>
      </c>
      <c r="F6" s="275">
        <f>E6*J6</f>
        <v>4.2816E-3</v>
      </c>
      <c r="G6" s="293">
        <f>E6*K6</f>
        <v>2.676E-3</v>
      </c>
      <c r="H6" s="259" t="s">
        <v>310</v>
      </c>
      <c r="I6" s="120">
        <v>0.8</v>
      </c>
      <c r="J6" s="120">
        <v>0.8</v>
      </c>
      <c r="K6" s="120">
        <v>0.5</v>
      </c>
    </row>
    <row r="7" spans="1:11" ht="83.4" customHeight="1">
      <c r="A7" s="185">
        <v>2</v>
      </c>
      <c r="B7" s="302" t="s">
        <v>216</v>
      </c>
      <c r="C7" s="148">
        <f>7.843*10^5/10^7</f>
        <v>7.843E-2</v>
      </c>
      <c r="D7" s="186" t="s">
        <v>306</v>
      </c>
      <c r="E7" s="275">
        <f>C7*I7</f>
        <v>3.9215E-2</v>
      </c>
      <c r="F7" s="275">
        <f>E7*J7</f>
        <v>3.1372000000000004E-2</v>
      </c>
      <c r="G7" s="293">
        <f>E7*K7</f>
        <v>1.1764499999999999E-2</v>
      </c>
      <c r="H7" s="259" t="s">
        <v>504</v>
      </c>
      <c r="I7" s="120">
        <v>0.5</v>
      </c>
      <c r="J7" s="120">
        <v>0.8</v>
      </c>
      <c r="K7" s="120">
        <v>0.3</v>
      </c>
    </row>
    <row r="8" spans="1:11" ht="72" customHeight="1">
      <c r="A8" s="185">
        <v>3</v>
      </c>
      <c r="B8" s="302" t="s">
        <v>219</v>
      </c>
      <c r="C8" s="148">
        <f>5.2224724*10^5/10^7</f>
        <v>5.2224724E-2</v>
      </c>
      <c r="D8" s="186" t="s">
        <v>305</v>
      </c>
      <c r="E8" s="275">
        <f>C8*I8</f>
        <v>5.2224724E-2</v>
      </c>
      <c r="F8" s="275">
        <f t="shared" ref="F8:F9" si="0">E8*J8</f>
        <v>5.2224724E-2</v>
      </c>
      <c r="G8" s="293">
        <f t="shared" ref="G8:G9" si="1">E8*K8</f>
        <v>5.2224724E-2</v>
      </c>
      <c r="H8" s="259" t="s">
        <v>311</v>
      </c>
      <c r="I8" s="120">
        <v>1</v>
      </c>
      <c r="J8" s="120">
        <v>1</v>
      </c>
      <c r="K8" s="120">
        <v>1</v>
      </c>
    </row>
    <row r="9" spans="1:11" ht="79.8">
      <c r="A9" s="185">
        <v>4</v>
      </c>
      <c r="B9" s="302" t="s">
        <v>217</v>
      </c>
      <c r="C9" s="148">
        <f>10*10^5/10^7</f>
        <v>0.1</v>
      </c>
      <c r="D9" s="186" t="s">
        <v>306</v>
      </c>
      <c r="E9" s="275">
        <f t="shared" ref="E9" si="2">C9*I9</f>
        <v>0.05</v>
      </c>
      <c r="F9" s="275">
        <f t="shared" si="0"/>
        <v>2.5000000000000001E-2</v>
      </c>
      <c r="G9" s="293">
        <f t="shared" si="1"/>
        <v>1.4999999999999999E-2</v>
      </c>
      <c r="H9" s="259" t="s">
        <v>503</v>
      </c>
      <c r="I9" s="120">
        <v>0.5</v>
      </c>
      <c r="J9" s="120">
        <v>0.5</v>
      </c>
      <c r="K9" s="120">
        <v>0.3</v>
      </c>
    </row>
    <row r="10" spans="1:11">
      <c r="A10" s="252"/>
      <c r="B10" s="273" t="s">
        <v>293</v>
      </c>
      <c r="C10" s="248">
        <f>SUM(C6:C9)</f>
        <v>0.23734472400000001</v>
      </c>
      <c r="D10" s="248"/>
      <c r="E10" s="248">
        <f>SUM(E6:E9)</f>
        <v>0.14679172400000001</v>
      </c>
      <c r="F10" s="248">
        <f>SUM(F6:F9)</f>
        <v>0.112878324</v>
      </c>
      <c r="G10" s="248">
        <f>SUM(G6:G9)</f>
        <v>8.1665223999999995E-2</v>
      </c>
      <c r="H10" s="274"/>
    </row>
    <row r="11" spans="1:11">
      <c r="A11" s="189"/>
      <c r="B11" s="190"/>
      <c r="C11" s="191"/>
      <c r="D11" s="191"/>
      <c r="E11" s="192"/>
      <c r="F11" s="192"/>
      <c r="G11" s="192"/>
      <c r="H11" s="174"/>
    </row>
    <row r="12" spans="1:11">
      <c r="A12" s="868" t="s">
        <v>235</v>
      </c>
      <c r="B12" s="869"/>
      <c r="C12" s="869"/>
      <c r="D12" s="869"/>
      <c r="E12" s="869"/>
      <c r="F12" s="869"/>
      <c r="G12" s="869"/>
      <c r="H12" s="870"/>
    </row>
    <row r="13" spans="1:11">
      <c r="A13" s="871" t="s">
        <v>316</v>
      </c>
      <c r="B13" s="872"/>
      <c r="C13" s="872"/>
      <c r="D13" s="872"/>
      <c r="E13" s="872"/>
      <c r="F13" s="872"/>
      <c r="G13" s="872"/>
      <c r="H13" s="873"/>
    </row>
    <row r="14" spans="1:11">
      <c r="A14" s="874"/>
      <c r="B14" s="875"/>
      <c r="C14" s="875"/>
      <c r="D14" s="875"/>
      <c r="E14" s="875"/>
      <c r="F14" s="875"/>
      <c r="G14" s="875"/>
      <c r="H14" s="876"/>
    </row>
    <row r="15" spans="1:11">
      <c r="A15" s="874"/>
      <c r="B15" s="875"/>
      <c r="C15" s="875"/>
      <c r="D15" s="875"/>
      <c r="E15" s="875"/>
      <c r="F15" s="875"/>
      <c r="G15" s="875"/>
      <c r="H15" s="876"/>
    </row>
    <row r="16" spans="1:11">
      <c r="A16" s="874"/>
      <c r="B16" s="875"/>
      <c r="C16" s="875"/>
      <c r="D16" s="875"/>
      <c r="E16" s="875"/>
      <c r="F16" s="875"/>
      <c r="G16" s="875"/>
      <c r="H16" s="876"/>
    </row>
    <row r="17" spans="1:9">
      <c r="A17" s="874"/>
      <c r="B17" s="875"/>
      <c r="C17" s="875"/>
      <c r="D17" s="875"/>
      <c r="E17" s="875"/>
      <c r="F17" s="875"/>
      <c r="G17" s="875"/>
      <c r="H17" s="876"/>
    </row>
    <row r="18" spans="1:9">
      <c r="A18" s="874"/>
      <c r="B18" s="875"/>
      <c r="C18" s="875"/>
      <c r="D18" s="875"/>
      <c r="E18" s="875"/>
      <c r="F18" s="875"/>
      <c r="G18" s="875"/>
      <c r="H18" s="876"/>
    </row>
    <row r="19" spans="1:9">
      <c r="A19" s="874"/>
      <c r="B19" s="875"/>
      <c r="C19" s="875"/>
      <c r="D19" s="875"/>
      <c r="E19" s="875"/>
      <c r="F19" s="875"/>
      <c r="G19" s="875"/>
      <c r="H19" s="876"/>
    </row>
    <row r="20" spans="1:9">
      <c r="A20" s="874"/>
      <c r="B20" s="875"/>
      <c r="C20" s="875"/>
      <c r="D20" s="875"/>
      <c r="E20" s="875"/>
      <c r="F20" s="875"/>
      <c r="G20" s="875"/>
      <c r="H20" s="876"/>
    </row>
    <row r="21" spans="1:9">
      <c r="A21" s="874"/>
      <c r="B21" s="875"/>
      <c r="C21" s="875"/>
      <c r="D21" s="875"/>
      <c r="E21" s="875"/>
      <c r="F21" s="875"/>
      <c r="G21" s="875"/>
      <c r="H21" s="876"/>
    </row>
    <row r="22" spans="1:9">
      <c r="A22" s="874"/>
      <c r="B22" s="875"/>
      <c r="C22" s="875"/>
      <c r="D22" s="875"/>
      <c r="E22" s="875"/>
      <c r="F22" s="875"/>
      <c r="G22" s="875"/>
      <c r="H22" s="876"/>
    </row>
    <row r="23" spans="1:9">
      <c r="A23" s="877"/>
      <c r="B23" s="878"/>
      <c r="C23" s="878"/>
      <c r="D23" s="878"/>
      <c r="E23" s="878"/>
      <c r="F23" s="878"/>
      <c r="G23" s="878"/>
      <c r="H23" s="879"/>
    </row>
    <row r="28" spans="1:9">
      <c r="E28" s="860" t="s">
        <v>296</v>
      </c>
      <c r="F28" s="860"/>
      <c r="G28" s="860"/>
      <c r="H28" s="281"/>
      <c r="I28" s="281"/>
    </row>
    <row r="29" spans="1:9">
      <c r="E29" s="128" t="s">
        <v>297</v>
      </c>
      <c r="F29" s="861" t="s">
        <v>298</v>
      </c>
      <c r="G29" s="862"/>
      <c r="H29" s="862"/>
      <c r="I29" s="862"/>
    </row>
    <row r="30" spans="1:9" ht="28.2">
      <c r="E30" s="282"/>
      <c r="F30" s="283" t="s">
        <v>299</v>
      </c>
      <c r="G30" s="283" t="s">
        <v>300</v>
      </c>
      <c r="H30" s="283" t="s">
        <v>301</v>
      </c>
      <c r="I30" s="284" t="s">
        <v>302</v>
      </c>
    </row>
    <row r="31" spans="1:9">
      <c r="E31" s="285" t="s">
        <v>215</v>
      </c>
      <c r="F31" s="102">
        <v>0</v>
      </c>
      <c r="G31" s="286">
        <v>0.66900000000000004</v>
      </c>
      <c r="H31" s="102">
        <v>0</v>
      </c>
      <c r="I31" s="102">
        <v>0</v>
      </c>
    </row>
    <row r="32" spans="1:9">
      <c r="E32" s="285" t="s">
        <v>216</v>
      </c>
      <c r="F32" s="102">
        <v>0</v>
      </c>
      <c r="G32" s="102">
        <v>0</v>
      </c>
      <c r="H32" s="287">
        <v>0</v>
      </c>
      <c r="I32" s="288">
        <v>7.843</v>
      </c>
    </row>
    <row r="33" spans="5:9" ht="145.19999999999999">
      <c r="E33" s="289" t="s">
        <v>217</v>
      </c>
      <c r="F33" s="102">
        <v>0</v>
      </c>
      <c r="G33" s="102">
        <v>0</v>
      </c>
      <c r="H33" s="287">
        <v>0</v>
      </c>
      <c r="I33" s="286">
        <v>10</v>
      </c>
    </row>
    <row r="34" spans="5:9" ht="39.6">
      <c r="E34" s="290" t="s">
        <v>303</v>
      </c>
      <c r="F34" s="286">
        <v>5.2224724000000009</v>
      </c>
      <c r="G34" s="102">
        <v>0</v>
      </c>
      <c r="H34" s="102">
        <v>0</v>
      </c>
      <c r="I34" s="102">
        <v>0</v>
      </c>
    </row>
    <row r="35" spans="5:9">
      <c r="E35" s="291" t="s">
        <v>17</v>
      </c>
      <c r="F35" s="292">
        <f>SUM(F31:F34)</f>
        <v>5.2224724000000009</v>
      </c>
      <c r="G35" s="292">
        <f t="shared" ref="G35:I35" si="3">SUM(G31:G34)</f>
        <v>0.66900000000000004</v>
      </c>
      <c r="H35" s="292">
        <f t="shared" si="3"/>
        <v>0</v>
      </c>
      <c r="I35" s="292">
        <f t="shared" si="3"/>
        <v>17.843</v>
      </c>
    </row>
  </sheetData>
  <mergeCells count="7">
    <mergeCell ref="E28:G28"/>
    <mergeCell ref="F29:I29"/>
    <mergeCell ref="A1:H1"/>
    <mergeCell ref="A2:H2"/>
    <mergeCell ref="A4:H4"/>
    <mergeCell ref="A12:H12"/>
    <mergeCell ref="A13:H23"/>
  </mergeCells>
  <dataValidations count="1">
    <dataValidation type="list" allowBlank="1" showInputMessage="1" showErrorMessage="1" sqref="E11:G11" xr:uid="{00000000-0002-0000-1000-000000000000}">
      <formula1>"Very good, Very less, Full payment realization not possible but partial payment can be realised if follow up is done properly, Not possible, Defunct"</formula1>
    </dataValidation>
  </dataValidations>
  <pageMargins left="0.7" right="0.7" top="0.75" bottom="0.75" header="0.3" footer="0.3"/>
  <ignoredErrors>
    <ignoredError sqref="F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31"/>
  <sheetViews>
    <sheetView workbookViewId="0">
      <selection activeCell="C7" sqref="C7:C11"/>
    </sheetView>
  </sheetViews>
  <sheetFormatPr defaultColWidth="8.88671875" defaultRowHeight="11.4"/>
  <cols>
    <col min="1" max="1" width="6.109375" style="152" bestFit="1" customWidth="1"/>
    <col min="2" max="2" width="9.88671875" style="152" customWidth="1"/>
    <col min="3" max="3" width="31.44140625" style="152" customWidth="1"/>
    <col min="4" max="4" width="24.44140625" style="152" customWidth="1"/>
    <col min="5" max="6" width="18.6640625" style="152" customWidth="1"/>
    <col min="7" max="7" width="24.44140625" style="152" customWidth="1"/>
    <col min="8" max="8" width="11.6640625" style="152" customWidth="1"/>
    <col min="9" max="16384" width="8.88671875" style="152"/>
  </cols>
  <sheetData>
    <row r="1" spans="1:9">
      <c r="E1" s="225"/>
    </row>
    <row r="2" spans="1:9" ht="14.4" customHeight="1">
      <c r="B2" s="881" t="s">
        <v>265</v>
      </c>
      <c r="C2" s="881"/>
      <c r="D2" s="881"/>
      <c r="E2" s="881"/>
      <c r="F2" s="881"/>
      <c r="G2" s="881"/>
      <c r="H2" s="881"/>
      <c r="I2" s="226"/>
    </row>
    <row r="3" spans="1:9" ht="12" thickBot="1">
      <c r="A3" s="227"/>
      <c r="B3" s="882" t="s">
        <v>295</v>
      </c>
      <c r="C3" s="882"/>
      <c r="D3" s="882"/>
      <c r="E3" s="882"/>
      <c r="F3" s="882"/>
      <c r="G3" s="882"/>
      <c r="H3" s="882"/>
    </row>
    <row r="4" spans="1:9" ht="23.4" customHeight="1" thickBot="1">
      <c r="A4" s="228"/>
      <c r="B4" s="229" t="s">
        <v>266</v>
      </c>
      <c r="C4" s="229" t="s">
        <v>167</v>
      </c>
      <c r="D4" s="230" t="s">
        <v>267</v>
      </c>
      <c r="E4" s="182" t="s">
        <v>228</v>
      </c>
      <c r="F4" s="280" t="s">
        <v>292</v>
      </c>
      <c r="G4" s="280" t="s">
        <v>291</v>
      </c>
      <c r="H4" s="229" t="s">
        <v>268</v>
      </c>
    </row>
    <row r="5" spans="1:9">
      <c r="A5" s="231"/>
      <c r="B5" s="883" t="s">
        <v>269</v>
      </c>
      <c r="C5" s="883"/>
      <c r="D5" s="883"/>
      <c r="E5" s="883"/>
      <c r="F5" s="883"/>
      <c r="G5" s="883"/>
      <c r="H5" s="883"/>
    </row>
    <row r="6" spans="1:9">
      <c r="A6" s="231"/>
      <c r="B6" s="232">
        <v>1</v>
      </c>
      <c r="C6" s="234" t="s">
        <v>307</v>
      </c>
      <c r="D6" s="235">
        <f>'Non Current Financial Asset- I'!C12</f>
        <v>4.7504</v>
      </c>
      <c r="E6" s="235">
        <f>'Non Current Financial Asset- I'!E12</f>
        <v>4.7504</v>
      </c>
      <c r="F6" s="235">
        <f>'Non Current Financial Asset- I'!F12</f>
        <v>3.5628000000000002</v>
      </c>
      <c r="G6" s="235">
        <f>'Non Current Financial Asset- I'!G12</f>
        <v>0.95008000000000004</v>
      </c>
      <c r="H6" s="233" t="s">
        <v>270</v>
      </c>
    </row>
    <row r="7" spans="1:9">
      <c r="A7" s="231"/>
      <c r="B7" s="232">
        <v>2</v>
      </c>
      <c r="C7" s="234" t="s">
        <v>271</v>
      </c>
      <c r="D7" s="235">
        <f>'Inventories - II'!F13</f>
        <v>46.402200000000001</v>
      </c>
      <c r="E7" s="235">
        <f>'Inventories - II'!G13</f>
        <v>41.396050000000002</v>
      </c>
      <c r="F7" s="235">
        <f>'Inventories - II'!H13</f>
        <v>41.218389999999999</v>
      </c>
      <c r="G7" s="235">
        <f>'Inventories - II'!I13</f>
        <v>17.707510900000003</v>
      </c>
      <c r="H7" s="233" t="s">
        <v>272</v>
      </c>
    </row>
    <row r="8" spans="1:9">
      <c r="A8" s="231"/>
      <c r="B8" s="232">
        <v>3</v>
      </c>
      <c r="C8" s="234" t="s">
        <v>273</v>
      </c>
      <c r="D8" s="236">
        <f>'Trade Receivables - III'!C11</f>
        <v>484.93219999999997</v>
      </c>
      <c r="E8" s="236">
        <f>'Trade Receivables - III'!E11</f>
        <v>62.466019999999972</v>
      </c>
      <c r="F8" s="236">
        <f>'Trade Receivables - III'!F11</f>
        <v>26.911409999999986</v>
      </c>
      <c r="G8" s="236">
        <f>'Trade Receivables - III'!G9</f>
        <v>11.587729999999993</v>
      </c>
      <c r="H8" s="233" t="s">
        <v>274</v>
      </c>
    </row>
    <row r="9" spans="1:9">
      <c r="A9" s="231"/>
      <c r="B9" s="232">
        <v>4</v>
      </c>
      <c r="C9" s="152" t="s">
        <v>308</v>
      </c>
      <c r="D9" s="235">
        <f>'C&amp;CE and Bank Bal. - IV'!C11+'C&amp;CE and Bank Bal. - IV'!C15</f>
        <v>43.582499999999996</v>
      </c>
      <c r="E9" s="235">
        <f>'C&amp;CE and Bank Bal. - IV'!D11+'C&amp;CE and Bank Bal. - IV'!D15</f>
        <v>7.8324999999999978</v>
      </c>
      <c r="F9" s="235">
        <f>'C&amp;CE and Bank Bal. - IV'!E11+'C&amp;CE and Bank Bal. - IV'!E15</f>
        <v>7.8324999999999978</v>
      </c>
      <c r="G9" s="235">
        <f>'C&amp;CE and Bank Bal. - IV'!F11+'C&amp;CE and Bank Bal. - IV'!F15</f>
        <v>7.8324999999999978</v>
      </c>
      <c r="H9" s="233" t="s">
        <v>275</v>
      </c>
    </row>
    <row r="10" spans="1:9">
      <c r="A10" s="231"/>
      <c r="B10" s="232">
        <v>5</v>
      </c>
      <c r="C10" s="234" t="s">
        <v>313</v>
      </c>
      <c r="D10" s="235">
        <f>'Financial Assets- V'!D12+'Financial Assets- V'!D15</f>
        <v>11.241199999999999</v>
      </c>
      <c r="E10" s="235">
        <f>'Financial Assets- V'!E12+'Financial Assets- V'!E15</f>
        <v>4.8133199999999992</v>
      </c>
      <c r="F10" s="235">
        <f>'Financial Assets- V'!F12+'Financial Assets- V'!F15</f>
        <v>4.4366250000000003</v>
      </c>
      <c r="G10" s="235">
        <f>'Financial Assets- V'!G12+'Financial Assets- V'!G15</f>
        <v>3.9826600000000001</v>
      </c>
      <c r="H10" s="233" t="s">
        <v>276</v>
      </c>
    </row>
    <row r="11" spans="1:9">
      <c r="A11" s="231"/>
      <c r="B11" s="232">
        <v>6</v>
      </c>
      <c r="C11" s="234" t="s">
        <v>277</v>
      </c>
      <c r="D11" s="235">
        <f>'Other Current Assest-VI'!D21</f>
        <v>59.591300000000004</v>
      </c>
      <c r="E11" s="235">
        <f>'Other Current Assest-VI'!E21</f>
        <v>56.076940000000008</v>
      </c>
      <c r="F11" s="235">
        <f>'Other Current Assest-VI'!F21</f>
        <v>28.467090000000006</v>
      </c>
      <c r="G11" s="235">
        <f>'Other Current Assest-VI'!G21</f>
        <v>11.591680000000002</v>
      </c>
      <c r="H11" s="232" t="s">
        <v>278</v>
      </c>
    </row>
    <row r="12" spans="1:9" ht="12">
      <c r="A12" s="228"/>
      <c r="B12" s="884" t="s">
        <v>19</v>
      </c>
      <c r="C12" s="885"/>
      <c r="D12" s="237">
        <f>SUM(D6:D11)</f>
        <v>650.49980000000005</v>
      </c>
      <c r="E12" s="237">
        <f>SUM(E6:E11)</f>
        <v>177.33522999999997</v>
      </c>
      <c r="F12" s="237">
        <f>SUM(F6:F11)</f>
        <v>112.42881499999999</v>
      </c>
      <c r="G12" s="237">
        <f>SUM(G6:G11)</f>
        <v>53.652160899999998</v>
      </c>
      <c r="H12" s="238"/>
    </row>
    <row r="13" spans="1:9" ht="12">
      <c r="A13" s="239"/>
      <c r="B13" s="240"/>
      <c r="C13" s="241"/>
      <c r="D13" s="242"/>
      <c r="E13" s="243"/>
      <c r="F13" s="243"/>
      <c r="G13" s="243"/>
      <c r="H13" s="242"/>
    </row>
    <row r="14" spans="1:9" ht="14.4" customHeight="1">
      <c r="A14" s="244" t="s">
        <v>279</v>
      </c>
      <c r="B14" s="886" t="s">
        <v>235</v>
      </c>
      <c r="C14" s="886"/>
      <c r="D14" s="886"/>
      <c r="E14" s="886"/>
      <c r="F14" s="886"/>
      <c r="G14" s="886"/>
      <c r="H14" s="886"/>
    </row>
    <row r="15" spans="1:9" ht="14.4" customHeight="1">
      <c r="A15" s="179"/>
      <c r="B15" s="880" t="s">
        <v>280</v>
      </c>
      <c r="C15" s="880"/>
      <c r="D15" s="880"/>
      <c r="E15" s="880"/>
      <c r="F15" s="880"/>
      <c r="G15" s="880"/>
      <c r="H15" s="880"/>
    </row>
    <row r="16" spans="1:9">
      <c r="A16" s="179"/>
      <c r="B16" s="880"/>
      <c r="C16" s="880"/>
      <c r="D16" s="880"/>
      <c r="E16" s="880"/>
      <c r="F16" s="880"/>
      <c r="G16" s="880"/>
      <c r="H16" s="880"/>
    </row>
    <row r="17" spans="1:8">
      <c r="A17" s="179"/>
      <c r="B17" s="880"/>
      <c r="C17" s="880"/>
      <c r="D17" s="880"/>
      <c r="E17" s="880"/>
      <c r="F17" s="880"/>
      <c r="G17" s="880"/>
      <c r="H17" s="880"/>
    </row>
    <row r="18" spans="1:8">
      <c r="A18" s="179"/>
      <c r="B18" s="880"/>
      <c r="C18" s="880"/>
      <c r="D18" s="880"/>
      <c r="E18" s="880"/>
      <c r="F18" s="880"/>
      <c r="G18" s="880"/>
      <c r="H18" s="880"/>
    </row>
    <row r="19" spans="1:8">
      <c r="A19" s="179"/>
      <c r="B19" s="880"/>
      <c r="C19" s="880"/>
      <c r="D19" s="880"/>
      <c r="E19" s="880"/>
      <c r="F19" s="880"/>
      <c r="G19" s="880"/>
      <c r="H19" s="880"/>
    </row>
    <row r="20" spans="1:8">
      <c r="A20" s="179"/>
      <c r="B20" s="880"/>
      <c r="C20" s="880"/>
      <c r="D20" s="880"/>
      <c r="E20" s="880"/>
      <c r="F20" s="880"/>
      <c r="G20" s="880"/>
      <c r="H20" s="880"/>
    </row>
    <row r="21" spans="1:8">
      <c r="A21" s="179"/>
      <c r="B21" s="880"/>
      <c r="C21" s="880"/>
      <c r="D21" s="880"/>
      <c r="E21" s="880"/>
      <c r="F21" s="880"/>
      <c r="G21" s="880"/>
      <c r="H21" s="880"/>
    </row>
    <row r="22" spans="1:8">
      <c r="A22" s="179"/>
      <c r="B22" s="880"/>
      <c r="C22" s="880"/>
      <c r="D22" s="880"/>
      <c r="E22" s="880"/>
      <c r="F22" s="880"/>
      <c r="G22" s="880"/>
      <c r="H22" s="880"/>
    </row>
    <row r="23" spans="1:8">
      <c r="A23" s="179"/>
      <c r="B23" s="880"/>
      <c r="C23" s="880"/>
      <c r="D23" s="880"/>
      <c r="E23" s="880"/>
      <c r="F23" s="880"/>
      <c r="G23" s="880"/>
      <c r="H23" s="880"/>
    </row>
    <row r="24" spans="1:8">
      <c r="A24" s="179"/>
      <c r="B24" s="880"/>
      <c r="C24" s="880"/>
      <c r="D24" s="880"/>
      <c r="E24" s="880"/>
      <c r="F24" s="880"/>
      <c r="G24" s="880"/>
      <c r="H24" s="880"/>
    </row>
    <row r="25" spans="1:8">
      <c r="A25" s="179"/>
      <c r="B25" s="880"/>
      <c r="C25" s="880"/>
      <c r="D25" s="880"/>
      <c r="E25" s="880"/>
      <c r="F25" s="880"/>
      <c r="G25" s="880"/>
      <c r="H25" s="880"/>
    </row>
    <row r="26" spans="1:8">
      <c r="B26" s="880"/>
      <c r="C26" s="880"/>
      <c r="D26" s="880"/>
      <c r="E26" s="880"/>
      <c r="F26" s="880"/>
      <c r="G26" s="880"/>
      <c r="H26" s="880"/>
    </row>
    <row r="27" spans="1:8">
      <c r="B27" s="880"/>
      <c r="C27" s="880"/>
      <c r="D27" s="880"/>
      <c r="E27" s="880"/>
      <c r="F27" s="880"/>
      <c r="G27" s="880"/>
      <c r="H27" s="880"/>
    </row>
    <row r="28" spans="1:8">
      <c r="B28" s="880"/>
      <c r="C28" s="880"/>
      <c r="D28" s="880"/>
      <c r="E28" s="880"/>
      <c r="F28" s="880"/>
      <c r="G28" s="880"/>
      <c r="H28" s="880"/>
    </row>
    <row r="29" spans="1:8">
      <c r="B29" s="180"/>
      <c r="C29" s="180"/>
      <c r="D29" s="180"/>
      <c r="E29" s="180"/>
      <c r="F29" s="180"/>
      <c r="G29" s="180"/>
      <c r="H29" s="180"/>
    </row>
    <row r="30" spans="1:8">
      <c r="B30" s="180"/>
      <c r="C30" s="180"/>
      <c r="D30" s="180"/>
      <c r="E30" s="180"/>
      <c r="F30" s="180"/>
      <c r="G30" s="180"/>
      <c r="H30" s="180"/>
    </row>
    <row r="31" spans="1:8">
      <c r="B31" s="180"/>
      <c r="C31" s="180"/>
      <c r="D31" s="180"/>
      <c r="E31" s="180"/>
      <c r="F31" s="180"/>
      <c r="G31" s="180"/>
      <c r="H31" s="180"/>
    </row>
  </sheetData>
  <mergeCells count="6">
    <mergeCell ref="B15:H28"/>
    <mergeCell ref="B2:H2"/>
    <mergeCell ref="B3:H3"/>
    <mergeCell ref="B5:H5"/>
    <mergeCell ref="B12:C12"/>
    <mergeCell ref="B14:H1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58"/>
  <sheetViews>
    <sheetView topLeftCell="A4" zoomScale="102" zoomScaleNormal="102" workbookViewId="0">
      <selection activeCell="E10" sqref="E10"/>
    </sheetView>
  </sheetViews>
  <sheetFormatPr defaultRowHeight="14.4"/>
  <cols>
    <col min="1" max="1" width="7.5546875" customWidth="1"/>
    <col min="2" max="2" width="25.6640625" customWidth="1"/>
    <col min="3" max="3" width="11.6640625" customWidth="1"/>
    <col min="4" max="4" width="0" hidden="1" customWidth="1"/>
    <col min="5" max="5" width="11.88671875" customWidth="1"/>
    <col min="6" max="7" width="14.6640625" customWidth="1"/>
    <col min="8" max="8" width="37.88671875" customWidth="1"/>
    <col min="9" max="9" width="15.88671875" customWidth="1"/>
    <col min="10" max="10" width="35.44140625" customWidth="1"/>
    <col min="11" max="11" width="11.6640625" bestFit="1" customWidth="1"/>
    <col min="12" max="12" width="12.6640625" customWidth="1"/>
    <col min="13" max="13" width="18.88671875" customWidth="1"/>
    <col min="14" max="14" width="38.109375" customWidth="1"/>
  </cols>
  <sheetData>
    <row r="1" spans="1:11">
      <c r="A1" s="881" t="s">
        <v>320</v>
      </c>
      <c r="B1" s="881"/>
      <c r="C1" s="881"/>
      <c r="D1" s="881"/>
      <c r="E1" s="881"/>
      <c r="F1" s="881"/>
      <c r="G1" s="881"/>
      <c r="H1" s="881"/>
    </row>
    <row r="2" spans="1:11" ht="15" thickBot="1">
      <c r="A2" s="888" t="s">
        <v>295</v>
      </c>
      <c r="B2" s="889"/>
      <c r="C2" s="889"/>
      <c r="D2" s="889"/>
      <c r="E2" s="889"/>
      <c r="F2" s="889"/>
      <c r="G2" s="889"/>
      <c r="H2" s="889"/>
    </row>
    <row r="3" spans="1:11" ht="60.6" thickBot="1">
      <c r="A3" s="279" t="s">
        <v>222</v>
      </c>
      <c r="B3" s="279" t="s">
        <v>239</v>
      </c>
      <c r="C3" s="277" t="s">
        <v>236</v>
      </c>
      <c r="D3" s="279" t="s">
        <v>237</v>
      </c>
      <c r="E3" s="280" t="s">
        <v>228</v>
      </c>
      <c r="F3" s="280" t="s">
        <v>292</v>
      </c>
      <c r="G3" s="280" t="s">
        <v>291</v>
      </c>
      <c r="H3" s="278" t="s">
        <v>229</v>
      </c>
    </row>
    <row r="4" spans="1:11">
      <c r="A4" s="865" t="s">
        <v>281</v>
      </c>
      <c r="B4" s="866"/>
      <c r="C4" s="866"/>
      <c r="D4" s="866"/>
      <c r="E4" s="866"/>
      <c r="F4" s="866"/>
      <c r="G4" s="866"/>
      <c r="H4" s="867"/>
    </row>
    <row r="5" spans="1:11" ht="14.4" customHeight="1">
      <c r="A5" s="272"/>
      <c r="B5" s="303" t="s">
        <v>57</v>
      </c>
      <c r="C5" s="272"/>
      <c r="D5" s="272"/>
      <c r="E5" s="272"/>
      <c r="F5" s="272"/>
      <c r="G5" s="272"/>
      <c r="H5" s="272"/>
    </row>
    <row r="6" spans="1:11" hidden="1">
      <c r="A6" s="185">
        <v>1</v>
      </c>
      <c r="B6" s="303" t="s">
        <v>58</v>
      </c>
      <c r="C6" s="304">
        <v>0</v>
      </c>
      <c r="D6" s="304" t="s">
        <v>238</v>
      </c>
      <c r="E6" s="304">
        <v>0</v>
      </c>
      <c r="F6" s="304">
        <v>0</v>
      </c>
      <c r="G6" s="304">
        <v>0</v>
      </c>
      <c r="H6" s="122"/>
    </row>
    <row r="7" spans="1:11" hidden="1">
      <c r="A7" s="185">
        <v>2</v>
      </c>
      <c r="B7" s="303" t="s">
        <v>59</v>
      </c>
      <c r="C7" s="304">
        <v>0</v>
      </c>
      <c r="D7" s="304"/>
      <c r="E7" s="304">
        <v>0</v>
      </c>
      <c r="F7" s="304">
        <v>0</v>
      </c>
      <c r="G7" s="304">
        <v>0</v>
      </c>
      <c r="H7" s="122"/>
    </row>
    <row r="8" spans="1:11" hidden="1">
      <c r="A8" s="185">
        <v>3</v>
      </c>
      <c r="B8" s="303" t="s">
        <v>60</v>
      </c>
      <c r="C8" s="304">
        <v>0</v>
      </c>
      <c r="D8" s="304" t="s">
        <v>238</v>
      </c>
      <c r="E8" s="304">
        <v>0</v>
      </c>
      <c r="F8" s="304">
        <v>0</v>
      </c>
      <c r="G8" s="304">
        <v>0</v>
      </c>
      <c r="H8" s="122"/>
    </row>
    <row r="9" spans="1:11" hidden="1">
      <c r="A9" s="185">
        <v>4</v>
      </c>
      <c r="B9" s="303" t="s">
        <v>61</v>
      </c>
      <c r="C9" s="304">
        <v>0</v>
      </c>
      <c r="D9" s="304"/>
      <c r="E9" s="304">
        <v>0</v>
      </c>
      <c r="F9" s="304">
        <v>0</v>
      </c>
      <c r="G9" s="304">
        <v>0</v>
      </c>
      <c r="H9" s="122"/>
    </row>
    <row r="10" spans="1:11" ht="254.4" customHeight="1">
      <c r="A10" s="185">
        <v>1</v>
      </c>
      <c r="B10" s="303" t="s">
        <v>62</v>
      </c>
      <c r="C10" s="187">
        <f>475.04*10^5/10^7</f>
        <v>4.7504</v>
      </c>
      <c r="D10" s="187"/>
      <c r="E10" s="187">
        <f>C10*I10</f>
        <v>4.7504</v>
      </c>
      <c r="F10" s="187">
        <f>C10*J10</f>
        <v>3.5628000000000002</v>
      </c>
      <c r="G10" s="187">
        <f>C10*K10</f>
        <v>0.95008000000000004</v>
      </c>
      <c r="H10" s="247" t="s">
        <v>509</v>
      </c>
      <c r="I10" s="118">
        <v>1</v>
      </c>
      <c r="J10" s="166">
        <v>0.75</v>
      </c>
      <c r="K10" s="166">
        <v>0.2</v>
      </c>
    </row>
    <row r="11" spans="1:11" hidden="1">
      <c r="A11" s="185">
        <v>6</v>
      </c>
      <c r="B11" s="303" t="s">
        <v>63</v>
      </c>
      <c r="C11" s="304">
        <v>0</v>
      </c>
      <c r="D11" s="304" t="s">
        <v>238</v>
      </c>
      <c r="E11" s="304">
        <v>0</v>
      </c>
      <c r="F11" s="304">
        <v>0</v>
      </c>
      <c r="G11" s="304">
        <v>0</v>
      </c>
      <c r="H11" s="259"/>
    </row>
    <row r="12" spans="1:11" ht="14.4" customHeight="1">
      <c r="A12" s="252"/>
      <c r="B12" s="312" t="s">
        <v>534</v>
      </c>
      <c r="C12" s="248">
        <f>SUM(C6:C11)</f>
        <v>4.7504</v>
      </c>
      <c r="D12" s="248"/>
      <c r="E12" s="248">
        <f>SUM(E6:E11)</f>
        <v>4.7504</v>
      </c>
      <c r="F12" s="248">
        <f>SUM(F6:F11)</f>
        <v>3.5628000000000002</v>
      </c>
      <c r="G12" s="248">
        <f>SUM(G6:G11)</f>
        <v>0.95008000000000004</v>
      </c>
      <c r="H12" s="274"/>
    </row>
    <row r="13" spans="1:11">
      <c r="A13" s="189"/>
      <c r="B13" s="190"/>
      <c r="C13" s="191"/>
      <c r="D13" s="191"/>
      <c r="E13" s="192"/>
      <c r="F13" s="192"/>
      <c r="G13" s="192"/>
      <c r="H13" s="174"/>
    </row>
    <row r="14" spans="1:11">
      <c r="A14" s="868" t="s">
        <v>235</v>
      </c>
      <c r="B14" s="869"/>
      <c r="C14" s="869"/>
      <c r="D14" s="869"/>
      <c r="E14" s="869"/>
      <c r="F14" s="869"/>
      <c r="G14" s="869"/>
      <c r="H14" s="870"/>
    </row>
    <row r="15" spans="1:11">
      <c r="A15" s="871" t="s">
        <v>317</v>
      </c>
      <c r="B15" s="872"/>
      <c r="C15" s="872"/>
      <c r="D15" s="872"/>
      <c r="E15" s="872"/>
      <c r="F15" s="872"/>
      <c r="G15" s="872"/>
      <c r="H15" s="873"/>
    </row>
    <row r="16" spans="1:11">
      <c r="A16" s="874"/>
      <c r="B16" s="875"/>
      <c r="C16" s="875"/>
      <c r="D16" s="875"/>
      <c r="E16" s="875"/>
      <c r="F16" s="875"/>
      <c r="G16" s="875"/>
      <c r="H16" s="876"/>
    </row>
    <row r="17" spans="1:14" ht="14.4" customHeight="1">
      <c r="A17" s="874"/>
      <c r="B17" s="875"/>
      <c r="C17" s="875"/>
      <c r="D17" s="875"/>
      <c r="E17" s="875"/>
      <c r="F17" s="875"/>
      <c r="G17" s="875"/>
      <c r="H17" s="876"/>
    </row>
    <row r="18" spans="1:14">
      <c r="A18" s="874"/>
      <c r="B18" s="875"/>
      <c r="C18" s="875"/>
      <c r="D18" s="875"/>
      <c r="E18" s="875"/>
      <c r="F18" s="875"/>
      <c r="G18" s="875"/>
      <c r="H18" s="876"/>
    </row>
    <row r="19" spans="1:14">
      <c r="A19" s="874"/>
      <c r="B19" s="875"/>
      <c r="C19" s="875"/>
      <c r="D19" s="875"/>
      <c r="E19" s="875"/>
      <c r="F19" s="875"/>
      <c r="G19" s="875"/>
      <c r="H19" s="876"/>
    </row>
    <row r="20" spans="1:14">
      <c r="A20" s="874"/>
      <c r="B20" s="875"/>
      <c r="C20" s="875"/>
      <c r="D20" s="875"/>
      <c r="E20" s="875"/>
      <c r="F20" s="875"/>
      <c r="G20" s="875"/>
      <c r="H20" s="876"/>
    </row>
    <row r="21" spans="1:14" ht="14.4" customHeight="1">
      <c r="A21" s="874"/>
      <c r="B21" s="875"/>
      <c r="C21" s="875"/>
      <c r="D21" s="875"/>
      <c r="E21" s="875"/>
      <c r="F21" s="875"/>
      <c r="G21" s="875"/>
      <c r="H21" s="876"/>
    </row>
    <row r="22" spans="1:14">
      <c r="A22" s="874"/>
      <c r="B22" s="875"/>
      <c r="C22" s="875"/>
      <c r="D22" s="875"/>
      <c r="E22" s="875"/>
      <c r="F22" s="875"/>
      <c r="G22" s="875"/>
      <c r="H22" s="876"/>
    </row>
    <row r="23" spans="1:14">
      <c r="A23" s="874"/>
      <c r="B23" s="875"/>
      <c r="C23" s="875"/>
      <c r="D23" s="875"/>
      <c r="E23" s="875"/>
      <c r="F23" s="875"/>
      <c r="G23" s="875"/>
      <c r="H23" s="876"/>
    </row>
    <row r="24" spans="1:14">
      <c r="A24" s="874"/>
      <c r="B24" s="875"/>
      <c r="C24" s="875"/>
      <c r="D24" s="875"/>
      <c r="E24" s="875"/>
      <c r="F24" s="875"/>
      <c r="G24" s="875"/>
      <c r="H24" s="876"/>
    </row>
    <row r="25" spans="1:14">
      <c r="A25" s="877"/>
      <c r="B25" s="878"/>
      <c r="C25" s="878"/>
      <c r="D25" s="878"/>
      <c r="E25" s="878"/>
      <c r="F25" s="878"/>
      <c r="G25" s="878"/>
      <c r="H25" s="879"/>
    </row>
    <row r="26" spans="1:14">
      <c r="I26" s="881" t="s">
        <v>481</v>
      </c>
      <c r="J26" s="881"/>
      <c r="K26" s="881"/>
      <c r="L26" s="881"/>
      <c r="M26" s="881"/>
      <c r="N26" s="881"/>
    </row>
    <row r="27" spans="1:14">
      <c r="I27" s="888" t="s">
        <v>295</v>
      </c>
      <c r="J27" s="889"/>
      <c r="K27" s="889"/>
      <c r="L27" s="889"/>
      <c r="M27" s="889"/>
      <c r="N27" s="889"/>
    </row>
    <row r="28" spans="1:14">
      <c r="I28" s="318" t="s">
        <v>328</v>
      </c>
      <c r="J28" s="319" t="s">
        <v>329</v>
      </c>
      <c r="K28" s="320" t="s">
        <v>330</v>
      </c>
      <c r="L28" s="321" t="s">
        <v>331</v>
      </c>
      <c r="M28" s="321" t="s">
        <v>332</v>
      </c>
      <c r="N28" s="321" t="s">
        <v>333</v>
      </c>
    </row>
    <row r="29" spans="1:14">
      <c r="A29" s="865"/>
      <c r="B29" s="866"/>
      <c r="C29" s="866"/>
      <c r="D29" s="866"/>
      <c r="E29" s="866"/>
      <c r="F29" s="866"/>
      <c r="G29" s="866"/>
      <c r="H29" s="867"/>
      <c r="I29" s="890" t="s">
        <v>482</v>
      </c>
      <c r="J29" s="890"/>
      <c r="K29" s="890"/>
      <c r="L29" s="890"/>
      <c r="M29" s="890"/>
      <c r="N29" s="890"/>
    </row>
    <row r="30" spans="1:14" ht="28.8">
      <c r="I30" s="322" t="s">
        <v>334</v>
      </c>
      <c r="J30" s="323" t="s">
        <v>335</v>
      </c>
      <c r="K30" s="324">
        <v>4500</v>
      </c>
      <c r="L30" s="77" t="s">
        <v>336</v>
      </c>
      <c r="M30" s="77">
        <v>3034</v>
      </c>
      <c r="N30" s="283" t="s">
        <v>337</v>
      </c>
    </row>
    <row r="31" spans="1:14">
      <c r="I31" s="325">
        <v>39351</v>
      </c>
      <c r="J31" s="326" t="s">
        <v>338</v>
      </c>
      <c r="K31" s="327">
        <v>2150</v>
      </c>
      <c r="L31" s="77" t="s">
        <v>339</v>
      </c>
      <c r="M31" s="77">
        <v>5300</v>
      </c>
      <c r="N31" s="887" t="s">
        <v>340</v>
      </c>
    </row>
    <row r="32" spans="1:14">
      <c r="I32" s="325">
        <v>40457</v>
      </c>
      <c r="J32" s="326" t="s">
        <v>338</v>
      </c>
      <c r="K32" s="327">
        <v>4550</v>
      </c>
      <c r="L32" s="77" t="s">
        <v>339</v>
      </c>
      <c r="M32" s="77">
        <v>4194</v>
      </c>
      <c r="N32" s="887"/>
    </row>
    <row r="33" spans="9:14">
      <c r="I33" s="325">
        <v>41747</v>
      </c>
      <c r="J33" s="326" t="s">
        <v>338</v>
      </c>
      <c r="K33" s="327">
        <v>6000</v>
      </c>
      <c r="L33" s="77" t="s">
        <v>339</v>
      </c>
      <c r="M33" s="77">
        <v>2904</v>
      </c>
      <c r="N33" s="887"/>
    </row>
    <row r="34" spans="9:14">
      <c r="I34" s="325">
        <v>43272</v>
      </c>
      <c r="J34" s="326" t="s">
        <v>338</v>
      </c>
      <c r="K34" s="327">
        <v>5470</v>
      </c>
      <c r="L34" s="77" t="s">
        <v>339</v>
      </c>
      <c r="M34" s="77">
        <v>1379</v>
      </c>
      <c r="N34" s="887"/>
    </row>
    <row r="35" spans="9:14" ht="28.8">
      <c r="I35" s="325">
        <v>39436</v>
      </c>
      <c r="J35" s="326" t="s">
        <v>341</v>
      </c>
      <c r="K35" s="328">
        <v>2835000</v>
      </c>
      <c r="L35" s="77" t="s">
        <v>339</v>
      </c>
      <c r="M35" s="77">
        <v>5215</v>
      </c>
      <c r="N35" s="283" t="s">
        <v>342</v>
      </c>
    </row>
    <row r="36" spans="9:14">
      <c r="I36" s="325">
        <v>38786</v>
      </c>
      <c r="J36" s="326" t="s">
        <v>343</v>
      </c>
      <c r="K36" s="328">
        <v>18000</v>
      </c>
      <c r="L36" s="77" t="s">
        <v>339</v>
      </c>
      <c r="M36" s="77">
        <v>5865</v>
      </c>
      <c r="N36" s="887" t="s">
        <v>344</v>
      </c>
    </row>
    <row r="37" spans="9:14">
      <c r="I37" s="325">
        <v>39499</v>
      </c>
      <c r="J37" s="326" t="s">
        <v>343</v>
      </c>
      <c r="K37" s="328">
        <v>16000</v>
      </c>
      <c r="L37" s="77" t="s">
        <v>339</v>
      </c>
      <c r="M37" s="77">
        <v>5152</v>
      </c>
      <c r="N37" s="887"/>
    </row>
    <row r="38" spans="9:14">
      <c r="I38" s="325">
        <v>38964</v>
      </c>
      <c r="J38" s="326" t="s">
        <v>345</v>
      </c>
      <c r="K38" s="328">
        <v>61200</v>
      </c>
      <c r="L38" s="77" t="s">
        <v>339</v>
      </c>
      <c r="M38" s="77">
        <v>5687</v>
      </c>
      <c r="N38" s="887" t="s">
        <v>346</v>
      </c>
    </row>
    <row r="39" spans="9:14">
      <c r="I39" s="325">
        <v>39506</v>
      </c>
      <c r="J39" s="326" t="s">
        <v>345</v>
      </c>
      <c r="K39" s="328">
        <v>6500</v>
      </c>
      <c r="L39" s="77" t="s">
        <v>339</v>
      </c>
      <c r="M39" s="77">
        <v>5145</v>
      </c>
      <c r="N39" s="887"/>
    </row>
    <row r="40" spans="9:14">
      <c r="I40" s="325">
        <v>40857</v>
      </c>
      <c r="J40" s="326" t="s">
        <v>345</v>
      </c>
      <c r="K40" s="328">
        <v>500</v>
      </c>
      <c r="L40" s="77" t="s">
        <v>339</v>
      </c>
      <c r="M40" s="77">
        <v>3794</v>
      </c>
      <c r="N40" s="887"/>
    </row>
    <row r="41" spans="9:14">
      <c r="I41" s="325">
        <v>40870</v>
      </c>
      <c r="J41" s="326" t="s">
        <v>345</v>
      </c>
      <c r="K41" s="328">
        <v>500</v>
      </c>
      <c r="L41" s="77" t="s">
        <v>339</v>
      </c>
      <c r="M41" s="77">
        <v>3781</v>
      </c>
      <c r="N41" s="887"/>
    </row>
    <row r="42" spans="9:14" ht="28.8">
      <c r="I42" s="325">
        <v>41764</v>
      </c>
      <c r="J42" s="326" t="s">
        <v>347</v>
      </c>
      <c r="K42" s="328">
        <v>3400</v>
      </c>
      <c r="L42" s="77" t="s">
        <v>339</v>
      </c>
      <c r="M42" s="77">
        <v>2522</v>
      </c>
      <c r="N42" s="283" t="s">
        <v>348</v>
      </c>
    </row>
    <row r="43" spans="9:14">
      <c r="I43" s="325">
        <v>36799</v>
      </c>
      <c r="J43" s="326" t="s">
        <v>349</v>
      </c>
      <c r="K43" s="328">
        <v>7293300</v>
      </c>
      <c r="L43" s="77" t="s">
        <v>339</v>
      </c>
      <c r="M43" s="77">
        <v>7852</v>
      </c>
      <c r="N43" s="887" t="s">
        <v>340</v>
      </c>
    </row>
    <row r="44" spans="9:14">
      <c r="I44" s="325">
        <v>39330</v>
      </c>
      <c r="J44" s="326" t="s">
        <v>349</v>
      </c>
      <c r="K44" s="328">
        <v>24210</v>
      </c>
      <c r="L44" s="77" t="s">
        <v>339</v>
      </c>
      <c r="M44" s="77">
        <v>5321</v>
      </c>
      <c r="N44" s="887"/>
    </row>
    <row r="45" spans="9:14">
      <c r="I45" s="325">
        <v>42913</v>
      </c>
      <c r="J45" s="326" t="s">
        <v>349</v>
      </c>
      <c r="K45" s="328">
        <v>1038000</v>
      </c>
      <c r="L45" s="77" t="s">
        <v>339</v>
      </c>
      <c r="M45" s="77">
        <v>1738</v>
      </c>
      <c r="N45" s="887"/>
    </row>
    <row r="46" spans="9:14" ht="28.8">
      <c r="I46" s="325">
        <v>37042</v>
      </c>
      <c r="J46" s="326" t="s">
        <v>350</v>
      </c>
      <c r="K46" s="328">
        <v>24000</v>
      </c>
      <c r="L46" s="77" t="s">
        <v>339</v>
      </c>
      <c r="M46" s="77">
        <v>7609</v>
      </c>
      <c r="N46" s="283" t="s">
        <v>351</v>
      </c>
    </row>
    <row r="47" spans="9:14">
      <c r="I47" s="329" t="s">
        <v>352</v>
      </c>
      <c r="J47" s="330" t="s">
        <v>353</v>
      </c>
      <c r="K47" s="331">
        <v>350574</v>
      </c>
      <c r="L47" s="77" t="s">
        <v>354</v>
      </c>
      <c r="M47" s="77">
        <v>6509</v>
      </c>
      <c r="N47" s="887" t="s">
        <v>337</v>
      </c>
    </row>
    <row r="48" spans="9:14">
      <c r="I48" s="329" t="s">
        <v>355</v>
      </c>
      <c r="J48" s="330" t="s">
        <v>356</v>
      </c>
      <c r="K48" s="331">
        <v>8500000</v>
      </c>
      <c r="L48" s="77" t="s">
        <v>354</v>
      </c>
      <c r="M48" s="77">
        <v>5371</v>
      </c>
      <c r="N48" s="887"/>
    </row>
    <row r="49" spans="9:14">
      <c r="I49" s="329" t="s">
        <v>357</v>
      </c>
      <c r="J49" s="330" t="s">
        <v>358</v>
      </c>
      <c r="K49" s="331">
        <v>1650000</v>
      </c>
      <c r="L49" s="77" t="s">
        <v>354</v>
      </c>
      <c r="M49" s="77">
        <v>2007</v>
      </c>
      <c r="N49" s="887"/>
    </row>
    <row r="50" spans="9:14">
      <c r="I50" s="329" t="s">
        <v>359</v>
      </c>
      <c r="J50" s="330" t="s">
        <v>360</v>
      </c>
      <c r="K50" s="331">
        <v>420000</v>
      </c>
      <c r="L50" s="77" t="s">
        <v>354</v>
      </c>
      <c r="M50" s="77">
        <v>1969</v>
      </c>
      <c r="N50" s="887"/>
    </row>
    <row r="51" spans="9:14">
      <c r="I51" s="332" t="s">
        <v>361</v>
      </c>
      <c r="J51" s="333" t="s">
        <v>362</v>
      </c>
      <c r="K51" s="334">
        <v>1680000</v>
      </c>
      <c r="L51" s="77" t="s">
        <v>354</v>
      </c>
      <c r="M51" s="77">
        <v>2088</v>
      </c>
      <c r="N51" s="887"/>
    </row>
    <row r="52" spans="9:14">
      <c r="I52" s="329" t="s">
        <v>361</v>
      </c>
      <c r="J52" s="333" t="s">
        <v>363</v>
      </c>
      <c r="K52" s="331">
        <v>1200000</v>
      </c>
      <c r="L52" s="77" t="s">
        <v>354</v>
      </c>
      <c r="M52" s="77">
        <v>2088</v>
      </c>
      <c r="N52" s="887"/>
    </row>
    <row r="53" spans="9:14">
      <c r="I53" s="335" t="s">
        <v>364</v>
      </c>
      <c r="J53" s="336" t="s">
        <v>365</v>
      </c>
      <c r="K53" s="328">
        <v>1412908</v>
      </c>
      <c r="L53" s="77" t="s">
        <v>366</v>
      </c>
      <c r="M53" s="77">
        <v>8125</v>
      </c>
      <c r="N53" s="887" t="s">
        <v>367</v>
      </c>
    </row>
    <row r="54" spans="9:14">
      <c r="I54" s="335" t="s">
        <v>368</v>
      </c>
      <c r="J54" s="336" t="s">
        <v>369</v>
      </c>
      <c r="K54" s="328">
        <v>15171.5</v>
      </c>
      <c r="L54" s="77" t="s">
        <v>366</v>
      </c>
      <c r="M54" s="77">
        <v>7151</v>
      </c>
      <c r="N54" s="887"/>
    </row>
    <row r="55" spans="9:14">
      <c r="I55" s="335" t="s">
        <v>370</v>
      </c>
      <c r="J55" s="336" t="s">
        <v>371</v>
      </c>
      <c r="K55" s="328">
        <v>15000</v>
      </c>
      <c r="L55" s="77" t="s">
        <v>366</v>
      </c>
      <c r="M55" s="77">
        <v>4017</v>
      </c>
      <c r="N55" s="887"/>
    </row>
    <row r="56" spans="9:14">
      <c r="I56" s="335" t="s">
        <v>372</v>
      </c>
      <c r="J56" s="336" t="s">
        <v>373</v>
      </c>
      <c r="K56" s="328">
        <v>100000</v>
      </c>
      <c r="L56" s="77" t="s">
        <v>366</v>
      </c>
      <c r="M56" s="77">
        <v>1694</v>
      </c>
      <c r="N56" s="887"/>
    </row>
    <row r="57" spans="9:14">
      <c r="I57" s="337" t="s">
        <v>374</v>
      </c>
      <c r="J57" s="336" t="s">
        <v>375</v>
      </c>
      <c r="K57" s="328">
        <v>8736</v>
      </c>
      <c r="L57" s="77" t="s">
        <v>366</v>
      </c>
      <c r="M57" s="77">
        <v>1</v>
      </c>
      <c r="N57" s="887"/>
    </row>
    <row r="58" spans="9:14">
      <c r="I58" s="335" t="s">
        <v>376</v>
      </c>
      <c r="J58" s="336" t="s">
        <v>377</v>
      </c>
      <c r="K58" s="328">
        <v>36790</v>
      </c>
      <c r="L58" s="77" t="s">
        <v>366</v>
      </c>
      <c r="M58" s="77">
        <v>4360</v>
      </c>
      <c r="N58" s="887"/>
    </row>
    <row r="59" spans="9:14">
      <c r="I59" s="335" t="s">
        <v>378</v>
      </c>
      <c r="J59" s="336" t="s">
        <v>379</v>
      </c>
      <c r="K59" s="328">
        <v>150000</v>
      </c>
      <c r="L59" s="77" t="s">
        <v>366</v>
      </c>
      <c r="M59" s="77">
        <v>3471</v>
      </c>
      <c r="N59" s="887"/>
    </row>
    <row r="60" spans="9:14">
      <c r="I60" s="335" t="s">
        <v>380</v>
      </c>
      <c r="J60" s="336" t="s">
        <v>381</v>
      </c>
      <c r="K60" s="328">
        <v>5000</v>
      </c>
      <c r="L60" s="77" t="s">
        <v>366</v>
      </c>
      <c r="M60" s="77">
        <v>5125</v>
      </c>
      <c r="N60" s="887"/>
    </row>
    <row r="61" spans="9:14">
      <c r="I61" s="335" t="s">
        <v>382</v>
      </c>
      <c r="J61" s="336" t="s">
        <v>383</v>
      </c>
      <c r="K61" s="328">
        <v>88500</v>
      </c>
      <c r="L61" s="77" t="s">
        <v>366</v>
      </c>
      <c r="M61" s="77">
        <v>2653</v>
      </c>
      <c r="N61" s="887"/>
    </row>
    <row r="62" spans="9:14">
      <c r="I62" s="335" t="s">
        <v>384</v>
      </c>
      <c r="J62" s="336" t="s">
        <v>385</v>
      </c>
      <c r="K62" s="328">
        <v>62400</v>
      </c>
      <c r="L62" s="77" t="s">
        <v>366</v>
      </c>
      <c r="M62" s="77">
        <v>4270</v>
      </c>
      <c r="N62" s="887"/>
    </row>
    <row r="63" spans="9:14">
      <c r="I63" s="335" t="s">
        <v>386</v>
      </c>
      <c r="J63" s="336" t="s">
        <v>387</v>
      </c>
      <c r="K63" s="328">
        <v>300000</v>
      </c>
      <c r="L63" s="77" t="s">
        <v>366</v>
      </c>
      <c r="M63" s="77">
        <v>3834</v>
      </c>
      <c r="N63" s="887"/>
    </row>
    <row r="64" spans="9:14">
      <c r="I64" s="338" t="s">
        <v>388</v>
      </c>
      <c r="J64" s="336" t="s">
        <v>389</v>
      </c>
      <c r="K64" s="328">
        <v>6293424</v>
      </c>
      <c r="L64" s="77" t="s">
        <v>366</v>
      </c>
      <c r="M64" s="77">
        <v>1551</v>
      </c>
      <c r="N64" s="887"/>
    </row>
    <row r="65" spans="9:14">
      <c r="I65" s="335" t="s">
        <v>390</v>
      </c>
      <c r="J65" s="336" t="s">
        <v>391</v>
      </c>
      <c r="K65" s="328">
        <v>10000</v>
      </c>
      <c r="L65" s="77" t="s">
        <v>366</v>
      </c>
      <c r="M65" s="77">
        <v>2577</v>
      </c>
      <c r="N65" s="887"/>
    </row>
    <row r="66" spans="9:14">
      <c r="I66" s="335" t="s">
        <v>392</v>
      </c>
      <c r="J66" s="336" t="s">
        <v>393</v>
      </c>
      <c r="K66" s="328">
        <v>5743</v>
      </c>
      <c r="L66" s="77" t="s">
        <v>366</v>
      </c>
      <c r="M66" s="77">
        <v>377</v>
      </c>
      <c r="N66" s="887"/>
    </row>
    <row r="67" spans="9:14">
      <c r="I67" s="335" t="s">
        <v>394</v>
      </c>
      <c r="J67" s="336" t="s">
        <v>395</v>
      </c>
      <c r="K67" s="328">
        <v>100000</v>
      </c>
      <c r="L67" s="77" t="s">
        <v>366</v>
      </c>
      <c r="M67" s="77">
        <v>1</v>
      </c>
      <c r="N67" s="887"/>
    </row>
    <row r="68" spans="9:14">
      <c r="I68" s="335" t="s">
        <v>394</v>
      </c>
      <c r="J68" s="339" t="s">
        <v>396</v>
      </c>
      <c r="K68" s="340">
        <v>12000</v>
      </c>
      <c r="L68" s="77" t="s">
        <v>354</v>
      </c>
      <c r="M68" s="77">
        <v>1533</v>
      </c>
      <c r="N68" s="887" t="s">
        <v>337</v>
      </c>
    </row>
    <row r="69" spans="9:14">
      <c r="I69" s="335" t="s">
        <v>394</v>
      </c>
      <c r="J69" s="339" t="s">
        <v>397</v>
      </c>
      <c r="K69" s="340">
        <v>90000</v>
      </c>
      <c r="L69" s="77" t="s">
        <v>354</v>
      </c>
      <c r="M69" s="77">
        <v>2152</v>
      </c>
      <c r="N69" s="887"/>
    </row>
    <row r="70" spans="9:14">
      <c r="I70" s="335" t="s">
        <v>394</v>
      </c>
      <c r="J70" s="339" t="s">
        <v>398</v>
      </c>
      <c r="K70" s="340">
        <v>60000</v>
      </c>
      <c r="L70" s="77" t="s">
        <v>354</v>
      </c>
      <c r="M70" s="77">
        <v>1857</v>
      </c>
      <c r="N70" s="887"/>
    </row>
    <row r="71" spans="9:14">
      <c r="I71" s="335" t="s">
        <v>394</v>
      </c>
      <c r="J71" s="339" t="s">
        <v>399</v>
      </c>
      <c r="K71" s="340">
        <v>15600</v>
      </c>
      <c r="L71" s="77" t="s">
        <v>354</v>
      </c>
      <c r="M71" s="77">
        <v>1660</v>
      </c>
      <c r="N71" s="887"/>
    </row>
    <row r="72" spans="9:14">
      <c r="I72" s="335" t="s">
        <v>394</v>
      </c>
      <c r="J72" s="339" t="s">
        <v>400</v>
      </c>
      <c r="K72" s="340">
        <v>60000</v>
      </c>
      <c r="L72" s="77" t="s">
        <v>354</v>
      </c>
      <c r="M72" s="77">
        <v>1584</v>
      </c>
      <c r="N72" s="887"/>
    </row>
    <row r="73" spans="9:14">
      <c r="I73" s="335" t="s">
        <v>394</v>
      </c>
      <c r="J73" s="336" t="s">
        <v>401</v>
      </c>
      <c r="K73" s="328">
        <v>14931</v>
      </c>
      <c r="L73" s="77" t="s">
        <v>354</v>
      </c>
      <c r="M73" s="77">
        <v>4761</v>
      </c>
      <c r="N73" s="887" t="s">
        <v>337</v>
      </c>
    </row>
    <row r="74" spans="9:14">
      <c r="I74" s="335" t="s">
        <v>394</v>
      </c>
      <c r="J74" s="336" t="s">
        <v>396</v>
      </c>
      <c r="K74" s="328">
        <v>21000</v>
      </c>
      <c r="L74" s="77" t="s">
        <v>354</v>
      </c>
      <c r="M74" s="77">
        <v>5700</v>
      </c>
      <c r="N74" s="887"/>
    </row>
    <row r="75" spans="9:14">
      <c r="I75" s="335" t="s">
        <v>394</v>
      </c>
      <c r="J75" s="336" t="s">
        <v>402</v>
      </c>
      <c r="K75" s="328">
        <v>20682</v>
      </c>
      <c r="L75" s="77" t="s">
        <v>354</v>
      </c>
      <c r="M75" s="77">
        <v>5700</v>
      </c>
      <c r="N75" s="887"/>
    </row>
    <row r="76" spans="9:14">
      <c r="I76" s="335" t="s">
        <v>394</v>
      </c>
      <c r="J76" s="336" t="s">
        <v>403</v>
      </c>
      <c r="K76" s="328">
        <v>52494</v>
      </c>
      <c r="L76" s="77" t="s">
        <v>354</v>
      </c>
      <c r="M76" s="77">
        <v>5700</v>
      </c>
      <c r="N76" s="887"/>
    </row>
    <row r="77" spans="9:14">
      <c r="I77" s="335" t="s">
        <v>394</v>
      </c>
      <c r="J77" s="336" t="s">
        <v>404</v>
      </c>
      <c r="K77" s="328">
        <v>30000</v>
      </c>
      <c r="L77" s="77" t="s">
        <v>354</v>
      </c>
      <c r="M77" s="77">
        <v>5700</v>
      </c>
      <c r="N77" s="887"/>
    </row>
    <row r="78" spans="9:14">
      <c r="I78" s="335" t="s">
        <v>394</v>
      </c>
      <c r="J78" s="336" t="s">
        <v>405</v>
      </c>
      <c r="K78" s="328">
        <v>61260</v>
      </c>
      <c r="L78" s="77" t="s">
        <v>354</v>
      </c>
      <c r="M78" s="77">
        <v>2815</v>
      </c>
      <c r="N78" s="887"/>
    </row>
    <row r="79" spans="9:14">
      <c r="I79" s="335" t="s">
        <v>394</v>
      </c>
      <c r="J79" s="336" t="s">
        <v>406</v>
      </c>
      <c r="K79" s="328">
        <v>30000</v>
      </c>
      <c r="L79" s="77" t="s">
        <v>354</v>
      </c>
      <c r="M79" s="77">
        <v>3354</v>
      </c>
      <c r="N79" s="887"/>
    </row>
    <row r="80" spans="9:14">
      <c r="I80" s="335" t="s">
        <v>394</v>
      </c>
      <c r="J80" s="336" t="s">
        <v>407</v>
      </c>
      <c r="K80" s="328">
        <v>25000</v>
      </c>
      <c r="L80" s="77" t="s">
        <v>354</v>
      </c>
      <c r="M80" s="77">
        <v>5340</v>
      </c>
      <c r="N80" s="887"/>
    </row>
    <row r="81" spans="9:14">
      <c r="I81" s="335" t="s">
        <v>394</v>
      </c>
      <c r="J81" s="336" t="s">
        <v>408</v>
      </c>
      <c r="K81" s="328">
        <v>14000</v>
      </c>
      <c r="L81" s="77" t="s">
        <v>354</v>
      </c>
      <c r="M81" s="77">
        <v>4062</v>
      </c>
      <c r="N81" s="887"/>
    </row>
    <row r="82" spans="9:14">
      <c r="I82" s="335" t="s">
        <v>394</v>
      </c>
      <c r="J82" s="336" t="s">
        <v>409</v>
      </c>
      <c r="K82" s="328">
        <v>74000</v>
      </c>
      <c r="L82" s="77" t="s">
        <v>354</v>
      </c>
      <c r="M82" s="77">
        <v>1744</v>
      </c>
      <c r="N82" s="887"/>
    </row>
    <row r="83" spans="9:14">
      <c r="I83" s="335" t="s">
        <v>394</v>
      </c>
      <c r="J83" s="336" t="s">
        <v>410</v>
      </c>
      <c r="K83" s="328">
        <v>45000</v>
      </c>
      <c r="L83" s="77" t="s">
        <v>354</v>
      </c>
      <c r="M83" s="77">
        <v>4962</v>
      </c>
      <c r="N83" s="887"/>
    </row>
    <row r="84" spans="9:14">
      <c r="I84" s="335" t="s">
        <v>394</v>
      </c>
      <c r="J84" s="336" t="s">
        <v>411</v>
      </c>
      <c r="K84" s="328">
        <v>50000</v>
      </c>
      <c r="L84" s="77" t="s">
        <v>354</v>
      </c>
      <c r="M84" s="77">
        <v>4077</v>
      </c>
      <c r="N84" s="887"/>
    </row>
    <row r="85" spans="9:14">
      <c r="I85" s="335" t="s">
        <v>394</v>
      </c>
      <c r="J85" s="336" t="s">
        <v>412</v>
      </c>
      <c r="K85" s="328">
        <v>50000</v>
      </c>
      <c r="L85" s="77" t="s">
        <v>354</v>
      </c>
      <c r="M85" s="77">
        <v>3458</v>
      </c>
      <c r="N85" s="887"/>
    </row>
    <row r="86" spans="9:14">
      <c r="I86" s="335" t="s">
        <v>394</v>
      </c>
      <c r="J86" s="336" t="s">
        <v>413</v>
      </c>
      <c r="K86" s="328">
        <v>25000</v>
      </c>
      <c r="L86" s="77" t="s">
        <v>354</v>
      </c>
      <c r="M86" s="77">
        <v>2527</v>
      </c>
      <c r="N86" s="887"/>
    </row>
    <row r="87" spans="9:14">
      <c r="I87" s="335" t="s">
        <v>394</v>
      </c>
      <c r="J87" s="336" t="s">
        <v>414</v>
      </c>
      <c r="K87" s="328">
        <v>60000</v>
      </c>
      <c r="L87" s="77" t="s">
        <v>354</v>
      </c>
      <c r="M87" s="77">
        <v>1118</v>
      </c>
      <c r="N87" s="887"/>
    </row>
    <row r="88" spans="9:14">
      <c r="I88" s="335" t="s">
        <v>394</v>
      </c>
      <c r="J88" s="336" t="s">
        <v>415</v>
      </c>
      <c r="K88" s="328">
        <v>140000</v>
      </c>
      <c r="L88" s="77" t="s">
        <v>354</v>
      </c>
      <c r="M88" s="77">
        <v>469</v>
      </c>
      <c r="N88" s="887"/>
    </row>
    <row r="89" spans="9:14">
      <c r="I89" s="335" t="s">
        <v>394</v>
      </c>
      <c r="J89" s="336" t="s">
        <v>416</v>
      </c>
      <c r="K89" s="328">
        <v>63000</v>
      </c>
      <c r="L89" s="77" t="s">
        <v>354</v>
      </c>
      <c r="M89" s="77">
        <v>106</v>
      </c>
      <c r="N89" s="887"/>
    </row>
    <row r="90" spans="9:14">
      <c r="I90" s="335" t="s">
        <v>394</v>
      </c>
      <c r="J90" s="336" t="s">
        <v>417</v>
      </c>
      <c r="K90" s="328">
        <v>3400</v>
      </c>
      <c r="L90" s="77" t="s">
        <v>418</v>
      </c>
      <c r="M90" s="77">
        <v>2512</v>
      </c>
      <c r="N90" s="887" t="s">
        <v>419</v>
      </c>
    </row>
    <row r="91" spans="9:14">
      <c r="I91" s="335" t="s">
        <v>394</v>
      </c>
      <c r="J91" s="336" t="s">
        <v>420</v>
      </c>
      <c r="K91" s="328">
        <v>50000</v>
      </c>
      <c r="L91" s="77" t="s">
        <v>418</v>
      </c>
      <c r="M91" s="77">
        <v>1278</v>
      </c>
      <c r="N91" s="887"/>
    </row>
    <row r="92" spans="9:14">
      <c r="I92" s="335" t="s">
        <v>394</v>
      </c>
      <c r="J92" s="336" t="s">
        <v>421</v>
      </c>
      <c r="K92" s="328">
        <v>125000</v>
      </c>
      <c r="L92" s="77" t="s">
        <v>418</v>
      </c>
      <c r="M92" s="77">
        <v>1278</v>
      </c>
      <c r="N92" s="887"/>
    </row>
    <row r="93" spans="9:14">
      <c r="I93" s="335" t="s">
        <v>394</v>
      </c>
      <c r="J93" s="336" t="s">
        <v>422</v>
      </c>
      <c r="K93" s="341">
        <v>-7782290</v>
      </c>
      <c r="L93" s="341" t="s">
        <v>418</v>
      </c>
      <c r="M93" s="341">
        <v>180</v>
      </c>
      <c r="N93" s="887" t="s">
        <v>423</v>
      </c>
    </row>
    <row r="94" spans="9:14">
      <c r="I94" s="335" t="s">
        <v>394</v>
      </c>
      <c r="J94" s="339" t="s">
        <v>424</v>
      </c>
      <c r="K94" s="340">
        <v>3341</v>
      </c>
      <c r="L94" s="77" t="s">
        <v>418</v>
      </c>
      <c r="M94" s="77">
        <v>1693</v>
      </c>
      <c r="N94" s="887"/>
    </row>
    <row r="95" spans="9:14">
      <c r="I95" s="335" t="s">
        <v>394</v>
      </c>
      <c r="J95" s="336" t="s">
        <v>425</v>
      </c>
      <c r="K95" s="328">
        <v>7000</v>
      </c>
      <c r="L95" s="77" t="s">
        <v>418</v>
      </c>
      <c r="M95" s="77">
        <v>8126</v>
      </c>
      <c r="N95" s="887" t="s">
        <v>426</v>
      </c>
    </row>
    <row r="96" spans="9:14">
      <c r="I96" s="335" t="s">
        <v>394</v>
      </c>
      <c r="J96" s="336" t="s">
        <v>427</v>
      </c>
      <c r="K96" s="328">
        <v>115000</v>
      </c>
      <c r="L96" s="77" t="s">
        <v>418</v>
      </c>
      <c r="M96" s="77">
        <v>3867</v>
      </c>
      <c r="N96" s="887"/>
    </row>
    <row r="97" spans="9:14">
      <c r="I97" s="335" t="s">
        <v>394</v>
      </c>
      <c r="J97" s="336" t="s">
        <v>428</v>
      </c>
      <c r="K97" s="328">
        <v>13377</v>
      </c>
      <c r="L97" s="77" t="s">
        <v>418</v>
      </c>
      <c r="M97" s="77">
        <v>5700</v>
      </c>
      <c r="N97" s="887"/>
    </row>
    <row r="98" spans="9:14">
      <c r="I98" s="335" t="s">
        <v>394</v>
      </c>
      <c r="J98" s="336" t="s">
        <v>404</v>
      </c>
      <c r="K98" s="328">
        <v>21990</v>
      </c>
      <c r="L98" s="77" t="s">
        <v>418</v>
      </c>
      <c r="M98" s="77">
        <v>5700</v>
      </c>
      <c r="N98" s="887"/>
    </row>
    <row r="99" spans="9:14">
      <c r="I99" s="335" t="s">
        <v>394</v>
      </c>
      <c r="J99" s="336" t="s">
        <v>405</v>
      </c>
      <c r="K99" s="328">
        <v>6240</v>
      </c>
      <c r="L99" s="77" t="s">
        <v>418</v>
      </c>
      <c r="M99" s="77">
        <v>5700</v>
      </c>
      <c r="N99" s="887"/>
    </row>
    <row r="100" spans="9:14">
      <c r="I100" s="335" t="s">
        <v>394</v>
      </c>
      <c r="J100" s="336" t="s">
        <v>429</v>
      </c>
      <c r="K100" s="328">
        <v>5500</v>
      </c>
      <c r="L100" s="77" t="s">
        <v>418</v>
      </c>
      <c r="M100" s="77">
        <v>577</v>
      </c>
      <c r="N100" s="887"/>
    </row>
    <row r="101" spans="9:14">
      <c r="I101" s="335" t="s">
        <v>394</v>
      </c>
      <c r="J101" s="336" t="s">
        <v>430</v>
      </c>
      <c r="K101" s="328">
        <v>5200</v>
      </c>
      <c r="L101" s="77" t="s">
        <v>418</v>
      </c>
      <c r="M101" s="77">
        <v>5137</v>
      </c>
      <c r="N101" s="887"/>
    </row>
    <row r="102" spans="9:14">
      <c r="I102" s="335" t="s">
        <v>394</v>
      </c>
      <c r="J102" s="336" t="s">
        <v>431</v>
      </c>
      <c r="K102" s="328">
        <v>216000</v>
      </c>
      <c r="L102" s="77" t="s">
        <v>418</v>
      </c>
      <c r="M102" s="77">
        <v>2808</v>
      </c>
      <c r="N102" s="887"/>
    </row>
    <row r="103" spans="9:14">
      <c r="I103" s="335" t="s">
        <v>394</v>
      </c>
      <c r="J103" s="336" t="s">
        <v>432</v>
      </c>
      <c r="K103" s="328">
        <v>15000</v>
      </c>
      <c r="L103" s="77" t="s">
        <v>418</v>
      </c>
      <c r="M103" s="77">
        <v>4643</v>
      </c>
      <c r="N103" s="887"/>
    </row>
    <row r="104" spans="9:14">
      <c r="I104" s="335" t="s">
        <v>394</v>
      </c>
      <c r="J104" s="336" t="s">
        <v>433</v>
      </c>
      <c r="K104" s="328">
        <v>24000</v>
      </c>
      <c r="L104" s="77" t="s">
        <v>418</v>
      </c>
      <c r="M104" s="342">
        <v>45</v>
      </c>
      <c r="N104" s="887"/>
    </row>
    <row r="105" spans="9:14">
      <c r="I105" s="335" t="s">
        <v>394</v>
      </c>
      <c r="J105" s="336" t="s">
        <v>434</v>
      </c>
      <c r="K105" s="328">
        <v>8000</v>
      </c>
      <c r="L105" s="77" t="s">
        <v>418</v>
      </c>
      <c r="M105" s="77">
        <v>455</v>
      </c>
      <c r="N105" s="887"/>
    </row>
    <row r="106" spans="9:14">
      <c r="I106" s="335" t="s">
        <v>394</v>
      </c>
      <c r="J106" s="336" t="s">
        <v>435</v>
      </c>
      <c r="K106" s="328">
        <v>8000</v>
      </c>
      <c r="L106" s="77" t="s">
        <v>418</v>
      </c>
      <c r="M106" s="77">
        <v>576</v>
      </c>
      <c r="N106" s="887"/>
    </row>
    <row r="107" spans="9:14">
      <c r="I107" s="335" t="s">
        <v>394</v>
      </c>
      <c r="J107" s="336" t="s">
        <v>436</v>
      </c>
      <c r="K107" s="328">
        <v>49000</v>
      </c>
      <c r="L107" s="77" t="s">
        <v>418</v>
      </c>
      <c r="M107" s="77">
        <v>455</v>
      </c>
      <c r="N107" s="887"/>
    </row>
    <row r="108" spans="9:14">
      <c r="I108" s="335" t="s">
        <v>394</v>
      </c>
      <c r="J108" s="336" t="s">
        <v>437</v>
      </c>
      <c r="K108" s="328">
        <v>10000</v>
      </c>
      <c r="L108" s="77" t="s">
        <v>418</v>
      </c>
      <c r="M108" s="77">
        <v>3811</v>
      </c>
      <c r="N108" s="887"/>
    </row>
    <row r="109" spans="9:14">
      <c r="I109" s="335" t="s">
        <v>394</v>
      </c>
      <c r="J109" s="336" t="s">
        <v>438</v>
      </c>
      <c r="K109" s="328">
        <v>25000</v>
      </c>
      <c r="L109" s="77" t="s">
        <v>418</v>
      </c>
      <c r="M109" s="77">
        <v>3811</v>
      </c>
      <c r="N109" s="887"/>
    </row>
    <row r="110" spans="9:14">
      <c r="I110" s="335" t="s">
        <v>394</v>
      </c>
      <c r="J110" s="336" t="s">
        <v>439</v>
      </c>
      <c r="K110" s="328">
        <v>10000</v>
      </c>
      <c r="L110" s="77" t="s">
        <v>418</v>
      </c>
      <c r="M110" s="77">
        <v>3811</v>
      </c>
      <c r="N110" s="887"/>
    </row>
    <row r="111" spans="9:14">
      <c r="I111" s="335" t="s">
        <v>394</v>
      </c>
      <c r="J111" s="336" t="s">
        <v>440</v>
      </c>
      <c r="K111" s="328">
        <v>20000</v>
      </c>
      <c r="L111" s="77" t="s">
        <v>418</v>
      </c>
      <c r="M111" s="77">
        <v>3800</v>
      </c>
      <c r="N111" s="887"/>
    </row>
    <row r="112" spans="9:14">
      <c r="I112" s="335" t="s">
        <v>394</v>
      </c>
      <c r="J112" s="336" t="s">
        <v>441</v>
      </c>
      <c r="K112" s="328">
        <v>10000</v>
      </c>
      <c r="L112" s="77" t="s">
        <v>418</v>
      </c>
      <c r="M112" s="77">
        <v>3104</v>
      </c>
      <c r="N112" s="887"/>
    </row>
    <row r="113" spans="9:14">
      <c r="I113" s="335" t="s">
        <v>394</v>
      </c>
      <c r="J113" s="336" t="s">
        <v>422</v>
      </c>
      <c r="K113" s="328">
        <v>10361299.609999999</v>
      </c>
      <c r="L113" s="77" t="s">
        <v>418</v>
      </c>
      <c r="M113" s="77">
        <v>2197</v>
      </c>
      <c r="N113" s="887"/>
    </row>
    <row r="114" spans="9:14">
      <c r="I114" s="335" t="s">
        <v>394</v>
      </c>
      <c r="J114" s="336" t="s">
        <v>442</v>
      </c>
      <c r="K114" s="328">
        <v>500</v>
      </c>
      <c r="L114" s="77" t="s">
        <v>418</v>
      </c>
      <c r="M114" s="77">
        <v>2922</v>
      </c>
      <c r="N114" s="887"/>
    </row>
    <row r="115" spans="9:14">
      <c r="I115" s="335" t="s">
        <v>394</v>
      </c>
      <c r="J115" s="336" t="s">
        <v>443</v>
      </c>
      <c r="K115" s="328">
        <v>45000</v>
      </c>
      <c r="L115" s="77" t="s">
        <v>418</v>
      </c>
      <c r="M115" s="77">
        <v>3376</v>
      </c>
      <c r="N115" s="887"/>
    </row>
    <row r="116" spans="9:14">
      <c r="I116" s="335" t="s">
        <v>394</v>
      </c>
      <c r="J116" s="336" t="s">
        <v>429</v>
      </c>
      <c r="K116" s="328">
        <v>3000</v>
      </c>
      <c r="L116" s="77" t="s">
        <v>366</v>
      </c>
      <c r="M116" s="77" t="s">
        <v>444</v>
      </c>
      <c r="N116" s="887" t="s">
        <v>445</v>
      </c>
    </row>
    <row r="117" spans="9:14">
      <c r="I117" s="335" t="s">
        <v>394</v>
      </c>
      <c r="J117" s="336" t="s">
        <v>446</v>
      </c>
      <c r="K117" s="328">
        <v>20000</v>
      </c>
      <c r="L117" s="77" t="s">
        <v>366</v>
      </c>
      <c r="M117" s="77">
        <v>2851</v>
      </c>
      <c r="N117" s="887"/>
    </row>
    <row r="118" spans="9:14">
      <c r="I118" s="335" t="s">
        <v>394</v>
      </c>
      <c r="J118" s="336" t="s">
        <v>447</v>
      </c>
      <c r="K118" s="328">
        <v>25000</v>
      </c>
      <c r="L118" s="77" t="s">
        <v>366</v>
      </c>
      <c r="M118" s="77">
        <v>4391</v>
      </c>
      <c r="N118" s="887"/>
    </row>
    <row r="119" spans="9:14">
      <c r="I119" s="335" t="s">
        <v>394</v>
      </c>
      <c r="J119" s="336" t="s">
        <v>448</v>
      </c>
      <c r="K119" s="328">
        <v>100000</v>
      </c>
      <c r="L119" s="77" t="s">
        <v>366</v>
      </c>
      <c r="M119" s="77">
        <v>4390</v>
      </c>
      <c r="N119" s="887"/>
    </row>
    <row r="120" spans="9:14">
      <c r="I120" s="335" t="s">
        <v>394</v>
      </c>
      <c r="J120" s="336" t="s">
        <v>449</v>
      </c>
      <c r="K120" s="328">
        <v>20000</v>
      </c>
      <c r="L120" s="77" t="s">
        <v>366</v>
      </c>
      <c r="M120" s="77">
        <v>3030</v>
      </c>
      <c r="N120" s="887"/>
    </row>
    <row r="121" spans="9:14">
      <c r="I121" s="335" t="s">
        <v>394</v>
      </c>
      <c r="J121" s="336" t="s">
        <v>450</v>
      </c>
      <c r="K121" s="328">
        <v>150000</v>
      </c>
      <c r="L121" s="77" t="s">
        <v>366</v>
      </c>
      <c r="M121" s="77">
        <v>5794</v>
      </c>
      <c r="N121" s="887"/>
    </row>
    <row r="122" spans="9:14">
      <c r="I122" s="335" t="s">
        <v>394</v>
      </c>
      <c r="J122" s="336" t="s">
        <v>451</v>
      </c>
      <c r="K122" s="328">
        <v>50000</v>
      </c>
      <c r="L122" s="77" t="s">
        <v>366</v>
      </c>
      <c r="M122" s="77">
        <v>5843</v>
      </c>
      <c r="N122" s="887"/>
    </row>
    <row r="123" spans="9:14">
      <c r="I123" s="335" t="s">
        <v>394</v>
      </c>
      <c r="J123" s="336" t="s">
        <v>452</v>
      </c>
      <c r="K123" s="328">
        <v>64000</v>
      </c>
      <c r="L123" s="77" t="s">
        <v>366</v>
      </c>
      <c r="M123" s="77">
        <v>5843</v>
      </c>
      <c r="N123" s="887"/>
    </row>
    <row r="124" spans="9:14">
      <c r="I124" s="335" t="s">
        <v>394</v>
      </c>
      <c r="J124" s="336" t="s">
        <v>453</v>
      </c>
      <c r="K124" s="328">
        <v>25000</v>
      </c>
      <c r="L124" s="77" t="s">
        <v>366</v>
      </c>
      <c r="M124" s="77">
        <v>5843</v>
      </c>
      <c r="N124" s="887"/>
    </row>
    <row r="125" spans="9:14">
      <c r="I125" s="335" t="s">
        <v>394</v>
      </c>
      <c r="J125" s="336" t="s">
        <v>454</v>
      </c>
      <c r="K125" s="328">
        <v>20000</v>
      </c>
      <c r="L125" s="77" t="s">
        <v>366</v>
      </c>
      <c r="M125" s="77">
        <v>3252</v>
      </c>
      <c r="N125" s="887"/>
    </row>
    <row r="126" spans="9:14">
      <c r="I126" s="335" t="s">
        <v>394</v>
      </c>
      <c r="J126" s="336" t="s">
        <v>455</v>
      </c>
      <c r="K126" s="328">
        <v>450000</v>
      </c>
      <c r="L126" s="77" t="s">
        <v>366</v>
      </c>
      <c r="M126" s="77" t="s">
        <v>456</v>
      </c>
      <c r="N126" s="887"/>
    </row>
    <row r="127" spans="9:14">
      <c r="I127" s="335" t="s">
        <v>394</v>
      </c>
      <c r="J127" s="336" t="s">
        <v>457</v>
      </c>
      <c r="K127" s="328">
        <v>1332600</v>
      </c>
      <c r="L127" s="77" t="s">
        <v>366</v>
      </c>
      <c r="M127" s="77" t="s">
        <v>458</v>
      </c>
      <c r="N127" s="887"/>
    </row>
    <row r="128" spans="9:14">
      <c r="I128" s="335" t="s">
        <v>394</v>
      </c>
      <c r="J128" s="336" t="s">
        <v>459</v>
      </c>
      <c r="K128" s="328">
        <v>5625</v>
      </c>
      <c r="L128" s="77" t="s">
        <v>366</v>
      </c>
      <c r="M128" s="77">
        <v>4177</v>
      </c>
      <c r="N128" s="887"/>
    </row>
    <row r="129" spans="9:14">
      <c r="I129" s="335" t="s">
        <v>394</v>
      </c>
      <c r="J129" s="336" t="s">
        <v>460</v>
      </c>
      <c r="K129" s="328">
        <v>187500</v>
      </c>
      <c r="L129" s="77" t="s">
        <v>366</v>
      </c>
      <c r="M129" s="77">
        <v>2922</v>
      </c>
      <c r="N129" s="887"/>
    </row>
    <row r="130" spans="9:14">
      <c r="I130" s="335" t="s">
        <v>394</v>
      </c>
      <c r="J130" s="336" t="s">
        <v>461</v>
      </c>
      <c r="K130" s="328">
        <v>551600</v>
      </c>
      <c r="L130" s="77" t="s">
        <v>366</v>
      </c>
      <c r="M130" s="77" t="s">
        <v>462</v>
      </c>
      <c r="N130" s="887"/>
    </row>
    <row r="131" spans="9:14">
      <c r="I131" s="335" t="s">
        <v>394</v>
      </c>
      <c r="J131" s="336" t="s">
        <v>463</v>
      </c>
      <c r="K131" s="328">
        <v>675000</v>
      </c>
      <c r="L131" s="77" t="s">
        <v>366</v>
      </c>
      <c r="M131" s="77">
        <v>2192</v>
      </c>
      <c r="N131" s="887"/>
    </row>
    <row r="132" spans="9:14">
      <c r="I132" s="335" t="s">
        <v>394</v>
      </c>
      <c r="J132" s="336" t="s">
        <v>464</v>
      </c>
      <c r="K132" s="328">
        <v>1215077</v>
      </c>
      <c r="L132" s="77" t="s">
        <v>366</v>
      </c>
      <c r="M132" s="77" t="s">
        <v>465</v>
      </c>
      <c r="N132" s="887"/>
    </row>
    <row r="133" spans="9:14">
      <c r="I133" s="335" t="s">
        <v>394</v>
      </c>
      <c r="J133" s="336" t="s">
        <v>466</v>
      </c>
      <c r="K133" s="328">
        <v>20000</v>
      </c>
      <c r="L133" s="77" t="s">
        <v>366</v>
      </c>
      <c r="M133" s="77">
        <v>1094</v>
      </c>
      <c r="N133" s="887"/>
    </row>
    <row r="134" spans="9:14">
      <c r="I134" s="335" t="s">
        <v>394</v>
      </c>
      <c r="J134" s="336" t="s">
        <v>467</v>
      </c>
      <c r="K134" s="328">
        <v>100000</v>
      </c>
      <c r="L134" s="77" t="s">
        <v>366</v>
      </c>
      <c r="M134" s="77" t="s">
        <v>468</v>
      </c>
      <c r="N134" s="887"/>
    </row>
    <row r="135" spans="9:14">
      <c r="I135" s="335" t="s">
        <v>394</v>
      </c>
      <c r="J135" s="336" t="s">
        <v>469</v>
      </c>
      <c r="K135" s="328">
        <v>40000</v>
      </c>
      <c r="L135" s="77" t="s">
        <v>366</v>
      </c>
      <c r="M135" s="77">
        <v>1595</v>
      </c>
      <c r="N135" s="887"/>
    </row>
    <row r="136" spans="9:14">
      <c r="I136" s="335" t="s">
        <v>394</v>
      </c>
      <c r="J136" s="336" t="s">
        <v>470</v>
      </c>
      <c r="K136" s="328">
        <v>200000</v>
      </c>
      <c r="L136" s="77" t="s">
        <v>366</v>
      </c>
      <c r="M136" s="77">
        <v>1300</v>
      </c>
      <c r="N136" s="887"/>
    </row>
    <row r="137" spans="9:14">
      <c r="I137" s="335" t="s">
        <v>394</v>
      </c>
      <c r="J137" s="336" t="s">
        <v>471</v>
      </c>
      <c r="K137" s="328">
        <v>15000</v>
      </c>
      <c r="L137" s="77" t="s">
        <v>366</v>
      </c>
      <c r="M137" s="77">
        <v>1008</v>
      </c>
      <c r="N137" s="887"/>
    </row>
    <row r="138" spans="9:14">
      <c r="I138" s="335" t="s">
        <v>394</v>
      </c>
      <c r="J138" s="336" t="s">
        <v>429</v>
      </c>
      <c r="K138" s="328">
        <v>3000</v>
      </c>
      <c r="L138" s="77" t="s">
        <v>366</v>
      </c>
      <c r="M138" s="77">
        <v>3287</v>
      </c>
      <c r="N138" s="887" t="s">
        <v>472</v>
      </c>
    </row>
    <row r="139" spans="9:14">
      <c r="I139" s="335" t="s">
        <v>394</v>
      </c>
      <c r="J139" s="336" t="s">
        <v>473</v>
      </c>
      <c r="K139" s="328">
        <v>1465552</v>
      </c>
      <c r="L139" s="77" t="s">
        <v>366</v>
      </c>
      <c r="M139" s="77">
        <v>3287</v>
      </c>
      <c r="N139" s="887"/>
    </row>
    <row r="140" spans="9:14">
      <c r="I140" s="335" t="s">
        <v>394</v>
      </c>
      <c r="J140" s="336" t="s">
        <v>474</v>
      </c>
      <c r="K140" s="328">
        <v>2330381</v>
      </c>
      <c r="L140" s="77" t="s">
        <v>366</v>
      </c>
      <c r="M140" s="77" t="s">
        <v>475</v>
      </c>
      <c r="N140" s="887"/>
    </row>
    <row r="141" spans="9:14">
      <c r="I141" s="335" t="s">
        <v>394</v>
      </c>
      <c r="J141" s="336" t="s">
        <v>476</v>
      </c>
      <c r="K141" s="328">
        <v>232400</v>
      </c>
      <c r="L141" s="77" t="s">
        <v>366</v>
      </c>
      <c r="M141" s="77">
        <v>2752</v>
      </c>
      <c r="N141" s="887"/>
    </row>
    <row r="142" spans="9:14">
      <c r="I142" s="335" t="s">
        <v>394</v>
      </c>
      <c r="J142" s="343" t="s">
        <v>477</v>
      </c>
      <c r="K142" s="344">
        <v>7000</v>
      </c>
      <c r="L142" s="77" t="s">
        <v>354</v>
      </c>
      <c r="M142" s="77">
        <v>1723</v>
      </c>
      <c r="N142" s="887" t="s">
        <v>337</v>
      </c>
    </row>
    <row r="143" spans="9:14">
      <c r="I143" s="335" t="s">
        <v>394</v>
      </c>
      <c r="J143" s="343" t="s">
        <v>478</v>
      </c>
      <c r="K143" s="344">
        <v>36000</v>
      </c>
      <c r="L143" s="77" t="s">
        <v>354</v>
      </c>
      <c r="M143" s="77">
        <v>2337</v>
      </c>
      <c r="N143" s="887"/>
    </row>
    <row r="144" spans="9:14">
      <c r="I144" s="335" t="s">
        <v>394</v>
      </c>
      <c r="J144" s="343" t="s">
        <v>479</v>
      </c>
      <c r="K144" s="344">
        <v>12000</v>
      </c>
      <c r="L144" s="77" t="s">
        <v>354</v>
      </c>
      <c r="M144" s="77">
        <v>1885</v>
      </c>
      <c r="N144" s="887"/>
    </row>
    <row r="145" spans="9:14">
      <c r="I145" s="335" t="s">
        <v>394</v>
      </c>
      <c r="J145" s="343" t="s">
        <v>480</v>
      </c>
      <c r="K145" s="344">
        <v>16000</v>
      </c>
      <c r="L145" s="77" t="s">
        <v>354</v>
      </c>
      <c r="M145" s="77">
        <v>35</v>
      </c>
      <c r="N145" s="887"/>
    </row>
    <row r="147" spans="9:14">
      <c r="I147" s="868" t="s">
        <v>235</v>
      </c>
      <c r="J147" s="869"/>
      <c r="K147" s="869"/>
      <c r="L147" s="869"/>
      <c r="M147" s="869"/>
      <c r="N147" s="869"/>
    </row>
    <row r="148" spans="9:14">
      <c r="I148" s="871" t="s">
        <v>317</v>
      </c>
      <c r="J148" s="872"/>
      <c r="K148" s="872"/>
      <c r="L148" s="872"/>
      <c r="M148" s="872"/>
      <c r="N148" s="872"/>
    </row>
    <row r="149" spans="9:14">
      <c r="I149" s="874"/>
      <c r="J149" s="875"/>
      <c r="K149" s="875"/>
      <c r="L149" s="875"/>
      <c r="M149" s="875"/>
      <c r="N149" s="875"/>
    </row>
    <row r="150" spans="9:14">
      <c r="I150" s="874"/>
      <c r="J150" s="875"/>
      <c r="K150" s="875"/>
      <c r="L150" s="875"/>
      <c r="M150" s="875"/>
      <c r="N150" s="875"/>
    </row>
    <row r="151" spans="9:14">
      <c r="I151" s="874"/>
      <c r="J151" s="875"/>
      <c r="K151" s="875"/>
      <c r="L151" s="875"/>
      <c r="M151" s="875"/>
      <c r="N151" s="875"/>
    </row>
    <row r="152" spans="9:14">
      <c r="I152" s="874"/>
      <c r="J152" s="875"/>
      <c r="K152" s="875"/>
      <c r="L152" s="875"/>
      <c r="M152" s="875"/>
      <c r="N152" s="875"/>
    </row>
    <row r="153" spans="9:14">
      <c r="I153" s="874"/>
      <c r="J153" s="875"/>
      <c r="K153" s="875"/>
      <c r="L153" s="875"/>
      <c r="M153" s="875"/>
      <c r="N153" s="875"/>
    </row>
    <row r="154" spans="9:14">
      <c r="I154" s="874"/>
      <c r="J154" s="875"/>
      <c r="K154" s="875"/>
      <c r="L154" s="875"/>
      <c r="M154" s="875"/>
      <c r="N154" s="875"/>
    </row>
    <row r="155" spans="9:14">
      <c r="I155" s="874"/>
      <c r="J155" s="875"/>
      <c r="K155" s="875"/>
      <c r="L155" s="875"/>
      <c r="M155" s="875"/>
      <c r="N155" s="875"/>
    </row>
    <row r="156" spans="9:14">
      <c r="I156" s="874"/>
      <c r="J156" s="875"/>
      <c r="K156" s="875"/>
      <c r="L156" s="875"/>
      <c r="M156" s="875"/>
      <c r="N156" s="875"/>
    </row>
    <row r="157" spans="9:14">
      <c r="I157" s="874"/>
      <c r="J157" s="875"/>
      <c r="K157" s="875"/>
      <c r="L157" s="875"/>
      <c r="M157" s="875"/>
      <c r="N157" s="875"/>
    </row>
    <row r="158" spans="9:14">
      <c r="I158" s="877"/>
      <c r="J158" s="878"/>
      <c r="K158" s="878"/>
      <c r="L158" s="878"/>
      <c r="M158" s="878"/>
      <c r="N158" s="878"/>
    </row>
  </sheetData>
  <mergeCells count="25">
    <mergeCell ref="A4:H4"/>
    <mergeCell ref="A14:H14"/>
    <mergeCell ref="A15:H25"/>
    <mergeCell ref="A1:H1"/>
    <mergeCell ref="A2:H2"/>
    <mergeCell ref="A29:H29"/>
    <mergeCell ref="I29:N29"/>
    <mergeCell ref="N68:N72"/>
    <mergeCell ref="N73:N89"/>
    <mergeCell ref="N90:N92"/>
    <mergeCell ref="N31:N34"/>
    <mergeCell ref="N36:N37"/>
    <mergeCell ref="N38:N41"/>
    <mergeCell ref="N43:N45"/>
    <mergeCell ref="N47:N52"/>
    <mergeCell ref="N53:N67"/>
    <mergeCell ref="I147:N147"/>
    <mergeCell ref="I148:N158"/>
    <mergeCell ref="N138:N141"/>
    <mergeCell ref="N142:N145"/>
    <mergeCell ref="I26:N26"/>
    <mergeCell ref="I27:N27"/>
    <mergeCell ref="N93:N94"/>
    <mergeCell ref="N95:N115"/>
    <mergeCell ref="N116:N137"/>
  </mergeCells>
  <dataValidations count="1">
    <dataValidation type="list" allowBlank="1" showInputMessage="1" showErrorMessage="1" sqref="E13:G13" xr:uid="{00000000-0002-0000-1200-000000000000}">
      <formula1>"Very good, Very less, Full payment realization not possible but partial payment can be realised if follow up is done properly, Not possible, Defunct"</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N90"/>
  <sheetViews>
    <sheetView showGridLines="0" topLeftCell="A14" workbookViewId="0">
      <selection activeCell="D49" sqref="D49"/>
    </sheetView>
  </sheetViews>
  <sheetFormatPr defaultColWidth="9.109375" defaultRowHeight="14.4"/>
  <cols>
    <col min="1" max="1" width="6.109375" style="678" bestFit="1" customWidth="1"/>
    <col min="2" max="2" width="37.44140625" style="710" customWidth="1"/>
    <col min="3" max="3" width="15.77734375" style="711" bestFit="1" customWidth="1"/>
    <col min="4" max="13" width="11.6640625" style="711" customWidth="1"/>
    <col min="14" max="14" width="9.5546875" style="678" bestFit="1" customWidth="1"/>
    <col min="15" max="16384" width="9.109375" style="678"/>
  </cols>
  <sheetData>
    <row r="1" spans="1:13" ht="18" customHeight="1"/>
    <row r="2" spans="1:13" ht="21" hidden="1" customHeight="1">
      <c r="B2" s="712" t="s">
        <v>1165</v>
      </c>
      <c r="C2" s="713"/>
      <c r="D2" s="713"/>
      <c r="E2" s="713"/>
      <c r="F2" s="713"/>
      <c r="G2" s="713"/>
      <c r="H2" s="713"/>
      <c r="I2" s="713"/>
      <c r="J2" s="713"/>
      <c r="K2" s="713"/>
      <c r="L2" s="713"/>
      <c r="M2" s="713"/>
    </row>
    <row r="3" spans="1:13" ht="15" hidden="1" customHeight="1">
      <c r="B3" s="714"/>
      <c r="C3" s="715"/>
      <c r="D3" s="715"/>
      <c r="E3" s="715"/>
      <c r="F3" s="715"/>
      <c r="G3" s="715"/>
      <c r="H3" s="715"/>
      <c r="I3" s="715"/>
    </row>
    <row r="4" spans="1:13" ht="22.5" hidden="1" customHeight="1">
      <c r="B4" s="716" t="s">
        <v>1166</v>
      </c>
      <c r="C4" s="717">
        <v>2025</v>
      </c>
      <c r="D4" s="717">
        <f t="shared" ref="D4:M4" si="0">C4+1</f>
        <v>2026</v>
      </c>
      <c r="E4" s="717">
        <f t="shared" si="0"/>
        <v>2027</v>
      </c>
      <c r="F4" s="717">
        <f t="shared" si="0"/>
        <v>2028</v>
      </c>
      <c r="G4" s="717">
        <f t="shared" si="0"/>
        <v>2029</v>
      </c>
      <c r="H4" s="717">
        <f t="shared" si="0"/>
        <v>2030</v>
      </c>
      <c r="I4" s="717">
        <f t="shared" si="0"/>
        <v>2031</v>
      </c>
      <c r="J4" s="717">
        <f t="shared" si="0"/>
        <v>2032</v>
      </c>
      <c r="K4" s="717">
        <f t="shared" si="0"/>
        <v>2033</v>
      </c>
      <c r="L4" s="717">
        <f t="shared" si="0"/>
        <v>2034</v>
      </c>
      <c r="M4" s="717">
        <f t="shared" si="0"/>
        <v>2035</v>
      </c>
    </row>
    <row r="5" spans="1:13" ht="18.75" hidden="1" customHeight="1">
      <c r="B5" s="718" t="s">
        <v>1167</v>
      </c>
      <c r="C5" s="719">
        <v>12</v>
      </c>
      <c r="D5" s="719">
        <f>12</f>
        <v>12</v>
      </c>
      <c r="E5" s="719">
        <f>D5</f>
        <v>12</v>
      </c>
      <c r="F5" s="719">
        <f t="shared" ref="F5:M5" si="1">E5</f>
        <v>12</v>
      </c>
      <c r="G5" s="719">
        <f t="shared" si="1"/>
        <v>12</v>
      </c>
      <c r="H5" s="719">
        <f t="shared" si="1"/>
        <v>12</v>
      </c>
      <c r="I5" s="719">
        <f t="shared" si="1"/>
        <v>12</v>
      </c>
      <c r="J5" s="719">
        <f t="shared" si="1"/>
        <v>12</v>
      </c>
      <c r="K5" s="719">
        <f t="shared" si="1"/>
        <v>12</v>
      </c>
      <c r="L5" s="719">
        <f t="shared" si="1"/>
        <v>12</v>
      </c>
      <c r="M5" s="719">
        <f t="shared" si="1"/>
        <v>12</v>
      </c>
    </row>
    <row r="6" spans="1:13" ht="19.5" hidden="1" customHeight="1">
      <c r="B6" s="714" t="s">
        <v>676</v>
      </c>
      <c r="C6" s="719">
        <f>'[48]P &amp; L'!D26+'[48]P &amp; L'!D22+'[48]P &amp; L'!D23</f>
        <v>-48.30594032258076</v>
      </c>
      <c r="D6" s="719">
        <f>'[48]P &amp; L'!E26+'[48]P &amp; L'!E22+'[48]P &amp; L'!E23</f>
        <v>68.296548508064504</v>
      </c>
      <c r="E6" s="719">
        <f>'[48]P &amp; L'!F26+'[48]P &amp; L'!F22+'[48]P &amp; L'!F23</f>
        <v>88.423686235887075</v>
      </c>
      <c r="F6" s="719">
        <f>'[48]P &amp; L'!G26+'[48]P &amp; L'!G22+'[48]P &amp; L'!G23</f>
        <v>107.1215066041331</v>
      </c>
      <c r="G6" s="719">
        <f>'[48]P &amp; L'!H26+'[48]P &amp; L'!H22+'[48]P &amp; L'!H23</f>
        <v>167.87708528302929</v>
      </c>
      <c r="H6" s="719">
        <f>'[48]P &amp; L'!I26+'[48]P &amp; L'!I22+'[48]P &amp; L'!I23</f>
        <v>186.69790546951418</v>
      </c>
      <c r="I6" s="719">
        <f>'[48]P &amp; L'!J26+'[48]P &amp; L'!J22+'[48]P &amp; L'!J23</f>
        <v>204.94760638323268</v>
      </c>
      <c r="J6" s="719">
        <f>'[48]P &amp; L'!K26+'[48]P &amp; L'!K22+'[48]P &amp; L'!K23</f>
        <v>222.81926764223357</v>
      </c>
      <c r="K6" s="719">
        <f>'[48]P &amp; L'!L26+'[48]P &amp; L'!L22+'[48]P &amp; L'!L23</f>
        <v>240.48289635427881</v>
      </c>
      <c r="L6" s="719">
        <f>'[48]P &amp; L'!M26+'[48]P &amp; L'!M22+'[48]P &amp; L'!M23</f>
        <v>258.08913058039934</v>
      </c>
      <c r="M6" s="719">
        <f>'[48]P &amp; L'!N26+'[48]P &amp; L'!N22+'[48]P &amp; L'!N23</f>
        <v>127.19506166770402</v>
      </c>
    </row>
    <row r="7" spans="1:13" ht="19.5" hidden="1" customHeight="1">
      <c r="B7" s="714" t="s">
        <v>1168</v>
      </c>
      <c r="C7" s="719">
        <f>'[48]P &amp; L'!D27</f>
        <v>0</v>
      </c>
      <c r="D7" s="719">
        <f>'[48]P &amp; L'!E27</f>
        <v>0</v>
      </c>
      <c r="E7" s="719">
        <f>'[48]P &amp; L'!F27</f>
        <v>0</v>
      </c>
      <c r="F7" s="719">
        <f>'[48]P &amp; L'!G27</f>
        <v>0.28040239404459438</v>
      </c>
      <c r="G7" s="719">
        <f>'[48]P &amp; L'!H27</f>
        <v>30.664895751392351</v>
      </c>
      <c r="H7" s="719">
        <f>'[48]P &amp; L'!I27</f>
        <v>36.807015509247712</v>
      </c>
      <c r="I7" s="719">
        <f>'[48]P &amp; L'!J27</f>
        <v>43.093024348246402</v>
      </c>
      <c r="J7" s="719">
        <f>'[48]P &amp; L'!K27</f>
        <v>49.269284364597461</v>
      </c>
      <c r="K7" s="719">
        <f>'[48]P &amp; L'!L27</f>
        <v>54.385352677065022</v>
      </c>
      <c r="L7" s="719">
        <f>'[48]P &amp; L'!M27</f>
        <v>58.478375173226041</v>
      </c>
      <c r="M7" s="719">
        <f>'[48]P &amp; L'!N27</f>
        <v>28.68711420744906</v>
      </c>
    </row>
    <row r="8" spans="1:13" ht="19.5" hidden="1" customHeight="1">
      <c r="B8" s="720" t="s">
        <v>1169</v>
      </c>
      <c r="C8" s="719">
        <f>'[48]P &amp; L'!D24</f>
        <v>100.47854032258064</v>
      </c>
      <c r="D8" s="719">
        <f>'[48]P &amp; L'!E24</f>
        <v>85.933961491935477</v>
      </c>
      <c r="E8" s="719">
        <f>'[48]P &amp; L'!F24</f>
        <v>73.518349264112899</v>
      </c>
      <c r="F8" s="719">
        <f>'[48]P &amp; L'!G24</f>
        <v>62.917630670866927</v>
      </c>
      <c r="G8" s="719">
        <f>'[48]P &amp; L'!H24</f>
        <v>53.864316486970765</v>
      </c>
      <c r="H8" s="719">
        <f>'[48]P &amp; L'!I24</f>
        <v>46.130566388985642</v>
      </c>
      <c r="I8" s="719">
        <f>'[48]P &amp; L'!J24</f>
        <v>39.522289068192222</v>
      </c>
      <c r="J8" s="719">
        <f>'[48]P &amp; L'!K24</f>
        <v>33.874122581762386</v>
      </c>
      <c r="K8" s="719">
        <f>'[48]P &amp; L'!L24</f>
        <v>29.045163380917117</v>
      </c>
      <c r="L8" s="719">
        <f>'[48]P &amp; L'!M24</f>
        <v>24.915332141556735</v>
      </c>
      <c r="M8" s="719">
        <f>'[48]P &amp; L'!N24</f>
        <v>21.382281261322689</v>
      </c>
    </row>
    <row r="9" spans="1:13" ht="19.5" hidden="1" customHeight="1">
      <c r="B9" s="721" t="s">
        <v>1170</v>
      </c>
      <c r="C9" s="722">
        <f t="shared" ref="C9:M9" si="2">C6-C7+C8</f>
        <v>52.172599999999882</v>
      </c>
      <c r="D9" s="722">
        <f t="shared" si="2"/>
        <v>154.23050999999998</v>
      </c>
      <c r="E9" s="722">
        <f t="shared" si="2"/>
        <v>161.94203549999997</v>
      </c>
      <c r="F9" s="722">
        <f t="shared" si="2"/>
        <v>169.75873488095544</v>
      </c>
      <c r="G9" s="722">
        <f t="shared" si="2"/>
        <v>191.07650601860769</v>
      </c>
      <c r="H9" s="722">
        <f t="shared" si="2"/>
        <v>196.02145634925211</v>
      </c>
      <c r="I9" s="722">
        <f t="shared" si="2"/>
        <v>201.37687110317847</v>
      </c>
      <c r="J9" s="722">
        <f t="shared" si="2"/>
        <v>207.42410585939848</v>
      </c>
      <c r="K9" s="722">
        <f t="shared" si="2"/>
        <v>215.1427070581309</v>
      </c>
      <c r="L9" s="722">
        <f t="shared" si="2"/>
        <v>224.52608754873006</v>
      </c>
      <c r="M9" s="722">
        <f t="shared" si="2"/>
        <v>119.89022872157766</v>
      </c>
    </row>
    <row r="10" spans="1:13" ht="19.5" hidden="1" customHeight="1">
      <c r="B10" s="720" t="s">
        <v>1171</v>
      </c>
      <c r="C10" s="723">
        <f>[48]WC!D35</f>
        <v>142.54853266596413</v>
      </c>
      <c r="D10" s="723">
        <f>[48]WC!E35-[48]WC!D35</f>
        <v>38.207007060063319</v>
      </c>
      <c r="E10" s="723">
        <f>[48]WC!F35-[48]WC!E35</f>
        <v>10.53777698630131</v>
      </c>
      <c r="F10" s="723">
        <f>[48]WC!G35-[48]WC!F35</f>
        <v>11.064665835616438</v>
      </c>
      <c r="G10" s="723">
        <f>[48]WC!H35-[48]WC!G35</f>
        <v>42.114884336815123</v>
      </c>
      <c r="H10" s="723">
        <f>[48]WC!I35-[48]WC!H35</f>
        <v>13.723643344238042</v>
      </c>
      <c r="I10" s="723">
        <f>[48]WC!J35-[48]WC!I35</f>
        <v>14.409825511449981</v>
      </c>
      <c r="J10" s="723">
        <f>[48]WC!K35-[48]WC!J35</f>
        <v>15.130316787022366</v>
      </c>
      <c r="K10" s="723">
        <f>[48]WC!L35-[48]WC!K35</f>
        <v>15.886832626373518</v>
      </c>
      <c r="L10" s="723">
        <f>[48]WC!M35-[48]WC!L35</f>
        <v>16.681174257692248</v>
      </c>
      <c r="M10" s="723">
        <f>[48]WC!N35-[48]WC!M35</f>
        <v>-320.30465941153648</v>
      </c>
    </row>
    <row r="11" spans="1:13" ht="19.5" hidden="1" customHeight="1">
      <c r="B11" s="720" t="s">
        <v>1172</v>
      </c>
      <c r="C11" s="724">
        <f>'[48]Cash Flow'!C20</f>
        <v>705.00374999999997</v>
      </c>
      <c r="D11" s="724">
        <f>[48]BS!D18-[48]BS!C18</f>
        <v>0</v>
      </c>
      <c r="E11" s="724">
        <f>[48]BS!E18-[48]BS!D18</f>
        <v>0</v>
      </c>
      <c r="F11" s="724">
        <f>[48]BS!F18-[48]BS!E18</f>
        <v>0</v>
      </c>
      <c r="G11" s="724">
        <f>[48]BS!G18-[48]BS!F18</f>
        <v>0</v>
      </c>
      <c r="H11" s="724">
        <f>[48]BS!H18-[48]BS!G18</f>
        <v>0</v>
      </c>
      <c r="I11" s="724">
        <f>[48]BS!I18-[48]BS!H18</f>
        <v>0</v>
      </c>
      <c r="J11" s="724">
        <f>[48]BS!J18-[48]BS!I18</f>
        <v>0</v>
      </c>
      <c r="K11" s="724">
        <f>[48]BS!K18-[48]BS!J18</f>
        <v>0</v>
      </c>
      <c r="L11" s="724">
        <f>[48]BS!L18-[48]BS!K18</f>
        <v>0</v>
      </c>
      <c r="M11" s="724">
        <f>-'[48]Cash Flow'!M15</f>
        <v>-133.42119694079651</v>
      </c>
    </row>
    <row r="12" spans="1:13" ht="19.5" hidden="1" customHeight="1">
      <c r="B12" s="721" t="s">
        <v>1173</v>
      </c>
      <c r="C12" s="725">
        <f>C9-C10-C11</f>
        <v>-795.3796826659642</v>
      </c>
      <c r="D12" s="725">
        <f t="shared" ref="D12:M12" si="3">D9-D10-D11</f>
        <v>116.02350293993666</v>
      </c>
      <c r="E12" s="725">
        <f t="shared" si="3"/>
        <v>151.40425851369866</v>
      </c>
      <c r="F12" s="725">
        <f t="shared" si="3"/>
        <v>158.69406904533901</v>
      </c>
      <c r="G12" s="725">
        <f t="shared" si="3"/>
        <v>148.96162168179256</v>
      </c>
      <c r="H12" s="725">
        <f t="shared" si="3"/>
        <v>182.29781300501406</v>
      </c>
      <c r="I12" s="725">
        <f t="shared" si="3"/>
        <v>186.96704559172849</v>
      </c>
      <c r="J12" s="725">
        <f t="shared" si="3"/>
        <v>192.29378907237611</v>
      </c>
      <c r="K12" s="725">
        <f t="shared" si="3"/>
        <v>199.25587443175738</v>
      </c>
      <c r="L12" s="725">
        <f t="shared" si="3"/>
        <v>207.84491329103781</v>
      </c>
      <c r="M12" s="725">
        <f t="shared" si="3"/>
        <v>573.61608507391065</v>
      </c>
    </row>
    <row r="13" spans="1:13" s="726" customFormat="1" ht="21" hidden="1" customHeight="1">
      <c r="B13" s="716" t="s">
        <v>1174</v>
      </c>
      <c r="C13" s="819">
        <f>IRR(C12:M12)</f>
        <v>0.18112211534657385</v>
      </c>
      <c r="D13" s="819"/>
      <c r="E13" s="819"/>
      <c r="F13" s="819"/>
      <c r="G13" s="819"/>
      <c r="H13" s="819"/>
      <c r="I13" s="819"/>
      <c r="J13" s="819"/>
      <c r="K13" s="819"/>
      <c r="L13" s="819"/>
      <c r="M13" s="819"/>
    </row>
    <row r="14" spans="1:13">
      <c r="B14" s="727"/>
      <c r="C14" s="728"/>
      <c r="D14" s="729"/>
      <c r="E14" s="728"/>
      <c r="F14" s="730"/>
      <c r="G14" s="731"/>
      <c r="H14" s="732"/>
      <c r="I14" s="731"/>
      <c r="K14" s="733"/>
      <c r="L14" s="733"/>
    </row>
    <row r="15" spans="1:13">
      <c r="A15" s="677">
        <v>0.02</v>
      </c>
      <c r="B15" s="678" t="s">
        <v>1133</v>
      </c>
      <c r="C15" s="677">
        <f>D56</f>
        <v>0.11749999999999999</v>
      </c>
      <c r="D15" s="678"/>
      <c r="E15" s="678"/>
      <c r="F15" s="678"/>
      <c r="G15" s="678"/>
      <c r="H15" s="678"/>
      <c r="I15" s="678"/>
      <c r="J15" s="734"/>
      <c r="K15" s="735"/>
      <c r="L15" s="735"/>
      <c r="M15" s="736"/>
    </row>
    <row r="16" spans="1:13" ht="15" hidden="1" customHeight="1">
      <c r="B16" s="678"/>
      <c r="C16" s="678"/>
      <c r="D16" s="678"/>
      <c r="E16" s="678"/>
      <c r="F16" s="678"/>
      <c r="G16" s="678"/>
      <c r="H16" s="678"/>
      <c r="I16" s="678"/>
    </row>
    <row r="17" spans="2:10" ht="15" hidden="1" customHeight="1">
      <c r="B17" s="678" t="s">
        <v>1134</v>
      </c>
      <c r="C17" s="678"/>
      <c r="D17" s="678"/>
      <c r="E17" s="678"/>
      <c r="F17" s="678"/>
      <c r="G17" s="678"/>
      <c r="H17" s="678"/>
      <c r="I17" s="678"/>
    </row>
    <row r="18" spans="2:10" ht="15" hidden="1" customHeight="1">
      <c r="B18" s="678" t="s">
        <v>1135</v>
      </c>
      <c r="C18" s="678">
        <f t="shared" ref="C18:I18" si="4">C4</f>
        <v>2025</v>
      </c>
      <c r="D18" s="678">
        <f t="shared" si="4"/>
        <v>2026</v>
      </c>
      <c r="E18" s="678">
        <f t="shared" si="4"/>
        <v>2027</v>
      </c>
      <c r="F18" s="678">
        <f t="shared" si="4"/>
        <v>2028</v>
      </c>
      <c r="G18" s="678">
        <f t="shared" si="4"/>
        <v>2029</v>
      </c>
      <c r="H18" s="678">
        <f t="shared" si="4"/>
        <v>2030</v>
      </c>
      <c r="I18" s="678">
        <f t="shared" si="4"/>
        <v>2031</v>
      </c>
      <c r="J18" s="737"/>
    </row>
    <row r="19" spans="2:10" ht="15" hidden="1" customHeight="1">
      <c r="B19" s="678" t="s">
        <v>1136</v>
      </c>
      <c r="C19" s="678">
        <v>0.13</v>
      </c>
      <c r="D19" s="678">
        <f>C19</f>
        <v>0.13</v>
      </c>
      <c r="E19" s="678">
        <f t="shared" ref="E19:I19" si="5">D19</f>
        <v>0.13</v>
      </c>
      <c r="F19" s="678">
        <f t="shared" si="5"/>
        <v>0.13</v>
      </c>
      <c r="G19" s="678">
        <f t="shared" si="5"/>
        <v>0.13</v>
      </c>
      <c r="H19" s="678">
        <f t="shared" si="5"/>
        <v>0.13</v>
      </c>
      <c r="I19" s="678">
        <f t="shared" si="5"/>
        <v>0.13</v>
      </c>
      <c r="J19" s="735"/>
    </row>
    <row r="20" spans="2:10" ht="15" hidden="1" customHeight="1">
      <c r="B20" s="678" t="s">
        <v>1113</v>
      </c>
      <c r="C20" s="678">
        <v>0.2</v>
      </c>
      <c r="D20" s="678">
        <v>0.2</v>
      </c>
      <c r="E20" s="678">
        <v>0.2</v>
      </c>
      <c r="F20" s="678">
        <v>0.2</v>
      </c>
      <c r="G20" s="678">
        <v>0.2</v>
      </c>
      <c r="H20" s="678">
        <v>0.2</v>
      </c>
      <c r="I20" s="678">
        <v>0.2</v>
      </c>
      <c r="J20" s="735"/>
    </row>
    <row r="21" spans="2:10" ht="15" hidden="1" customHeight="1">
      <c r="B21" s="678" t="s">
        <v>1137</v>
      </c>
      <c r="C21" s="678">
        <v>0</v>
      </c>
      <c r="D21" s="678">
        <v>0</v>
      </c>
      <c r="E21" s="678">
        <v>0</v>
      </c>
      <c r="F21" s="678">
        <v>0</v>
      </c>
      <c r="G21" s="678">
        <v>0</v>
      </c>
      <c r="H21" s="678">
        <v>0</v>
      </c>
      <c r="I21" s="678">
        <v>0</v>
      </c>
      <c r="J21" s="738"/>
    </row>
    <row r="22" spans="2:10" ht="15" hidden="1" customHeight="1">
      <c r="B22" s="678" t="s">
        <v>1138</v>
      </c>
      <c r="C22" s="678">
        <v>0.33989999999999998</v>
      </c>
      <c r="D22" s="678">
        <v>0.33989999999999998</v>
      </c>
      <c r="E22" s="678">
        <v>0.33989999999999998</v>
      </c>
      <c r="F22" s="678">
        <v>0.33989999999999998</v>
      </c>
      <c r="G22" s="678">
        <v>0.33989999999999998</v>
      </c>
      <c r="H22" s="678">
        <v>0.33989999999999998</v>
      </c>
      <c r="I22" s="678">
        <v>0.33989999999999998</v>
      </c>
      <c r="J22" s="738"/>
    </row>
    <row r="23" spans="2:10" ht="15" hidden="1" customHeight="1">
      <c r="B23" s="678" t="s">
        <v>843</v>
      </c>
      <c r="C23" s="678">
        <f>C19*C21*(1-C22)+C20*(1-C21)</f>
        <v>0.2</v>
      </c>
      <c r="D23" s="678">
        <f>D19*D21*(1-D22)+D20*(1-D21)</f>
        <v>0.2</v>
      </c>
      <c r="E23" s="678">
        <f>E19*E21*(1-E22)+E20*(1-E21)</f>
        <v>0.2</v>
      </c>
      <c r="F23" s="678">
        <f t="shared" ref="F23:I23" si="6">F19*F21*(1-F22)+F20*(1-F21)</f>
        <v>0.2</v>
      </c>
      <c r="G23" s="678">
        <f t="shared" si="6"/>
        <v>0.2</v>
      </c>
      <c r="H23" s="678">
        <f t="shared" si="6"/>
        <v>0.2</v>
      </c>
      <c r="I23" s="678">
        <f t="shared" si="6"/>
        <v>0.2</v>
      </c>
      <c r="J23" s="739"/>
    </row>
    <row r="24" spans="2:10" ht="15" hidden="1" customHeight="1">
      <c r="B24" s="678" t="s">
        <v>1139</v>
      </c>
      <c r="C24" s="678"/>
      <c r="D24" s="678"/>
      <c r="E24" s="678">
        <f>1/(1+E23)</f>
        <v>0.83333333333333337</v>
      </c>
      <c r="F24" s="678">
        <f t="shared" ref="F24:I24" si="7">E24/(1+F23)</f>
        <v>0.69444444444444453</v>
      </c>
      <c r="G24" s="678">
        <f t="shared" si="7"/>
        <v>0.57870370370370383</v>
      </c>
      <c r="H24" s="678">
        <f t="shared" si="7"/>
        <v>0.48225308641975323</v>
      </c>
      <c r="I24" s="678">
        <f t="shared" si="7"/>
        <v>0.40187757201646102</v>
      </c>
      <c r="J24" s="740"/>
    </row>
    <row r="25" spans="2:10" ht="15" hidden="1" customHeight="1">
      <c r="B25" s="678"/>
      <c r="C25" s="678"/>
      <c r="D25" s="678"/>
      <c r="E25" s="678"/>
      <c r="F25" s="678"/>
      <c r="G25" s="678"/>
      <c r="H25" s="678"/>
      <c r="I25" s="678"/>
    </row>
    <row r="26" spans="2:10" ht="15" hidden="1" customHeight="1">
      <c r="B26" s="678"/>
      <c r="C26" s="678"/>
      <c r="D26" s="678"/>
      <c r="E26" s="678"/>
      <c r="F26" s="678"/>
      <c r="G26" s="678"/>
      <c r="H26" s="678"/>
      <c r="I26" s="678"/>
    </row>
    <row r="27" spans="2:10" ht="15" hidden="1" customHeight="1">
      <c r="B27" s="678"/>
      <c r="C27" s="678"/>
      <c r="D27" s="678"/>
      <c r="E27" s="678"/>
      <c r="F27" s="678"/>
      <c r="G27" s="678"/>
      <c r="H27" s="678"/>
      <c r="I27" s="678"/>
    </row>
    <row r="28" spans="2:10" ht="15" hidden="1" customHeight="1">
      <c r="B28" s="678"/>
      <c r="C28" s="678"/>
      <c r="D28" s="678"/>
      <c r="E28" s="678"/>
      <c r="F28" s="678"/>
      <c r="G28" s="678"/>
      <c r="H28" s="678"/>
      <c r="I28" s="678"/>
    </row>
    <row r="29" spans="2:10" ht="15" hidden="1" customHeight="1">
      <c r="B29" s="678"/>
      <c r="C29" s="678"/>
      <c r="D29" s="678"/>
      <c r="E29" s="678"/>
      <c r="F29" s="678"/>
      <c r="G29" s="678"/>
      <c r="H29" s="678"/>
      <c r="I29" s="678"/>
    </row>
    <row r="30" spans="2:10" ht="15" hidden="1" customHeight="1">
      <c r="B30" s="678"/>
      <c r="C30" s="678"/>
      <c r="D30" s="678"/>
      <c r="E30" s="678"/>
      <c r="F30" s="678"/>
      <c r="G30" s="678"/>
      <c r="H30" s="678"/>
      <c r="I30" s="678"/>
    </row>
    <row r="31" spans="2:10" ht="15" hidden="1" customHeight="1">
      <c r="B31" s="678"/>
      <c r="C31" s="678"/>
      <c r="D31" s="678"/>
      <c r="E31" s="678"/>
      <c r="F31" s="678"/>
      <c r="G31" s="678"/>
      <c r="H31" s="678"/>
      <c r="I31" s="678"/>
      <c r="J31" s="741"/>
    </row>
    <row r="32" spans="2:10" ht="15" hidden="1" customHeight="1">
      <c r="B32" s="678"/>
      <c r="C32" s="678"/>
      <c r="D32" s="678"/>
      <c r="E32" s="678"/>
      <c r="F32" s="678"/>
      <c r="G32" s="678"/>
      <c r="H32" s="678"/>
      <c r="I32" s="678"/>
    </row>
    <row r="33" spans="2:12" ht="15" hidden="1" customHeight="1">
      <c r="B33" s="678"/>
      <c r="C33" s="678"/>
      <c r="D33" s="678"/>
      <c r="E33" s="678"/>
      <c r="F33" s="678"/>
      <c r="G33" s="678"/>
      <c r="H33" s="678"/>
      <c r="I33" s="678"/>
    </row>
    <row r="34" spans="2:12" ht="15" hidden="1" customHeight="1">
      <c r="B34" s="678"/>
      <c r="C34" s="678"/>
      <c r="D34" s="678"/>
      <c r="E34" s="678"/>
      <c r="F34" s="678"/>
      <c r="G34" s="678"/>
      <c r="H34" s="678"/>
      <c r="I34" s="678"/>
    </row>
    <row r="35" spans="2:12" ht="15" hidden="1" customHeight="1">
      <c r="B35" s="678"/>
      <c r="C35" s="678"/>
      <c r="D35" s="678"/>
      <c r="E35" s="678"/>
      <c r="F35" s="678"/>
      <c r="G35" s="678"/>
      <c r="H35" s="678"/>
      <c r="I35" s="678"/>
    </row>
    <row r="36" spans="2:12">
      <c r="B36" s="508" t="s">
        <v>1140</v>
      </c>
      <c r="C36" s="684">
        <v>5.0000000000000001E-3</v>
      </c>
      <c r="D36" s="678"/>
      <c r="E36" s="678"/>
      <c r="F36" s="678"/>
      <c r="G36" s="678"/>
      <c r="H36" s="678"/>
      <c r="I36" s="678"/>
      <c r="J36" s="735"/>
      <c r="K36" s="735"/>
      <c r="L36" s="735"/>
    </row>
    <row r="37" spans="2:12">
      <c r="B37" s="508"/>
      <c r="C37" s="684"/>
      <c r="D37" s="678"/>
      <c r="E37" s="678"/>
      <c r="F37" s="678"/>
      <c r="G37" s="678"/>
      <c r="H37" s="678"/>
      <c r="I37" s="678"/>
      <c r="J37" s="735"/>
      <c r="K37" s="735"/>
      <c r="L37" s="735"/>
    </row>
    <row r="38" spans="2:12">
      <c r="B38" s="679" t="s">
        <v>1141</v>
      </c>
      <c r="C38" s="685" t="s">
        <v>1135</v>
      </c>
      <c r="D38" s="688">
        <v>0.27018086486772819</v>
      </c>
      <c r="E38" s="698" t="s">
        <v>1187</v>
      </c>
      <c r="F38" s="707" t="s">
        <v>1142</v>
      </c>
      <c r="G38" s="678"/>
      <c r="H38" s="678"/>
      <c r="I38" s="678"/>
      <c r="J38" s="735"/>
      <c r="K38" s="735"/>
      <c r="L38" s="735"/>
    </row>
    <row r="39" spans="2:12">
      <c r="B39" s="680" t="s">
        <v>1143</v>
      </c>
      <c r="C39" s="686" t="str">
        <f>C38</f>
        <v>WACC Calculation</v>
      </c>
      <c r="D39" s="689">
        <v>0.74252960126713707</v>
      </c>
      <c r="E39" s="699"/>
      <c r="F39" s="707" t="s">
        <v>1142</v>
      </c>
      <c r="G39" s="678"/>
      <c r="H39" s="678"/>
      <c r="I39" s="678"/>
      <c r="J39" s="735"/>
      <c r="K39" s="735"/>
      <c r="L39" s="735"/>
    </row>
    <row r="40" spans="2:12">
      <c r="B40" s="680" t="s">
        <v>716</v>
      </c>
      <c r="C40" s="686"/>
      <c r="D40" s="690">
        <v>0.25168000000000001</v>
      </c>
      <c r="E40" s="699"/>
      <c r="F40" s="699"/>
      <c r="G40" s="678"/>
      <c r="H40" s="678"/>
      <c r="I40" s="678"/>
      <c r="J40" s="735"/>
      <c r="K40" s="735"/>
      <c r="L40" s="735"/>
    </row>
    <row r="41" spans="2:12">
      <c r="B41" s="681" t="s">
        <v>1144</v>
      </c>
      <c r="C41" s="686" t="s">
        <v>1145</v>
      </c>
      <c r="D41" s="689">
        <f>D39*(1+(1-D40)*D38)</f>
        <v>0.89265553161535527</v>
      </c>
      <c r="E41" s="699"/>
      <c r="F41" s="699"/>
      <c r="G41" s="678"/>
      <c r="H41" s="678"/>
      <c r="I41" s="678"/>
      <c r="J41" s="735"/>
      <c r="K41" s="735"/>
      <c r="L41" s="735"/>
    </row>
    <row r="42" spans="2:12">
      <c r="B42" s="680"/>
      <c r="C42" s="686"/>
      <c r="D42" s="691"/>
      <c r="E42" s="691"/>
      <c r="F42" s="691"/>
      <c r="G42" s="678"/>
      <c r="H42" s="678"/>
      <c r="I42" s="678"/>
      <c r="J42" s="735"/>
      <c r="K42" s="735"/>
      <c r="L42" s="735"/>
    </row>
    <row r="43" spans="2:12">
      <c r="B43" s="682" t="s">
        <v>1146</v>
      </c>
      <c r="C43" s="686"/>
      <c r="D43" s="691"/>
      <c r="E43" s="691"/>
      <c r="F43" s="691"/>
      <c r="G43" s="678"/>
      <c r="H43" s="678"/>
      <c r="I43" s="678"/>
      <c r="J43" s="735"/>
      <c r="K43" s="735"/>
      <c r="L43" s="735"/>
    </row>
    <row r="44" spans="2:12">
      <c r="B44" s="680" t="s">
        <v>1147</v>
      </c>
      <c r="C44" s="686"/>
      <c r="D44" s="691">
        <v>7.4200000000000002E-2</v>
      </c>
      <c r="E44" s="700" t="s">
        <v>1148</v>
      </c>
      <c r="F44" s="691"/>
      <c r="G44" s="678"/>
      <c r="H44" s="678"/>
      <c r="I44" s="678"/>
      <c r="J44" s="735"/>
      <c r="K44" s="735"/>
      <c r="L44" s="735"/>
    </row>
    <row r="45" spans="2:12">
      <c r="B45" s="680" t="s">
        <v>1149</v>
      </c>
      <c r="C45" s="686"/>
      <c r="D45" s="692">
        <f>+D44+D46</f>
        <v>0.15229999999999999</v>
      </c>
      <c r="E45" s="701" t="s">
        <v>1150</v>
      </c>
      <c r="F45" s="691"/>
      <c r="G45" s="678"/>
      <c r="H45" s="678"/>
      <c r="I45" s="678"/>
      <c r="J45" s="735"/>
      <c r="K45" s="735"/>
      <c r="L45" s="735"/>
    </row>
    <row r="46" spans="2:12">
      <c r="B46" s="680" t="s">
        <v>1151</v>
      </c>
      <c r="C46" s="686"/>
      <c r="D46" s="691">
        <v>7.8100000000000003E-2</v>
      </c>
      <c r="E46" s="701" t="s">
        <v>1152</v>
      </c>
      <c r="F46" s="691"/>
      <c r="G46" s="678"/>
      <c r="H46" s="678"/>
      <c r="I46" s="678"/>
      <c r="J46" s="735"/>
      <c r="K46" s="735"/>
      <c r="L46" s="735"/>
    </row>
    <row r="47" spans="2:12">
      <c r="B47" s="680" t="s">
        <v>1153</v>
      </c>
      <c r="C47" s="686"/>
      <c r="D47" s="693">
        <f>D41</f>
        <v>0.89265553161535527</v>
      </c>
      <c r="E47" s="702" t="s">
        <v>1154</v>
      </c>
      <c r="F47" s="708"/>
      <c r="G47" s="678"/>
      <c r="H47" s="678"/>
      <c r="I47" s="678"/>
      <c r="J47" s="735"/>
      <c r="K47" s="735"/>
      <c r="L47" s="735"/>
    </row>
    <row r="48" spans="2:12">
      <c r="B48" s="680" t="s">
        <v>1155</v>
      </c>
      <c r="C48" s="686"/>
      <c r="D48" s="694">
        <v>0.02</v>
      </c>
      <c r="E48" s="701" t="s">
        <v>1156</v>
      </c>
      <c r="F48" s="708"/>
      <c r="G48" s="678"/>
      <c r="H48" s="678"/>
      <c r="I48" s="678"/>
      <c r="J48" s="735"/>
      <c r="K48" s="735"/>
      <c r="L48" s="735"/>
    </row>
    <row r="49" spans="2:13">
      <c r="B49" s="683" t="s">
        <v>1146</v>
      </c>
      <c r="C49" s="683"/>
      <c r="D49" s="695">
        <f>D44+(D47*D46)+D48</f>
        <v>0.16391639701915925</v>
      </c>
      <c r="E49" s="703" t="s">
        <v>1154</v>
      </c>
      <c r="F49" s="708"/>
      <c r="G49" s="678"/>
      <c r="H49" s="678"/>
      <c r="I49" s="678"/>
      <c r="J49" s="735"/>
      <c r="K49" s="735"/>
      <c r="L49" s="735"/>
    </row>
    <row r="50" spans="2:13">
      <c r="B50" s="682" t="s">
        <v>1157</v>
      </c>
      <c r="C50" s="687"/>
      <c r="D50" s="696"/>
      <c r="E50" s="704"/>
      <c r="F50" s="708"/>
      <c r="G50" s="678"/>
      <c r="H50" s="678"/>
      <c r="I50" s="678"/>
      <c r="J50" s="735"/>
      <c r="K50" s="735"/>
      <c r="L50" s="735"/>
    </row>
    <row r="51" spans="2:13">
      <c r="B51" s="680" t="s">
        <v>1158</v>
      </c>
      <c r="C51" s="686"/>
      <c r="D51" s="691">
        <v>0.09</v>
      </c>
      <c r="E51" s="701" t="s">
        <v>1159</v>
      </c>
      <c r="F51" s="708"/>
      <c r="G51" s="678"/>
      <c r="H51" s="678"/>
      <c r="I51" s="678"/>
      <c r="J51" s="735"/>
      <c r="K51" s="735"/>
      <c r="L51" s="735"/>
    </row>
    <row r="52" spans="2:13">
      <c r="B52" s="680" t="s">
        <v>1160</v>
      </c>
      <c r="C52" s="686"/>
      <c r="D52" s="697">
        <v>0.25168000000000001</v>
      </c>
      <c r="E52" s="705" t="s">
        <v>1161</v>
      </c>
      <c r="F52" s="708"/>
      <c r="G52" s="678"/>
      <c r="H52" s="678"/>
      <c r="I52" s="678"/>
      <c r="J52" s="735"/>
      <c r="K52" s="735"/>
      <c r="L52" s="735"/>
    </row>
    <row r="53" spans="2:13">
      <c r="B53" s="680" t="s">
        <v>1162</v>
      </c>
      <c r="C53" s="686"/>
      <c r="D53" s="691">
        <f>D51*(1-D52)</f>
        <v>6.73488E-2</v>
      </c>
      <c r="E53" s="703" t="s">
        <v>1154</v>
      </c>
      <c r="F53" s="708"/>
      <c r="G53" s="678"/>
      <c r="H53" s="678"/>
      <c r="I53" s="678"/>
      <c r="J53" s="735"/>
      <c r="K53" s="735"/>
      <c r="L53" s="735"/>
    </row>
    <row r="54" spans="2:13">
      <c r="B54" s="680" t="s">
        <v>1163</v>
      </c>
      <c r="C54" s="686"/>
      <c r="D54" s="693">
        <f>WACC!C14/WACC!C15</f>
        <v>0.94871850611943209</v>
      </c>
      <c r="E54" s="702" t="s">
        <v>1154</v>
      </c>
      <c r="F54" s="709"/>
      <c r="G54" s="678"/>
      <c r="H54" s="678"/>
      <c r="I54" s="678"/>
      <c r="J54" s="735"/>
      <c r="K54" s="735"/>
      <c r="L54" s="735"/>
    </row>
    <row r="55" spans="2:13">
      <c r="B55" s="683" t="s">
        <v>843</v>
      </c>
      <c r="C55" s="683"/>
      <c r="D55" s="695">
        <f>(D49*(1/(1+D54)))+(D53*(D54/(1+D54)))</f>
        <v>0.11690321061185308</v>
      </c>
      <c r="E55" s="706" t="s">
        <v>1129</v>
      </c>
      <c r="F55" s="708"/>
      <c r="G55" s="678"/>
      <c r="H55" s="678"/>
      <c r="I55" s="678"/>
      <c r="J55" s="735"/>
      <c r="K55" s="735"/>
      <c r="L55" s="735"/>
    </row>
    <row r="56" spans="2:13">
      <c r="B56" s="683" t="s">
        <v>1164</v>
      </c>
      <c r="C56" s="683"/>
      <c r="D56" s="695">
        <f>ROUND(D55*4,2)/4</f>
        <v>0.11749999999999999</v>
      </c>
      <c r="E56" s="706" t="s">
        <v>1154</v>
      </c>
      <c r="F56" s="708"/>
      <c r="G56" s="678"/>
      <c r="H56" s="678"/>
      <c r="I56" s="678"/>
      <c r="J56" s="735"/>
      <c r="K56" s="735"/>
      <c r="L56" s="735"/>
    </row>
    <row r="57" spans="2:13">
      <c r="B57" s="678"/>
      <c r="C57" s="678"/>
      <c r="D57" s="678"/>
      <c r="E57" s="678"/>
      <c r="F57" s="678"/>
      <c r="G57" s="678"/>
      <c r="H57" s="678"/>
      <c r="I57" s="678"/>
      <c r="J57" s="678"/>
      <c r="K57" s="678"/>
      <c r="L57" s="678"/>
      <c r="M57" s="678"/>
    </row>
    <row r="58" spans="2:13">
      <c r="B58" s="718" t="s">
        <v>1175</v>
      </c>
      <c r="C58" s="719">
        <f>C5/12</f>
        <v>1</v>
      </c>
      <c r="D58" s="719">
        <f>C58+1</f>
        <v>2</v>
      </c>
      <c r="E58" s="719">
        <f t="shared" ref="E58:M58" si="8">D58+1</f>
        <v>3</v>
      </c>
      <c r="F58" s="719">
        <f t="shared" si="8"/>
        <v>4</v>
      </c>
      <c r="G58" s="719">
        <f t="shared" si="8"/>
        <v>5</v>
      </c>
      <c r="H58" s="719">
        <f t="shared" si="8"/>
        <v>6</v>
      </c>
      <c r="I58" s="719">
        <f t="shared" si="8"/>
        <v>7</v>
      </c>
      <c r="J58" s="719">
        <f t="shared" si="8"/>
        <v>8</v>
      </c>
      <c r="K58" s="719">
        <f t="shared" si="8"/>
        <v>9</v>
      </c>
      <c r="L58" s="719">
        <f t="shared" si="8"/>
        <v>10</v>
      </c>
      <c r="M58" s="719">
        <f t="shared" si="8"/>
        <v>11</v>
      </c>
    </row>
    <row r="59" spans="2:13">
      <c r="B59" s="718"/>
      <c r="C59" s="735"/>
      <c r="D59" s="735"/>
    </row>
    <row r="60" spans="2:13">
      <c r="B60" s="718" t="s">
        <v>817</v>
      </c>
      <c r="C60" s="742">
        <f>1/(1+$C$15)^C58</f>
        <v>0.89485458612975399</v>
      </c>
      <c r="D60" s="742">
        <f t="shared" ref="D60:M60" si="9">1/(1+$C$15)^D58</f>
        <v>0.80076473031745321</v>
      </c>
      <c r="E60" s="742">
        <f t="shared" si="9"/>
        <v>0.71656799133552873</v>
      </c>
      <c r="F60" s="742">
        <f t="shared" si="9"/>
        <v>0.64122415332038363</v>
      </c>
      <c r="G60" s="742">
        <f t="shared" si="9"/>
        <v>0.57380237433591375</v>
      </c>
      <c r="H60" s="742">
        <f t="shared" si="9"/>
        <v>0.51346968620663425</v>
      </c>
      <c r="I60" s="742">
        <f t="shared" si="9"/>
        <v>0.45948070354061238</v>
      </c>
      <c r="J60" s="742">
        <f t="shared" si="9"/>
        <v>0.41116841480144284</v>
      </c>
      <c r="K60" s="742">
        <f t="shared" si="9"/>
        <v>0.36793594165677213</v>
      </c>
      <c r="L60" s="742">
        <f t="shared" si="9"/>
        <v>0.32924916479353211</v>
      </c>
      <c r="M60" s="742">
        <f t="shared" si="9"/>
        <v>0.2946301250948834</v>
      </c>
    </row>
    <row r="62" spans="2:13">
      <c r="B62" s="508" t="s">
        <v>1176</v>
      </c>
      <c r="C62" s="719">
        <f>C12*C60</f>
        <v>-711.74915674806641</v>
      </c>
      <c r="D62" s="719">
        <f t="shared" ref="D62:M62" si="10">D12*D60</f>
        <v>92.90752904218462</v>
      </c>
      <c r="E62" s="719">
        <f t="shared" si="10"/>
        <v>108.49144540280618</v>
      </c>
      <c r="F62" s="719">
        <f t="shared" si="10"/>
        <v>101.75847006056401</v>
      </c>
      <c r="G62" s="719">
        <f t="shared" si="10"/>
        <v>85.474532205940704</v>
      </c>
      <c r="H62" s="719">
        <f t="shared" si="10"/>
        <v>93.604400839840253</v>
      </c>
      <c r="I62" s="719">
        <f t="shared" si="10"/>
        <v>85.907749647397154</v>
      </c>
      <c r="J62" s="719">
        <f t="shared" si="10"/>
        <v>79.0651324290519</v>
      </c>
      <c r="K62" s="719">
        <f t="shared" si="10"/>
        <v>73.313397789692189</v>
      </c>
      <c r="L62" s="719">
        <f t="shared" si="10"/>
        <v>68.432764107658301</v>
      </c>
      <c r="M62" s="719">
        <f t="shared" si="10"/>
        <v>169.00457890176358</v>
      </c>
    </row>
    <row r="63" spans="2:13">
      <c r="B63" s="508" t="s">
        <v>1177</v>
      </c>
      <c r="C63" s="742"/>
    </row>
    <row r="64" spans="2:13">
      <c r="B64" s="508" t="s">
        <v>1178</v>
      </c>
      <c r="C64" s="742"/>
      <c r="D64" s="743"/>
    </row>
    <row r="65" spans="2:14">
      <c r="B65" s="508" t="s">
        <v>1179</v>
      </c>
      <c r="C65" s="742">
        <f>C62+C64</f>
        <v>-711.74915674806641</v>
      </c>
      <c r="D65" s="742">
        <f t="shared" ref="D65:M65" si="11">D62+D64</f>
        <v>92.90752904218462</v>
      </c>
      <c r="E65" s="742">
        <f t="shared" si="11"/>
        <v>108.49144540280618</v>
      </c>
      <c r="F65" s="742">
        <f t="shared" si="11"/>
        <v>101.75847006056401</v>
      </c>
      <c r="G65" s="742">
        <f t="shared" si="11"/>
        <v>85.474532205940704</v>
      </c>
      <c r="H65" s="742">
        <f t="shared" si="11"/>
        <v>93.604400839840253</v>
      </c>
      <c r="I65" s="742">
        <f t="shared" si="11"/>
        <v>85.907749647397154</v>
      </c>
      <c r="J65" s="742">
        <f t="shared" si="11"/>
        <v>79.0651324290519</v>
      </c>
      <c r="K65" s="742">
        <f t="shared" si="11"/>
        <v>73.313397789692189</v>
      </c>
      <c r="L65" s="742">
        <f t="shared" si="11"/>
        <v>68.432764107658301</v>
      </c>
      <c r="M65" s="742">
        <f t="shared" si="11"/>
        <v>169.00457890176358</v>
      </c>
    </row>
    <row r="66" spans="2:14">
      <c r="B66" s="727"/>
      <c r="C66" s="735"/>
      <c r="D66" s="735"/>
    </row>
    <row r="67" spans="2:14">
      <c r="B67" s="716" t="s">
        <v>1180</v>
      </c>
      <c r="C67" s="820">
        <f>SUM(C65:M65)</f>
        <v>246.21084367883242</v>
      </c>
      <c r="D67" s="820"/>
      <c r="E67" s="820"/>
      <c r="F67" s="820"/>
      <c r="G67" s="820"/>
      <c r="H67" s="820"/>
      <c r="I67" s="820"/>
      <c r="J67" s="820"/>
      <c r="K67" s="820"/>
      <c r="L67" s="820"/>
      <c r="M67" s="820"/>
    </row>
    <row r="68" spans="2:14">
      <c r="B68" s="727"/>
      <c r="C68" s="744"/>
      <c r="D68" s="735"/>
    </row>
    <row r="69" spans="2:14">
      <c r="B69" s="727"/>
      <c r="C69" s="735"/>
    </row>
    <row r="70" spans="2:14" hidden="1">
      <c r="B70" s="745" t="s">
        <v>1181</v>
      </c>
      <c r="C70" s="717">
        <f>C4</f>
        <v>2025</v>
      </c>
      <c r="D70" s="717">
        <f t="shared" ref="D70:M70" si="12">D4</f>
        <v>2026</v>
      </c>
      <c r="E70" s="717">
        <f t="shared" si="12"/>
        <v>2027</v>
      </c>
      <c r="F70" s="717">
        <f t="shared" si="12"/>
        <v>2028</v>
      </c>
      <c r="G70" s="717">
        <f t="shared" si="12"/>
        <v>2029</v>
      </c>
      <c r="H70" s="717">
        <f t="shared" si="12"/>
        <v>2030</v>
      </c>
      <c r="I70" s="717">
        <f t="shared" si="12"/>
        <v>2031</v>
      </c>
      <c r="J70" s="717">
        <f t="shared" si="12"/>
        <v>2032</v>
      </c>
      <c r="K70" s="717">
        <f t="shared" si="12"/>
        <v>2033</v>
      </c>
      <c r="L70" s="717">
        <f t="shared" si="12"/>
        <v>2034</v>
      </c>
      <c r="M70" s="717">
        <f t="shared" si="12"/>
        <v>2035</v>
      </c>
    </row>
    <row r="71" spans="2:14" hidden="1">
      <c r="B71" s="33"/>
      <c r="C71" s="33"/>
      <c r="D71" s="746"/>
      <c r="E71" s="747"/>
      <c r="F71" s="748"/>
      <c r="G71" s="748"/>
      <c r="H71" s="748"/>
      <c r="I71" s="748"/>
      <c r="J71" s="749"/>
    </row>
    <row r="72" spans="2:14" hidden="1">
      <c r="B72" s="750" t="s">
        <v>1182</v>
      </c>
      <c r="C72" s="742">
        <v>1</v>
      </c>
      <c r="D72" s="742">
        <f>C72+1</f>
        <v>2</v>
      </c>
      <c r="E72" s="742">
        <f t="shared" ref="E72:M72" si="13">D72+1</f>
        <v>3</v>
      </c>
      <c r="F72" s="742">
        <f t="shared" si="13"/>
        <v>4</v>
      </c>
      <c r="G72" s="742">
        <f t="shared" si="13"/>
        <v>5</v>
      </c>
      <c r="H72" s="742">
        <f t="shared" si="13"/>
        <v>6</v>
      </c>
      <c r="I72" s="742">
        <f t="shared" si="13"/>
        <v>7</v>
      </c>
      <c r="J72" s="742">
        <f t="shared" si="13"/>
        <v>8</v>
      </c>
      <c r="K72" s="742">
        <f t="shared" si="13"/>
        <v>9</v>
      </c>
      <c r="L72" s="742">
        <f t="shared" si="13"/>
        <v>10</v>
      </c>
      <c r="M72" s="742">
        <f t="shared" si="13"/>
        <v>11</v>
      </c>
    </row>
    <row r="73" spans="2:14" hidden="1">
      <c r="B73" s="750" t="s">
        <v>1183</v>
      </c>
      <c r="C73" s="742">
        <f>[48]DSCR!C5+[48]DSCR!C6</f>
        <v>12.807846055057837</v>
      </c>
      <c r="D73" s="742">
        <f>[48]DSCR!D5+[48]DSCR!D6</f>
        <v>89.628717013830325</v>
      </c>
      <c r="E73" s="742">
        <f>[48]DSCR!E5+[48]DSCR!E6</f>
        <v>103.21652017191778</v>
      </c>
      <c r="F73" s="742">
        <f>[48]DSCR!F5+[48]DSCR!F6</f>
        <v>118.02911878646913</v>
      </c>
      <c r="G73" s="742">
        <f>[48]DSCR!G5+[48]DSCR!G6</f>
        <v>145.0402334795086</v>
      </c>
      <c r="H73" s="742">
        <f>[48]DSCR!H5+[48]DSCR!H6</f>
        <v>155.56884454330955</v>
      </c>
      <c r="I73" s="742">
        <f>[48]DSCR!I5+[48]DSCR!I6</f>
        <v>167.65075370693881</v>
      </c>
      <c r="J73" s="742">
        <f>[48]DSCR!J5+[48]DSCR!J6</f>
        <v>180.36645759334681</v>
      </c>
      <c r="K73" s="742">
        <f>[48]DSCR!K5+[48]DSCR!K6</f>
        <v>190.74910137877669</v>
      </c>
      <c r="L73" s="742">
        <f>[48]DSCR!M5+[48]DSCR!M6</f>
        <v>106.67766152085177</v>
      </c>
      <c r="M73" s="742">
        <f>[48]DSCR!N5+[48]DSCR!N6</f>
        <v>0</v>
      </c>
    </row>
    <row r="74" spans="2:14" hidden="1">
      <c r="B74" s="750" t="s">
        <v>1184</v>
      </c>
      <c r="C74" s="742">
        <f>C73</f>
        <v>12.807846055057837</v>
      </c>
      <c r="D74" s="742">
        <f>C74+D73</f>
        <v>102.43656306888816</v>
      </c>
      <c r="E74" s="742">
        <f t="shared" ref="E74:M74" si="14">D74+E73</f>
        <v>205.65308324080593</v>
      </c>
      <c r="F74" s="742">
        <f t="shared" si="14"/>
        <v>323.68220202727503</v>
      </c>
      <c r="G74" s="742">
        <f t="shared" si="14"/>
        <v>468.72243550678365</v>
      </c>
      <c r="H74" s="742">
        <f t="shared" si="14"/>
        <v>624.29128005009318</v>
      </c>
      <c r="I74" s="742">
        <f t="shared" si="14"/>
        <v>791.94203375703205</v>
      </c>
      <c r="J74" s="742">
        <f t="shared" si="14"/>
        <v>972.30849135037886</v>
      </c>
      <c r="K74" s="742">
        <f t="shared" si="14"/>
        <v>1163.0575927291557</v>
      </c>
      <c r="L74" s="742">
        <f t="shared" si="14"/>
        <v>1269.7352542500075</v>
      </c>
      <c r="M74" s="742">
        <f t="shared" si="14"/>
        <v>1269.7352542500075</v>
      </c>
    </row>
    <row r="75" spans="2:14" hidden="1">
      <c r="B75" s="750" t="s">
        <v>1185</v>
      </c>
      <c r="C75" s="742">
        <f>'[48]CoP-MoF'!D11/10^5</f>
        <v>882.55228266596407</v>
      </c>
      <c r="D75" s="742"/>
      <c r="E75" s="742"/>
      <c r="F75" s="742"/>
      <c r="G75" s="742"/>
      <c r="H75" s="742"/>
      <c r="I75" s="742"/>
      <c r="J75" s="742"/>
      <c r="K75" s="742"/>
      <c r="L75" s="742"/>
      <c r="M75" s="742"/>
    </row>
    <row r="76" spans="2:14" hidden="1">
      <c r="B76" s="751" t="s">
        <v>1186</v>
      </c>
      <c r="C76" s="752">
        <f>7+(C75-I74)/J73</f>
        <v>7.5023675139932138</v>
      </c>
      <c r="D76" s="752" t="s">
        <v>664</v>
      </c>
      <c r="E76" s="753"/>
      <c r="F76" s="753"/>
      <c r="G76" s="753"/>
      <c r="H76" s="753"/>
      <c r="I76" s="753"/>
      <c r="J76" s="753"/>
      <c r="K76" s="753"/>
      <c r="L76" s="753"/>
      <c r="M76" s="753"/>
    </row>
    <row r="77" spans="2:14" hidden="1"/>
    <row r="78" spans="2:14" hidden="1">
      <c r="D78" s="754"/>
      <c r="E78" s="754"/>
      <c r="F78" s="754"/>
      <c r="G78" s="754"/>
      <c r="H78" s="754"/>
      <c r="I78" s="755"/>
      <c r="J78" s="754"/>
      <c r="K78" s="754"/>
      <c r="L78" s="754"/>
      <c r="M78" s="754"/>
      <c r="N78" s="756"/>
    </row>
    <row r="79" spans="2:14" hidden="1">
      <c r="B79" s="710">
        <v>2025</v>
      </c>
      <c r="C79" s="710">
        <v>1</v>
      </c>
      <c r="D79" s="757">
        <v>12.807846055057837</v>
      </c>
      <c r="E79" s="757">
        <v>12.807846055057837</v>
      </c>
      <c r="I79" s="758"/>
    </row>
    <row r="80" spans="2:14" hidden="1">
      <c r="B80" s="710">
        <f t="shared" ref="B80:C89" si="15">B79+1</f>
        <v>2026</v>
      </c>
      <c r="C80" s="710">
        <f t="shared" si="15"/>
        <v>2</v>
      </c>
      <c r="D80" s="757">
        <v>89.628717013830325</v>
      </c>
      <c r="E80" s="757">
        <v>102.43656306888816</v>
      </c>
      <c r="I80" s="758"/>
    </row>
    <row r="81" spans="2:5" hidden="1">
      <c r="B81" s="710">
        <f t="shared" si="15"/>
        <v>2027</v>
      </c>
      <c r="C81" s="710">
        <f t="shared" si="15"/>
        <v>3</v>
      </c>
      <c r="D81" s="757">
        <v>103.21652017191778</v>
      </c>
      <c r="E81" s="757">
        <v>205.65308324080593</v>
      </c>
    </row>
    <row r="82" spans="2:5" hidden="1">
      <c r="B82" s="710">
        <f t="shared" si="15"/>
        <v>2028</v>
      </c>
      <c r="C82" s="710">
        <f t="shared" si="15"/>
        <v>4</v>
      </c>
      <c r="D82" s="757">
        <v>118.02911878646913</v>
      </c>
      <c r="E82" s="757">
        <v>323.68220202727503</v>
      </c>
    </row>
    <row r="83" spans="2:5" hidden="1">
      <c r="B83" s="710">
        <f t="shared" si="15"/>
        <v>2029</v>
      </c>
      <c r="C83" s="710">
        <f t="shared" si="15"/>
        <v>5</v>
      </c>
      <c r="D83" s="757">
        <v>145.0402334795086</v>
      </c>
      <c r="E83" s="757">
        <v>468.72243550678365</v>
      </c>
    </row>
    <row r="84" spans="2:5" hidden="1">
      <c r="B84" s="710">
        <f t="shared" si="15"/>
        <v>2030</v>
      </c>
      <c r="C84" s="710">
        <f t="shared" si="15"/>
        <v>6</v>
      </c>
      <c r="D84" s="757">
        <v>155.56884454330955</v>
      </c>
      <c r="E84" s="757">
        <v>624.29128005009318</v>
      </c>
    </row>
    <row r="85" spans="2:5" hidden="1">
      <c r="B85" s="710">
        <f t="shared" si="15"/>
        <v>2031</v>
      </c>
      <c r="C85" s="710">
        <f t="shared" si="15"/>
        <v>7</v>
      </c>
      <c r="D85" s="757">
        <v>167.65075370693881</v>
      </c>
      <c r="E85" s="757">
        <v>791.94203375703205</v>
      </c>
    </row>
    <row r="86" spans="2:5" hidden="1">
      <c r="B86" s="710">
        <f t="shared" si="15"/>
        <v>2032</v>
      </c>
      <c r="C86" s="710">
        <f t="shared" si="15"/>
        <v>8</v>
      </c>
      <c r="D86" s="757">
        <v>180.36645759334681</v>
      </c>
      <c r="E86" s="757">
        <v>972.30849135037886</v>
      </c>
    </row>
    <row r="87" spans="2:5" hidden="1">
      <c r="B87" s="710">
        <f t="shared" si="15"/>
        <v>2033</v>
      </c>
      <c r="C87" s="710">
        <f t="shared" si="15"/>
        <v>9</v>
      </c>
      <c r="D87" s="757">
        <v>190.74910137877669</v>
      </c>
      <c r="E87" s="757">
        <v>1163.0575927291557</v>
      </c>
    </row>
    <row r="88" spans="2:5" hidden="1">
      <c r="B88" s="710">
        <f t="shared" si="15"/>
        <v>2034</v>
      </c>
      <c r="C88" s="710">
        <f t="shared" si="15"/>
        <v>10</v>
      </c>
      <c r="D88" s="757">
        <v>106.67766152085177</v>
      </c>
      <c r="E88" s="757">
        <v>1269.7352542500075</v>
      </c>
    </row>
    <row r="89" spans="2:5" hidden="1">
      <c r="B89" s="710">
        <f t="shared" si="15"/>
        <v>2035</v>
      </c>
      <c r="C89" s="710">
        <f t="shared" si="15"/>
        <v>11</v>
      </c>
      <c r="D89" s="757">
        <v>0</v>
      </c>
      <c r="E89" s="757">
        <v>1269.7352542500075</v>
      </c>
    </row>
    <row r="90" spans="2:5" hidden="1">
      <c r="C90" s="710"/>
      <c r="D90" s="759">
        <f>SUM(D78:D89)</f>
        <v>1269.7352542500075</v>
      </c>
      <c r="E90" s="710"/>
    </row>
  </sheetData>
  <mergeCells count="2">
    <mergeCell ref="C13:M13"/>
    <mergeCell ref="C67:M67"/>
  </mergeCells>
  <dataValidations count="1">
    <dataValidation type="list" allowBlank="1" showInputMessage="1" showErrorMessage="1" sqref="C38" xr:uid="{00000000-0002-0000-0100-000000000000}">
      <formula1>$B$18:$B$19</formula1>
    </dataValidation>
  </dataValidation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27"/>
  <sheetViews>
    <sheetView showGridLines="0" zoomScaleNormal="100" workbookViewId="0">
      <pane ySplit="3" topLeftCell="A7" activePane="bottomLeft" state="frozen"/>
      <selection pane="bottomLeft" activeCell="F7" sqref="F7"/>
    </sheetView>
  </sheetViews>
  <sheetFormatPr defaultColWidth="8.88671875" defaultRowHeight="11.4"/>
  <cols>
    <col min="1" max="1" width="8.33203125" style="152" customWidth="1"/>
    <col min="2" max="2" width="20.5546875" style="152" customWidth="1"/>
    <col min="3" max="3" width="29.44140625" style="152" hidden="1" customWidth="1"/>
    <col min="4" max="4" width="13.109375" style="152" hidden="1" customWidth="1"/>
    <col min="5" max="5" width="11.33203125" style="152" hidden="1" customWidth="1"/>
    <col min="6" max="6" width="24.33203125" style="152" customWidth="1"/>
    <col min="7" max="7" width="15" style="152" customWidth="1"/>
    <col min="8" max="8" width="14.5546875" style="152" bestFit="1" customWidth="1"/>
    <col min="9" max="9" width="18.109375" style="152" bestFit="1" customWidth="1"/>
    <col min="10" max="10" width="46.6640625" style="152" customWidth="1"/>
    <col min="11" max="16384" width="8.88671875" style="152"/>
  </cols>
  <sheetData>
    <row r="1" spans="1:15" ht="12">
      <c r="A1" s="893" t="s">
        <v>523</v>
      </c>
      <c r="B1" s="893"/>
      <c r="C1" s="893"/>
      <c r="D1" s="893"/>
      <c r="E1" s="893"/>
      <c r="F1" s="893"/>
      <c r="G1" s="893"/>
      <c r="H1" s="893"/>
      <c r="I1" s="893"/>
      <c r="J1" s="893"/>
    </row>
    <row r="2" spans="1:15" ht="12" thickBot="1">
      <c r="A2" s="894" t="s">
        <v>295</v>
      </c>
      <c r="B2" s="895"/>
      <c r="C2" s="895"/>
      <c r="D2" s="895"/>
      <c r="E2" s="895"/>
      <c r="F2" s="895"/>
      <c r="G2" s="895"/>
      <c r="H2" s="895"/>
      <c r="I2" s="895"/>
      <c r="J2" s="895"/>
    </row>
    <row r="3" spans="1:15" ht="36.6" thickBot="1">
      <c r="A3" s="153" t="s">
        <v>222</v>
      </c>
      <c r="B3" s="153" t="s">
        <v>223</v>
      </c>
      <c r="C3" s="153" t="s">
        <v>224</v>
      </c>
      <c r="D3" s="153" t="s">
        <v>225</v>
      </c>
      <c r="E3" s="153" t="s">
        <v>226</v>
      </c>
      <c r="F3" s="153" t="s">
        <v>227</v>
      </c>
      <c r="G3" s="153" t="s">
        <v>228</v>
      </c>
      <c r="H3" s="154" t="s">
        <v>292</v>
      </c>
      <c r="I3" s="154" t="s">
        <v>291</v>
      </c>
      <c r="J3" s="153" t="s">
        <v>229</v>
      </c>
    </row>
    <row r="4" spans="1:15">
      <c r="A4" s="896" t="s">
        <v>281</v>
      </c>
      <c r="B4" s="897"/>
      <c r="C4" s="897"/>
      <c r="D4" s="897"/>
      <c r="E4" s="897"/>
      <c r="F4" s="897"/>
      <c r="G4" s="897"/>
      <c r="H4" s="897"/>
      <c r="I4" s="897"/>
      <c r="J4" s="898"/>
    </row>
    <row r="5" spans="1:15" ht="68.25" customHeight="1">
      <c r="A5" s="155">
        <v>1</v>
      </c>
      <c r="B5" s="247" t="s">
        <v>232</v>
      </c>
      <c r="C5" s="156" t="s">
        <v>230</v>
      </c>
      <c r="D5" s="157">
        <v>25729</v>
      </c>
      <c r="E5" s="158">
        <v>333.17</v>
      </c>
      <c r="F5" s="132">
        <f>453.91*10^5/10^7</f>
        <v>4.5391000000000004</v>
      </c>
      <c r="G5" s="132">
        <f>0.16+0.83*20%+0.37*80%+3.18</f>
        <v>3.802</v>
      </c>
      <c r="H5" s="214">
        <f>G5</f>
        <v>3.802</v>
      </c>
      <c r="I5" s="214">
        <f>F5*M5</f>
        <v>1.3617300000000001</v>
      </c>
      <c r="J5" s="255" t="s">
        <v>510</v>
      </c>
      <c r="K5" s="160"/>
      <c r="L5" s="160">
        <v>0.5</v>
      </c>
      <c r="M5" s="160">
        <v>0.3</v>
      </c>
      <c r="O5" s="152">
        <f>3.18+0.16+0.37</f>
        <v>3.7100000000000004</v>
      </c>
    </row>
    <row r="6" spans="1:15" ht="121.5" customHeight="1">
      <c r="A6" s="155">
        <v>2</v>
      </c>
      <c r="B6" s="34" t="s">
        <v>64</v>
      </c>
      <c r="C6" s="156" t="s">
        <v>231</v>
      </c>
      <c r="D6" s="157">
        <v>2075</v>
      </c>
      <c r="E6" s="161">
        <v>820</v>
      </c>
      <c r="F6" s="132">
        <f>445.77*10^5/10^7</f>
        <v>4.4577</v>
      </c>
      <c r="G6" s="132">
        <f>F6*K6</f>
        <v>4.0119300000000004</v>
      </c>
      <c r="H6" s="214">
        <f>F6*L6</f>
        <v>4.0119300000000004</v>
      </c>
      <c r="I6" s="214">
        <f>F6*M6</f>
        <v>0.89154</v>
      </c>
      <c r="J6" s="255" t="s">
        <v>511</v>
      </c>
      <c r="K6" s="166">
        <v>0.9</v>
      </c>
      <c r="L6" s="160">
        <v>0.9</v>
      </c>
      <c r="M6" s="160">
        <v>0.2</v>
      </c>
    </row>
    <row r="7" spans="1:15" ht="56.25" customHeight="1">
      <c r="A7" s="155">
        <v>3</v>
      </c>
      <c r="B7" s="246" t="s">
        <v>284</v>
      </c>
      <c r="C7" s="162" t="s">
        <v>233</v>
      </c>
      <c r="D7" s="163">
        <v>381748.29</v>
      </c>
      <c r="E7" s="163">
        <v>36.29</v>
      </c>
      <c r="F7" s="132">
        <f>909.25*10^5/10^7 + 934.61*10^5/10^7</f>
        <v>18.438600000000001</v>
      </c>
      <c r="G7" s="132">
        <f>F7*K7</f>
        <v>16.594740000000002</v>
      </c>
      <c r="H7" s="132">
        <f>F7*L7</f>
        <v>16.594740000000002</v>
      </c>
      <c r="I7" s="4">
        <v>3.0349309</v>
      </c>
      <c r="J7" s="255" t="s">
        <v>512</v>
      </c>
      <c r="K7" s="166">
        <v>0.9</v>
      </c>
      <c r="L7" s="166">
        <v>0.9</v>
      </c>
      <c r="M7" s="166"/>
    </row>
    <row r="8" spans="1:15" ht="61.5" customHeight="1">
      <c r="A8" s="155">
        <v>4</v>
      </c>
      <c r="B8" s="134" t="s">
        <v>65</v>
      </c>
      <c r="C8" s="162"/>
      <c r="D8" s="157"/>
      <c r="E8" s="163"/>
      <c r="F8" s="132">
        <f>989.71*10^5/10^7</f>
        <v>9.8971</v>
      </c>
      <c r="G8" s="132">
        <f>F8*K8</f>
        <v>7.9176800000000007</v>
      </c>
      <c r="H8" s="132">
        <f>F8*L8</f>
        <v>7.9176800000000007</v>
      </c>
      <c r="I8" s="214">
        <f>F8*M8</f>
        <v>4.94855</v>
      </c>
      <c r="J8" s="255" t="s">
        <v>513</v>
      </c>
      <c r="K8" s="166">
        <v>0.8</v>
      </c>
      <c r="L8" s="166">
        <v>0.8</v>
      </c>
      <c r="M8" s="166">
        <v>0.5</v>
      </c>
    </row>
    <row r="9" spans="1:15" ht="61.5" hidden="1" customHeight="1">
      <c r="A9" s="155">
        <v>5</v>
      </c>
      <c r="B9" s="246" t="s">
        <v>66</v>
      </c>
      <c r="C9" s="162"/>
      <c r="D9" s="157"/>
      <c r="E9" s="163"/>
      <c r="F9" s="132">
        <v>0</v>
      </c>
      <c r="G9" s="132">
        <v>0</v>
      </c>
      <c r="H9" s="132">
        <v>0</v>
      </c>
      <c r="I9" s="132">
        <v>0</v>
      </c>
      <c r="J9" s="255"/>
    </row>
    <row r="10" spans="1:15" ht="61.5" customHeight="1">
      <c r="A10" s="155">
        <v>5</v>
      </c>
      <c r="B10" s="134" t="s">
        <v>67</v>
      </c>
      <c r="C10" s="162"/>
      <c r="D10" s="157"/>
      <c r="E10" s="163"/>
      <c r="F10" s="132">
        <f>177.66*10^5/10^7</f>
        <v>1.7766</v>
      </c>
      <c r="G10" s="132">
        <f>F10*K10</f>
        <v>1.7766</v>
      </c>
      <c r="H10" s="214">
        <f>F10*L10</f>
        <v>1.59894</v>
      </c>
      <c r="I10" s="214">
        <f>F10*M10</f>
        <v>0.17766000000000001</v>
      </c>
      <c r="J10" s="255" t="s">
        <v>514</v>
      </c>
      <c r="K10" s="166">
        <v>1</v>
      </c>
      <c r="L10" s="166">
        <v>0.9</v>
      </c>
      <c r="M10" s="166">
        <v>0.1</v>
      </c>
    </row>
    <row r="11" spans="1:15" ht="61.5" customHeight="1">
      <c r="A11" s="155">
        <v>6</v>
      </c>
      <c r="B11" s="134" t="s">
        <v>68</v>
      </c>
      <c r="C11" s="162"/>
      <c r="D11" s="157"/>
      <c r="E11" s="163"/>
      <c r="F11" s="132">
        <f>726.64*10^5/10^7</f>
        <v>7.2664</v>
      </c>
      <c r="G11" s="132">
        <f>F11*K11</f>
        <v>7.2664</v>
      </c>
      <c r="H11" s="214">
        <f>F11*L11</f>
        <v>7.2664</v>
      </c>
      <c r="I11" s="214">
        <f>F11*M11</f>
        <v>7.2664</v>
      </c>
      <c r="J11" s="255" t="s">
        <v>515</v>
      </c>
      <c r="K11" s="166">
        <v>1</v>
      </c>
      <c r="L11" s="166">
        <v>1</v>
      </c>
      <c r="M11" s="166">
        <v>1</v>
      </c>
    </row>
    <row r="12" spans="1:15" ht="57.75" customHeight="1">
      <c r="A12" s="155">
        <v>7</v>
      </c>
      <c r="B12" s="134" t="s">
        <v>69</v>
      </c>
      <c r="C12" s="164" t="s">
        <v>234</v>
      </c>
      <c r="D12" s="165" t="s">
        <v>140</v>
      </c>
      <c r="E12" s="165" t="s">
        <v>140</v>
      </c>
      <c r="F12" s="132">
        <f>2.67*10^5/10^7</f>
        <v>2.6700000000000002E-2</v>
      </c>
      <c r="G12" s="132">
        <f>F12*K12</f>
        <v>2.6700000000000002E-2</v>
      </c>
      <c r="H12" s="214">
        <f>F12*L12</f>
        <v>2.6700000000000002E-2</v>
      </c>
      <c r="I12" s="214">
        <f>F12*M12</f>
        <v>2.6700000000000002E-2</v>
      </c>
      <c r="J12" s="255" t="s">
        <v>515</v>
      </c>
      <c r="K12" s="166">
        <v>1</v>
      </c>
      <c r="L12" s="166">
        <v>1</v>
      </c>
      <c r="M12" s="166">
        <v>1</v>
      </c>
    </row>
    <row r="13" spans="1:15" ht="20.25" customHeight="1" thickBot="1">
      <c r="A13" s="167"/>
      <c r="B13" s="168"/>
      <c r="C13" s="169" t="s">
        <v>19</v>
      </c>
      <c r="D13" s="170">
        <f>SUM(D5:D12)</f>
        <v>409552.29</v>
      </c>
      <c r="E13" s="171"/>
      <c r="F13" s="172">
        <f>SUM(F5:F12)</f>
        <v>46.402200000000001</v>
      </c>
      <c r="G13" s="269">
        <f>SUM(G5:G12)</f>
        <v>41.396050000000002</v>
      </c>
      <c r="H13" s="269">
        <f>SUM(H5:H12)</f>
        <v>41.218389999999999</v>
      </c>
      <c r="I13" s="269">
        <f>SUM(I5:I12)</f>
        <v>17.707510900000003</v>
      </c>
      <c r="J13" s="173"/>
    </row>
    <row r="14" spans="1:15">
      <c r="A14" s="174"/>
      <c r="B14" s="175"/>
      <c r="C14" s="175"/>
      <c r="D14" s="174"/>
      <c r="E14" s="174"/>
      <c r="F14" s="174"/>
    </row>
    <row r="15" spans="1:15">
      <c r="A15" s="891" t="s">
        <v>235</v>
      </c>
      <c r="B15" s="891"/>
      <c r="C15" s="891"/>
      <c r="D15" s="891"/>
      <c r="E15" s="891"/>
      <c r="F15" s="891"/>
      <c r="G15" s="891"/>
      <c r="H15" s="891"/>
      <c r="I15" s="891"/>
      <c r="J15" s="891"/>
    </row>
    <row r="16" spans="1:15">
      <c r="A16" s="892" t="s">
        <v>318</v>
      </c>
      <c r="B16" s="892"/>
      <c r="C16" s="892"/>
      <c r="D16" s="892"/>
      <c r="E16" s="892"/>
      <c r="F16" s="892"/>
      <c r="G16" s="892"/>
      <c r="H16" s="892"/>
      <c r="I16" s="892"/>
      <c r="J16" s="892"/>
    </row>
    <row r="17" spans="1:10">
      <c r="A17" s="892"/>
      <c r="B17" s="892"/>
      <c r="C17" s="892"/>
      <c r="D17" s="892"/>
      <c r="E17" s="892"/>
      <c r="F17" s="892"/>
      <c r="G17" s="892"/>
      <c r="H17" s="892"/>
      <c r="I17" s="892"/>
      <c r="J17" s="892"/>
    </row>
    <row r="18" spans="1:10">
      <c r="A18" s="892"/>
      <c r="B18" s="892"/>
      <c r="C18" s="892"/>
      <c r="D18" s="892"/>
      <c r="E18" s="892"/>
      <c r="F18" s="892"/>
      <c r="G18" s="892"/>
      <c r="H18" s="892"/>
      <c r="I18" s="892"/>
      <c r="J18" s="892"/>
    </row>
    <row r="19" spans="1:10">
      <c r="A19" s="892"/>
      <c r="B19" s="892"/>
      <c r="C19" s="892"/>
      <c r="D19" s="892"/>
      <c r="E19" s="892"/>
      <c r="F19" s="892"/>
      <c r="G19" s="892"/>
      <c r="H19" s="892"/>
      <c r="I19" s="892"/>
      <c r="J19" s="892"/>
    </row>
    <row r="20" spans="1:10">
      <c r="A20" s="892"/>
      <c r="B20" s="892"/>
      <c r="C20" s="892"/>
      <c r="D20" s="892"/>
      <c r="E20" s="892"/>
      <c r="F20" s="892"/>
      <c r="G20" s="892"/>
      <c r="H20" s="892"/>
      <c r="I20" s="892"/>
      <c r="J20" s="892"/>
    </row>
    <row r="21" spans="1:10">
      <c r="A21" s="176"/>
      <c r="B21" s="177"/>
      <c r="C21" s="177"/>
      <c r="D21" s="177"/>
      <c r="E21" s="177"/>
      <c r="F21" s="177"/>
      <c r="G21" s="177"/>
      <c r="H21" s="177"/>
      <c r="I21" s="178"/>
      <c r="J21" s="177"/>
    </row>
    <row r="22" spans="1:10">
      <c r="A22" s="176"/>
      <c r="B22" s="177"/>
      <c r="C22" s="177"/>
      <c r="D22" s="177"/>
      <c r="E22" s="177"/>
      <c r="F22" s="177"/>
      <c r="G22" s="177"/>
      <c r="H22" s="177"/>
      <c r="I22" s="178"/>
      <c r="J22" s="177"/>
    </row>
    <row r="23" spans="1:10">
      <c r="A23" s="176"/>
      <c r="B23" s="177"/>
      <c r="C23" s="177"/>
      <c r="D23" s="177"/>
      <c r="E23" s="177"/>
      <c r="F23" s="177"/>
      <c r="G23" s="177"/>
      <c r="H23" s="177"/>
      <c r="I23" s="178"/>
      <c r="J23" s="177"/>
    </row>
    <row r="24" spans="1:10">
      <c r="A24" s="176"/>
      <c r="B24" s="177"/>
      <c r="C24" s="177"/>
      <c r="D24" s="177"/>
      <c r="E24" s="177"/>
      <c r="F24" s="177"/>
      <c r="G24" s="177"/>
      <c r="H24" s="177"/>
      <c r="I24" s="178"/>
      <c r="J24" s="177"/>
    </row>
    <row r="25" spans="1:10">
      <c r="A25" s="179"/>
      <c r="B25" s="180"/>
      <c r="C25" s="180"/>
      <c r="D25" s="180"/>
      <c r="E25" s="180"/>
      <c r="F25" s="180"/>
    </row>
    <row r="26" spans="1:10">
      <c r="A26" s="180"/>
      <c r="B26" s="180"/>
      <c r="C26" s="180"/>
      <c r="D26" s="180"/>
      <c r="E26" s="180"/>
      <c r="F26" s="180"/>
    </row>
    <row r="27" spans="1:10">
      <c r="A27" s="180"/>
      <c r="B27" s="180"/>
      <c r="C27" s="180"/>
      <c r="D27" s="180"/>
      <c r="E27" s="180"/>
      <c r="F27" s="180"/>
    </row>
  </sheetData>
  <mergeCells count="5">
    <mergeCell ref="A15:J15"/>
    <mergeCell ref="A16:J20"/>
    <mergeCell ref="A1:J1"/>
    <mergeCell ref="A2:J2"/>
    <mergeCell ref="A4:J4"/>
  </mergeCells>
  <dataValidations disablePrompts="1" count="1">
    <dataValidation type="list" allowBlank="1" showInputMessage="1" showErrorMessage="1" sqref="A15 B13:B14" xr:uid="{00000000-0002-0000-1300-000000000000}">
      <formula1>"Raw Material, WIP, Finished Goods, Consumables, Stores &amp; Spares, Trading Goods"</formula1>
    </dataValidation>
  </dataValidation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45"/>
  <sheetViews>
    <sheetView topLeftCell="B1" workbookViewId="0">
      <pane ySplit="3" topLeftCell="A4" activePane="bottomLeft" state="frozen"/>
      <selection pane="bottomLeft" activeCell="E9" sqref="E9"/>
    </sheetView>
  </sheetViews>
  <sheetFormatPr defaultColWidth="8.88671875" defaultRowHeight="11.4"/>
  <cols>
    <col min="1" max="1" width="7.88671875" style="194" customWidth="1"/>
    <col min="2" max="2" width="40.6640625" style="193" customWidth="1"/>
    <col min="3" max="3" width="21.109375" style="194" bestFit="1" customWidth="1"/>
    <col min="4" max="4" width="9.109375" style="194" hidden="1" customWidth="1"/>
    <col min="5" max="6" width="21.5546875" style="194" customWidth="1"/>
    <col min="7" max="7" width="24.6640625" style="194" customWidth="1"/>
    <col min="8" max="8" width="43.6640625" style="174" customWidth="1"/>
    <col min="9" max="9" width="10" style="174" bestFit="1" customWidth="1"/>
    <col min="10" max="16384" width="8.88671875" style="174"/>
  </cols>
  <sheetData>
    <row r="1" spans="1:11" ht="12">
      <c r="A1" s="863" t="s">
        <v>321</v>
      </c>
      <c r="B1" s="863"/>
      <c r="C1" s="863"/>
      <c r="D1" s="863"/>
      <c r="E1" s="863"/>
      <c r="F1" s="863"/>
      <c r="G1" s="863"/>
      <c r="H1" s="863"/>
    </row>
    <row r="2" spans="1:11" ht="16.95" customHeight="1" thickBot="1">
      <c r="A2" s="864" t="s">
        <v>294</v>
      </c>
      <c r="B2" s="864"/>
      <c r="C2" s="864"/>
      <c r="D2" s="864"/>
      <c r="E2" s="864"/>
      <c r="F2" s="864"/>
      <c r="G2" s="864"/>
      <c r="H2" s="864"/>
      <c r="I2" s="181"/>
      <c r="J2" s="181"/>
      <c r="K2" s="181"/>
    </row>
    <row r="3" spans="1:11" ht="24.6" thickBot="1">
      <c r="A3" s="153" t="s">
        <v>222</v>
      </c>
      <c r="B3" s="153" t="s">
        <v>239</v>
      </c>
      <c r="C3" s="153" t="s">
        <v>236</v>
      </c>
      <c r="D3" s="153" t="s">
        <v>237</v>
      </c>
      <c r="E3" s="183" t="s">
        <v>228</v>
      </c>
      <c r="F3" s="154" t="s">
        <v>292</v>
      </c>
      <c r="G3" s="154" t="s">
        <v>291</v>
      </c>
      <c r="H3" s="153" t="s">
        <v>229</v>
      </c>
    </row>
    <row r="4" spans="1:11" ht="14.4" customHeight="1">
      <c r="A4" s="865" t="s">
        <v>281</v>
      </c>
      <c r="B4" s="866"/>
      <c r="C4" s="866"/>
      <c r="D4" s="866"/>
      <c r="E4" s="866"/>
      <c r="F4" s="866"/>
      <c r="G4" s="866"/>
      <c r="H4" s="867"/>
    </row>
    <row r="5" spans="1:11" ht="18.600000000000001" customHeight="1">
      <c r="A5" s="185">
        <v>1</v>
      </c>
      <c r="B5" s="156" t="s">
        <v>70</v>
      </c>
      <c r="C5" s="132">
        <f>45910.15*10^5/10^7</f>
        <v>459.10149999999999</v>
      </c>
      <c r="D5" s="186" t="s">
        <v>238</v>
      </c>
      <c r="E5" s="148">
        <f>45910.15*10^5/10^7-442.79-0.56</f>
        <v>15.751499999999966</v>
      </c>
      <c r="F5" s="187">
        <f>E5*J5</f>
        <v>7.8757499999999832</v>
      </c>
      <c r="G5" s="187">
        <f>E5*K5</f>
        <v>3.1502999999999934</v>
      </c>
      <c r="H5" s="259" t="s">
        <v>525</v>
      </c>
      <c r="I5" s="360"/>
      <c r="J5" s="184">
        <v>0.5</v>
      </c>
      <c r="K5" s="184">
        <v>0.2</v>
      </c>
    </row>
    <row r="6" spans="1:11" ht="18.600000000000001" customHeight="1">
      <c r="A6" s="185">
        <v>2</v>
      </c>
      <c r="B6" s="156" t="s">
        <v>71</v>
      </c>
      <c r="C6" s="132">
        <f>4181.27*10^5/10^7</f>
        <v>41.812700000000007</v>
      </c>
      <c r="D6" s="186" t="s">
        <v>238</v>
      </c>
      <c r="E6" s="148">
        <f>3.18+0.43*90%+9.88*80%+15.33*50%+12.36*20%</f>
        <v>21.608000000000001</v>
      </c>
      <c r="F6" s="148">
        <f>E6*J6</f>
        <v>6.4824000000000002</v>
      </c>
      <c r="G6" s="187">
        <f>E6*K6</f>
        <v>2.1608000000000001</v>
      </c>
      <c r="H6" s="259" t="s">
        <v>533</v>
      </c>
      <c r="I6" s="360"/>
      <c r="J6" s="184">
        <v>0.3</v>
      </c>
      <c r="K6" s="184">
        <v>0.1</v>
      </c>
    </row>
    <row r="7" spans="1:11" ht="18" customHeight="1">
      <c r="A7" s="185">
        <v>3</v>
      </c>
      <c r="B7" s="156" t="s">
        <v>72</v>
      </c>
      <c r="C7" s="132">
        <f>6276.63*10^5/10^7</f>
        <v>62.766300000000001</v>
      </c>
      <c r="D7" s="186" t="s">
        <v>238</v>
      </c>
      <c r="E7" s="148">
        <f>C7*I7</f>
        <v>25.106520000000003</v>
      </c>
      <c r="F7" s="148">
        <f>C7*J7</f>
        <v>12.553260000000002</v>
      </c>
      <c r="G7" s="148">
        <f>C7*K7</f>
        <v>6.2766300000000008</v>
      </c>
      <c r="H7" s="259" t="s">
        <v>530</v>
      </c>
      <c r="I7" s="361">
        <v>0.4</v>
      </c>
      <c r="J7" s="184">
        <v>0.2</v>
      </c>
      <c r="K7" s="184">
        <v>0.1</v>
      </c>
    </row>
    <row r="8" spans="1:11" ht="18.600000000000001" hidden="1" customHeight="1">
      <c r="A8" s="185">
        <v>4</v>
      </c>
      <c r="B8" s="156" t="s">
        <v>73</v>
      </c>
      <c r="C8" s="132">
        <v>0</v>
      </c>
      <c r="D8" s="186"/>
      <c r="E8" s="132">
        <v>0</v>
      </c>
      <c r="F8" s="148">
        <v>0</v>
      </c>
      <c r="G8" s="148">
        <v>0</v>
      </c>
      <c r="H8" s="259"/>
    </row>
    <row r="9" spans="1:11" ht="18.600000000000001" customHeight="1">
      <c r="A9" s="185"/>
      <c r="B9" s="156"/>
      <c r="C9" s="248">
        <f>SUM(C5:C8)</f>
        <v>563.68049999999994</v>
      </c>
      <c r="D9" s="186"/>
      <c r="E9" s="248">
        <f>SUM(E5:E8)</f>
        <v>62.466019999999972</v>
      </c>
      <c r="F9" s="248">
        <f t="shared" ref="F9:G9" si="0">SUM(F5:F8)</f>
        <v>26.911409999999986</v>
      </c>
      <c r="G9" s="248">
        <f t="shared" si="0"/>
        <v>11.587729999999993</v>
      </c>
      <c r="H9" s="248"/>
    </row>
    <row r="10" spans="1:11" ht="18.600000000000001" customHeight="1">
      <c r="A10" s="185">
        <v>4</v>
      </c>
      <c r="B10" s="156" t="s">
        <v>74</v>
      </c>
      <c r="C10" s="148">
        <f>7874.83*10^5/10^7</f>
        <v>78.7483</v>
      </c>
      <c r="D10" s="186" t="s">
        <v>238</v>
      </c>
      <c r="E10" s="148">
        <v>0</v>
      </c>
      <c r="F10" s="148">
        <v>0</v>
      </c>
      <c r="G10" s="148">
        <v>0</v>
      </c>
      <c r="H10" s="259" t="s">
        <v>508</v>
      </c>
    </row>
    <row r="11" spans="1:11" ht="12.6" thickBot="1">
      <c r="A11" s="257"/>
      <c r="B11" s="307" t="s">
        <v>19</v>
      </c>
      <c r="C11" s="188">
        <f>C9-C10</f>
        <v>484.93219999999997</v>
      </c>
      <c r="D11" s="188"/>
      <c r="E11" s="188">
        <f>E9-E10</f>
        <v>62.466019999999972</v>
      </c>
      <c r="F11" s="188">
        <f>F9-F10</f>
        <v>26.911409999999986</v>
      </c>
      <c r="G11" s="188">
        <f>G9-G10</f>
        <v>11.587729999999993</v>
      </c>
      <c r="H11" s="258"/>
    </row>
    <row r="12" spans="1:11">
      <c r="A12" s="189"/>
      <c r="B12" s="190"/>
      <c r="C12" s="191"/>
      <c r="D12" s="191"/>
      <c r="E12" s="192"/>
      <c r="F12" s="192"/>
      <c r="G12" s="192"/>
    </row>
    <row r="13" spans="1:11">
      <c r="A13" s="868" t="s">
        <v>235</v>
      </c>
      <c r="B13" s="869"/>
      <c r="C13" s="869"/>
      <c r="D13" s="869"/>
      <c r="E13" s="869"/>
      <c r="F13" s="869"/>
      <c r="G13" s="869"/>
      <c r="H13" s="870"/>
    </row>
    <row r="14" spans="1:11" ht="18" customHeight="1">
      <c r="A14" s="871" t="s">
        <v>326</v>
      </c>
      <c r="B14" s="872"/>
      <c r="C14" s="872"/>
      <c r="D14" s="872"/>
      <c r="E14" s="872"/>
      <c r="F14" s="872"/>
      <c r="G14" s="872"/>
      <c r="H14" s="873"/>
    </row>
    <row r="15" spans="1:11">
      <c r="A15" s="874"/>
      <c r="B15" s="875"/>
      <c r="C15" s="875"/>
      <c r="D15" s="875"/>
      <c r="E15" s="875"/>
      <c r="F15" s="875"/>
      <c r="G15" s="875"/>
      <c r="H15" s="876"/>
    </row>
    <row r="16" spans="1:11">
      <c r="A16" s="874"/>
      <c r="B16" s="875"/>
      <c r="C16" s="875"/>
      <c r="D16" s="875"/>
      <c r="E16" s="875"/>
      <c r="F16" s="875"/>
      <c r="G16" s="875"/>
      <c r="H16" s="876"/>
    </row>
    <row r="17" spans="1:8">
      <c r="A17" s="874"/>
      <c r="B17" s="875"/>
      <c r="C17" s="875"/>
      <c r="D17" s="875"/>
      <c r="E17" s="875"/>
      <c r="F17" s="875"/>
      <c r="G17" s="875"/>
      <c r="H17" s="876"/>
    </row>
    <row r="18" spans="1:8">
      <c r="A18" s="874"/>
      <c r="B18" s="875"/>
      <c r="C18" s="875"/>
      <c r="D18" s="875"/>
      <c r="E18" s="875"/>
      <c r="F18" s="875"/>
      <c r="G18" s="875"/>
      <c r="H18" s="876"/>
    </row>
    <row r="19" spans="1:8">
      <c r="A19" s="874"/>
      <c r="B19" s="875"/>
      <c r="C19" s="875"/>
      <c r="D19" s="875"/>
      <c r="E19" s="875"/>
      <c r="F19" s="875"/>
      <c r="G19" s="875"/>
      <c r="H19" s="876"/>
    </row>
    <row r="20" spans="1:8">
      <c r="A20" s="874"/>
      <c r="B20" s="875"/>
      <c r="C20" s="875"/>
      <c r="D20" s="875"/>
      <c r="E20" s="875"/>
      <c r="F20" s="875"/>
      <c r="G20" s="875"/>
      <c r="H20" s="876"/>
    </row>
    <row r="21" spans="1:8">
      <c r="A21" s="874"/>
      <c r="B21" s="875"/>
      <c r="C21" s="875"/>
      <c r="D21" s="875"/>
      <c r="E21" s="875"/>
      <c r="F21" s="875"/>
      <c r="G21" s="875"/>
      <c r="H21" s="876"/>
    </row>
    <row r="22" spans="1:8">
      <c r="A22" s="874"/>
      <c r="B22" s="875"/>
      <c r="C22" s="875"/>
      <c r="D22" s="875"/>
      <c r="E22" s="875"/>
      <c r="F22" s="875"/>
      <c r="G22" s="875"/>
      <c r="H22" s="876"/>
    </row>
    <row r="23" spans="1:8">
      <c r="A23" s="874"/>
      <c r="B23" s="875"/>
      <c r="C23" s="875"/>
      <c r="D23" s="875"/>
      <c r="E23" s="875"/>
      <c r="F23" s="875"/>
      <c r="G23" s="875"/>
      <c r="H23" s="876"/>
    </row>
    <row r="24" spans="1:8">
      <c r="A24" s="877"/>
      <c r="B24" s="878"/>
      <c r="C24" s="878"/>
      <c r="D24" s="878"/>
      <c r="E24" s="878"/>
      <c r="F24" s="878"/>
      <c r="G24" s="878"/>
      <c r="H24" s="879"/>
    </row>
    <row r="25" spans="1:8">
      <c r="A25" s="174"/>
      <c r="B25" s="190"/>
      <c r="C25" s="174"/>
      <c r="D25" s="174"/>
      <c r="E25" s="174"/>
      <c r="F25" s="174"/>
      <c r="G25" s="174"/>
    </row>
    <row r="26" spans="1:8" ht="12">
      <c r="A26" s="863" t="s">
        <v>327</v>
      </c>
      <c r="B26" s="863"/>
      <c r="C26" s="863"/>
      <c r="D26" s="863"/>
      <c r="E26" s="863"/>
      <c r="F26" s="863"/>
      <c r="G26" s="863"/>
      <c r="H26" s="863"/>
    </row>
    <row r="27" spans="1:8">
      <c r="A27" s="864" t="s">
        <v>294</v>
      </c>
      <c r="B27" s="864"/>
      <c r="C27" s="864"/>
      <c r="D27" s="864"/>
      <c r="E27" s="864"/>
      <c r="F27" s="864"/>
      <c r="G27" s="864"/>
      <c r="H27" s="864"/>
    </row>
    <row r="28" spans="1:8" ht="14.4" customHeight="1">
      <c r="A28" s="865" t="s">
        <v>281</v>
      </c>
      <c r="B28" s="866"/>
      <c r="C28" s="866"/>
      <c r="D28" s="866"/>
      <c r="E28" s="866"/>
      <c r="F28" s="866"/>
      <c r="G28" s="866"/>
      <c r="H28" s="867"/>
    </row>
    <row r="29" spans="1:8" ht="24">
      <c r="A29" s="153" t="s">
        <v>285</v>
      </c>
      <c r="B29" s="153" t="s">
        <v>167</v>
      </c>
      <c r="C29" s="153" t="s">
        <v>286</v>
      </c>
      <c r="D29" s="153" t="s">
        <v>287</v>
      </c>
      <c r="E29" s="153" t="s">
        <v>288</v>
      </c>
      <c r="F29" s="153" t="s">
        <v>289</v>
      </c>
      <c r="G29" s="153" t="s">
        <v>290</v>
      </c>
      <c r="H29" s="153" t="s">
        <v>19</v>
      </c>
    </row>
    <row r="30" spans="1:8" ht="14.4" thickBot="1">
      <c r="A30" s="185">
        <v>1</v>
      </c>
      <c r="B30" s="156" t="s">
        <v>315</v>
      </c>
      <c r="C30" s="308">
        <v>442.79</v>
      </c>
      <c r="D30" s="308"/>
      <c r="E30" s="308"/>
      <c r="F30" s="308"/>
      <c r="G30" s="308"/>
      <c r="H30" s="308">
        <v>442.79</v>
      </c>
    </row>
    <row r="31" spans="1:8" ht="12.6" thickBot="1">
      <c r="A31" s="185">
        <v>2</v>
      </c>
      <c r="B31" s="156" t="s">
        <v>63</v>
      </c>
      <c r="C31" s="308">
        <v>3.81</v>
      </c>
      <c r="D31" s="308">
        <v>0.43</v>
      </c>
      <c r="E31" s="308">
        <v>9.8800000000000008</v>
      </c>
      <c r="F31" s="308">
        <v>15.33</v>
      </c>
      <c r="G31" s="308">
        <v>12.36</v>
      </c>
      <c r="H31" s="308">
        <f>SUM(C31:G31)</f>
        <v>41.81</v>
      </c>
    </row>
    <row r="32" spans="1:8" ht="12">
      <c r="A32" s="153"/>
      <c r="B32" s="153" t="s">
        <v>19</v>
      </c>
      <c r="C32" s="153">
        <v>446.6</v>
      </c>
      <c r="D32" s="153">
        <v>0.43</v>
      </c>
      <c r="E32" s="153">
        <v>9.8800000000000008</v>
      </c>
      <c r="F32" s="153">
        <v>15.33</v>
      </c>
      <c r="G32" s="153">
        <v>12.71</v>
      </c>
      <c r="H32" s="153">
        <v>484.93</v>
      </c>
    </row>
    <row r="34" spans="1:8">
      <c r="A34" s="868" t="s">
        <v>235</v>
      </c>
      <c r="B34" s="869"/>
      <c r="C34" s="869"/>
      <c r="D34" s="869"/>
      <c r="E34" s="869"/>
      <c r="F34" s="869"/>
      <c r="G34" s="869"/>
      <c r="H34" s="870"/>
    </row>
    <row r="35" spans="1:8">
      <c r="A35" s="871" t="s">
        <v>326</v>
      </c>
      <c r="B35" s="872"/>
      <c r="C35" s="872"/>
      <c r="D35" s="872"/>
      <c r="E35" s="872"/>
      <c r="F35" s="872"/>
      <c r="G35" s="872"/>
      <c r="H35" s="873"/>
    </row>
    <row r="36" spans="1:8">
      <c r="A36" s="874"/>
      <c r="B36" s="875"/>
      <c r="C36" s="875"/>
      <c r="D36" s="875"/>
      <c r="E36" s="875"/>
      <c r="F36" s="875"/>
      <c r="G36" s="875"/>
      <c r="H36" s="876"/>
    </row>
    <row r="37" spans="1:8">
      <c r="A37" s="874"/>
      <c r="B37" s="875"/>
      <c r="C37" s="875"/>
      <c r="D37" s="875"/>
      <c r="E37" s="875"/>
      <c r="F37" s="875"/>
      <c r="G37" s="875"/>
      <c r="H37" s="876"/>
    </row>
    <row r="38" spans="1:8">
      <c r="A38" s="874"/>
      <c r="B38" s="875"/>
      <c r="C38" s="875"/>
      <c r="D38" s="875"/>
      <c r="E38" s="875"/>
      <c r="F38" s="875"/>
      <c r="G38" s="875"/>
      <c r="H38" s="876"/>
    </row>
    <row r="39" spans="1:8">
      <c r="A39" s="874"/>
      <c r="B39" s="875"/>
      <c r="C39" s="875"/>
      <c r="D39" s="875"/>
      <c r="E39" s="875"/>
      <c r="F39" s="875"/>
      <c r="G39" s="875"/>
      <c r="H39" s="876"/>
    </row>
    <row r="40" spans="1:8">
      <c r="A40" s="874"/>
      <c r="B40" s="875"/>
      <c r="C40" s="875"/>
      <c r="D40" s="875"/>
      <c r="E40" s="875"/>
      <c r="F40" s="875"/>
      <c r="G40" s="875"/>
      <c r="H40" s="876"/>
    </row>
    <row r="41" spans="1:8">
      <c r="A41" s="874"/>
      <c r="B41" s="875"/>
      <c r="C41" s="875"/>
      <c r="D41" s="875"/>
      <c r="E41" s="875"/>
      <c r="F41" s="875"/>
      <c r="G41" s="875"/>
      <c r="H41" s="876"/>
    </row>
    <row r="42" spans="1:8">
      <c r="A42" s="874"/>
      <c r="B42" s="875"/>
      <c r="C42" s="875"/>
      <c r="D42" s="875"/>
      <c r="E42" s="875"/>
      <c r="F42" s="875"/>
      <c r="G42" s="875"/>
      <c r="H42" s="876"/>
    </row>
    <row r="43" spans="1:8">
      <c r="A43" s="874"/>
      <c r="B43" s="875"/>
      <c r="C43" s="875"/>
      <c r="D43" s="875"/>
      <c r="E43" s="875"/>
      <c r="F43" s="875"/>
      <c r="G43" s="875"/>
      <c r="H43" s="876"/>
    </row>
    <row r="44" spans="1:8">
      <c r="A44" s="874"/>
      <c r="B44" s="875"/>
      <c r="C44" s="875"/>
      <c r="D44" s="875"/>
      <c r="E44" s="875"/>
      <c r="F44" s="875"/>
      <c r="G44" s="875"/>
      <c r="H44" s="876"/>
    </row>
    <row r="45" spans="1:8">
      <c r="A45" s="877"/>
      <c r="B45" s="878"/>
      <c r="C45" s="878"/>
      <c r="D45" s="878"/>
      <c r="E45" s="878"/>
      <c r="F45" s="878"/>
      <c r="G45" s="878"/>
      <c r="H45" s="879"/>
    </row>
  </sheetData>
  <mergeCells count="10">
    <mergeCell ref="A1:H1"/>
    <mergeCell ref="A2:H2"/>
    <mergeCell ref="A13:H13"/>
    <mergeCell ref="A14:H24"/>
    <mergeCell ref="A4:H4"/>
    <mergeCell ref="A26:H26"/>
    <mergeCell ref="A27:H27"/>
    <mergeCell ref="A28:H28"/>
    <mergeCell ref="A34:H34"/>
    <mergeCell ref="A35:H45"/>
  </mergeCells>
  <dataValidations count="1">
    <dataValidation type="list" allowBlank="1" showInputMessage="1" showErrorMessage="1" sqref="E12:G12" xr:uid="{00000000-0002-0000-1400-000000000000}">
      <formula1>"Very good, Very less, Full payment realization not possible but partial payment can be realised if follow up is done properly, Not possible, Defunct"</formula1>
    </dataValidation>
  </dataValidations>
  <pageMargins left="0.3" right="0.7" top="0.75" bottom="0.75" header="0.3" footer="0.3"/>
  <pageSetup paperSize="9" scale="65"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30"/>
  <sheetViews>
    <sheetView workbookViewId="0">
      <pane ySplit="3" topLeftCell="A11" activePane="bottomLeft" state="frozen"/>
      <selection pane="bottomLeft" activeCell="A16" sqref="A16:G16"/>
    </sheetView>
  </sheetViews>
  <sheetFormatPr defaultColWidth="8.88671875" defaultRowHeight="11.4"/>
  <cols>
    <col min="1" max="1" width="5.6640625" style="152" bestFit="1" customWidth="1"/>
    <col min="2" max="2" width="46.6640625" style="152" bestFit="1" customWidth="1"/>
    <col min="3" max="3" width="20.33203125" style="152" customWidth="1"/>
    <col min="4" max="5" width="20.6640625" style="152" customWidth="1"/>
    <col min="6" max="6" width="24" style="152" customWidth="1"/>
    <col min="7" max="7" width="57.33203125" style="206" customWidth="1"/>
    <col min="8" max="9" width="9" style="152" bestFit="1" customWidth="1"/>
    <col min="10" max="16384" width="8.88671875" style="152"/>
  </cols>
  <sheetData>
    <row r="1" spans="1:10" ht="13.2">
      <c r="A1" s="900" t="s">
        <v>324</v>
      </c>
      <c r="B1" s="900"/>
      <c r="C1" s="900"/>
      <c r="D1" s="900"/>
      <c r="E1" s="900"/>
      <c r="F1" s="900"/>
      <c r="G1" s="900"/>
    </row>
    <row r="2" spans="1:10" ht="15" customHeight="1" thickBot="1">
      <c r="A2" s="883" t="s">
        <v>294</v>
      </c>
      <c r="B2" s="883"/>
      <c r="C2" s="883"/>
      <c r="D2" s="883"/>
      <c r="E2" s="883"/>
      <c r="F2" s="883"/>
      <c r="G2" s="883"/>
      <c r="H2" s="181"/>
    </row>
    <row r="3" spans="1:10" ht="27.75" customHeight="1" thickBot="1">
      <c r="A3" s="195" t="s">
        <v>222</v>
      </c>
      <c r="B3" s="195" t="s">
        <v>239</v>
      </c>
      <c r="C3" s="183" t="s">
        <v>240</v>
      </c>
      <c r="D3" s="183" t="s">
        <v>228</v>
      </c>
      <c r="E3" s="154" t="s">
        <v>292</v>
      </c>
      <c r="F3" s="154" t="s">
        <v>291</v>
      </c>
      <c r="G3" s="183" t="s">
        <v>229</v>
      </c>
    </row>
    <row r="4" spans="1:10" ht="21.6" customHeight="1">
      <c r="A4" s="901" t="s">
        <v>241</v>
      </c>
      <c r="B4" s="901"/>
      <c r="C4" s="901"/>
      <c r="D4" s="901"/>
      <c r="E4" s="901"/>
      <c r="F4" s="901"/>
      <c r="G4" s="901"/>
      <c r="H4" s="196"/>
    </row>
    <row r="5" spans="1:10" ht="21.6" customHeight="1">
      <c r="A5" s="265"/>
      <c r="B5" s="116" t="s">
        <v>322</v>
      </c>
      <c r="C5" s="265"/>
      <c r="D5" s="265"/>
      <c r="E5" s="265"/>
      <c r="F5" s="265"/>
      <c r="G5" s="265"/>
      <c r="H5" s="196"/>
    </row>
    <row r="6" spans="1:10" ht="21.6" customHeight="1">
      <c r="A6" s="265"/>
      <c r="B6" s="134" t="s">
        <v>75</v>
      </c>
      <c r="C6" s="265"/>
      <c r="D6" s="265"/>
      <c r="E6" s="265"/>
      <c r="F6" s="265"/>
      <c r="G6" s="265"/>
      <c r="H6" s="196"/>
    </row>
    <row r="7" spans="1:10" ht="21.6" hidden="1" customHeight="1">
      <c r="A7" s="265">
        <v>1</v>
      </c>
      <c r="B7" s="134" t="s">
        <v>76</v>
      </c>
      <c r="C7" s="132">
        <v>0</v>
      </c>
      <c r="D7" s="132">
        <v>0</v>
      </c>
      <c r="E7" s="132">
        <v>0</v>
      </c>
      <c r="F7" s="132">
        <v>0</v>
      </c>
      <c r="G7" s="265"/>
      <c r="H7" s="196"/>
    </row>
    <row r="8" spans="1:10" ht="93.6" customHeight="1">
      <c r="A8" s="353">
        <v>1</v>
      </c>
      <c r="B8" s="136" t="s">
        <v>77</v>
      </c>
      <c r="C8" s="309">
        <f>2096.94*10^5/10^7</f>
        <v>20.9694</v>
      </c>
      <c r="D8" s="309">
        <f>2096.94*10^5/10^7-18.75+3</f>
        <v>5.2194000000000003</v>
      </c>
      <c r="E8" s="132">
        <f>D8*I8</f>
        <v>5.2194000000000003</v>
      </c>
      <c r="F8" s="132">
        <f>D8*J8</f>
        <v>5.2194000000000003</v>
      </c>
      <c r="G8" s="311" t="s">
        <v>516</v>
      </c>
      <c r="H8" s="196"/>
      <c r="I8" s="200">
        <v>1</v>
      </c>
      <c r="J8" s="200">
        <v>1</v>
      </c>
    </row>
    <row r="9" spans="1:10" ht="21.6" hidden="1" customHeight="1">
      <c r="A9" s="353">
        <v>3</v>
      </c>
      <c r="B9" s="282" t="s">
        <v>78</v>
      </c>
      <c r="C9" s="132">
        <v>0</v>
      </c>
      <c r="D9" s="132">
        <v>0</v>
      </c>
      <c r="E9" s="132">
        <v>0</v>
      </c>
      <c r="F9" s="132">
        <v>0</v>
      </c>
      <c r="G9" s="265"/>
      <c r="H9" s="196"/>
    </row>
    <row r="10" spans="1:10" ht="45.6">
      <c r="A10" s="353">
        <v>2</v>
      </c>
      <c r="B10" s="136" t="s">
        <v>79</v>
      </c>
      <c r="C10" s="309">
        <f>14.57*10^5/10^7</f>
        <v>0.1457</v>
      </c>
      <c r="D10" s="309">
        <f>14.57*10^5/10^7</f>
        <v>0.1457</v>
      </c>
      <c r="E10" s="132">
        <f>D10*I10</f>
        <v>0.1457</v>
      </c>
      <c r="F10" s="132">
        <f>D10*J10</f>
        <v>0.1457</v>
      </c>
      <c r="G10" s="310" t="s">
        <v>517</v>
      </c>
      <c r="I10" s="200">
        <v>1</v>
      </c>
      <c r="J10" s="200">
        <v>1</v>
      </c>
    </row>
    <row r="11" spans="1:10" s="174" customFormat="1" ht="12">
      <c r="A11" s="266"/>
      <c r="B11" s="267" t="s">
        <v>19</v>
      </c>
      <c r="C11" s="268">
        <f>SUM(C7:C10)</f>
        <v>21.115100000000002</v>
      </c>
      <c r="D11" s="268">
        <f>SUM(D7:D10)</f>
        <v>5.3651</v>
      </c>
      <c r="E11" s="268">
        <f>SUM(E7:E10)</f>
        <v>5.3651</v>
      </c>
      <c r="F11" s="268">
        <f>SUM(F7:F10)</f>
        <v>5.3651</v>
      </c>
      <c r="G11" s="262"/>
      <c r="H11" s="152"/>
    </row>
    <row r="12" spans="1:10" ht="14.4">
      <c r="A12" s="265"/>
      <c r="B12" s="116" t="s">
        <v>323</v>
      </c>
      <c r="C12" s="197"/>
      <c r="D12" s="271"/>
      <c r="E12" s="198"/>
      <c r="F12" s="198"/>
      <c r="G12" s="201"/>
      <c r="I12" s="200"/>
      <c r="J12" s="200"/>
    </row>
    <row r="13" spans="1:10" ht="45.6">
      <c r="A13" s="353">
        <v>1</v>
      </c>
      <c r="B13" s="122" t="s">
        <v>80</v>
      </c>
      <c r="C13" s="132">
        <f>229.44*10^5/10^7</f>
        <v>2.2944</v>
      </c>
      <c r="D13" s="132">
        <f>229.44*10^5/10^7</f>
        <v>2.2944</v>
      </c>
      <c r="E13" s="132">
        <f>D13*I13</f>
        <v>2.2944</v>
      </c>
      <c r="F13" s="132">
        <f>D13*J13</f>
        <v>2.2944</v>
      </c>
      <c r="G13" s="201" t="s">
        <v>518</v>
      </c>
      <c r="H13" s="199"/>
      <c r="I13" s="200">
        <v>1</v>
      </c>
      <c r="J13" s="200">
        <v>1</v>
      </c>
    </row>
    <row r="14" spans="1:10" ht="107.4" customHeight="1">
      <c r="A14" s="353">
        <v>2</v>
      </c>
      <c r="B14" s="122" t="s">
        <v>81</v>
      </c>
      <c r="C14" s="309">
        <f>2017.3*10^5/10^7</f>
        <v>20.172999999999998</v>
      </c>
      <c r="D14" s="309">
        <f>2017.3*10^5/10^7-14-6</f>
        <v>0.17299999999999827</v>
      </c>
      <c r="E14" s="132">
        <f>D14*I14</f>
        <v>0.17299999999999827</v>
      </c>
      <c r="F14" s="132">
        <f>D14*J14</f>
        <v>0.17299999999999827</v>
      </c>
      <c r="G14" s="310" t="s">
        <v>519</v>
      </c>
      <c r="H14" s="166"/>
      <c r="I14" s="200">
        <v>1</v>
      </c>
      <c r="J14" s="200">
        <v>1</v>
      </c>
    </row>
    <row r="15" spans="1:10" s="174" customFormat="1" ht="12">
      <c r="A15" s="266"/>
      <c r="B15" s="267" t="s">
        <v>19</v>
      </c>
      <c r="C15" s="268">
        <f>SUM(C13:C14)</f>
        <v>22.467399999999998</v>
      </c>
      <c r="D15" s="268">
        <f>SUM(D13:D14)</f>
        <v>2.4673999999999983</v>
      </c>
      <c r="E15" s="268">
        <f>SUM(E13:E14)</f>
        <v>2.4673999999999983</v>
      </c>
      <c r="F15" s="268">
        <f>SUM(F13:F14)</f>
        <v>2.4673999999999983</v>
      </c>
      <c r="G15" s="262"/>
      <c r="H15" s="152"/>
    </row>
    <row r="16" spans="1:10" ht="13.95" customHeight="1">
      <c r="A16" s="902"/>
      <c r="B16" s="902"/>
      <c r="C16" s="902"/>
      <c r="D16" s="902"/>
      <c r="E16" s="902"/>
      <c r="F16" s="902"/>
      <c r="G16" s="902"/>
    </row>
    <row r="17" spans="1:7">
      <c r="A17" s="891" t="s">
        <v>235</v>
      </c>
      <c r="B17" s="891"/>
      <c r="C17" s="891"/>
      <c r="D17" s="891"/>
      <c r="E17" s="891"/>
      <c r="F17" s="891"/>
      <c r="G17" s="891"/>
    </row>
    <row r="18" spans="1:7" ht="14.4" customHeight="1">
      <c r="A18" s="892" t="s">
        <v>242</v>
      </c>
      <c r="B18" s="892"/>
      <c r="C18" s="892"/>
      <c r="D18" s="892"/>
      <c r="E18" s="892"/>
      <c r="F18" s="892"/>
      <c r="G18" s="899"/>
    </row>
    <row r="19" spans="1:7">
      <c r="A19" s="892"/>
      <c r="B19" s="892"/>
      <c r="C19" s="892"/>
      <c r="D19" s="892"/>
      <c r="E19" s="892"/>
      <c r="F19" s="892"/>
      <c r="G19" s="892"/>
    </row>
    <row r="20" spans="1:7">
      <c r="A20" s="892"/>
      <c r="B20" s="892"/>
      <c r="C20" s="892"/>
      <c r="D20" s="892"/>
      <c r="E20" s="892"/>
      <c r="F20" s="892"/>
      <c r="G20" s="892"/>
    </row>
    <row r="21" spans="1:7">
      <c r="A21" s="892"/>
      <c r="B21" s="892"/>
      <c r="C21" s="892"/>
      <c r="D21" s="892"/>
      <c r="E21" s="892"/>
      <c r="F21" s="892"/>
      <c r="G21" s="892"/>
    </row>
    <row r="22" spans="1:7">
      <c r="A22" s="892"/>
      <c r="B22" s="892"/>
      <c r="C22" s="892"/>
      <c r="D22" s="892"/>
      <c r="E22" s="892"/>
      <c r="F22" s="892"/>
      <c r="G22" s="892"/>
    </row>
    <row r="23" spans="1:7">
      <c r="A23" s="892"/>
      <c r="B23" s="892"/>
      <c r="C23" s="892"/>
      <c r="D23" s="892"/>
      <c r="E23" s="892"/>
      <c r="F23" s="892"/>
      <c r="G23" s="892"/>
    </row>
    <row r="24" spans="1:7">
      <c r="A24" s="892"/>
      <c r="B24" s="892"/>
      <c r="C24" s="892"/>
      <c r="D24" s="892"/>
      <c r="E24" s="892"/>
      <c r="F24" s="892"/>
      <c r="G24" s="892"/>
    </row>
    <row r="25" spans="1:7">
      <c r="A25" s="892"/>
      <c r="B25" s="892"/>
      <c r="C25" s="892"/>
      <c r="D25" s="892"/>
      <c r="E25" s="892"/>
      <c r="F25" s="892"/>
      <c r="G25" s="892"/>
    </row>
    <row r="26" spans="1:7">
      <c r="A26" s="177"/>
      <c r="B26" s="177"/>
      <c r="C26" s="177"/>
      <c r="D26" s="177"/>
      <c r="E26" s="177"/>
      <c r="F26" s="177"/>
      <c r="G26" s="204"/>
    </row>
    <row r="27" spans="1:7">
      <c r="A27" s="177"/>
      <c r="B27" s="177"/>
      <c r="C27" s="177"/>
      <c r="D27" s="177"/>
      <c r="E27" s="177"/>
      <c r="F27" s="177"/>
      <c r="G27" s="204"/>
    </row>
    <row r="28" spans="1:7">
      <c r="A28" s="180"/>
      <c r="B28" s="180"/>
      <c r="C28" s="180"/>
      <c r="D28" s="180"/>
      <c r="E28" s="180"/>
      <c r="F28" s="180"/>
      <c r="G28" s="205"/>
    </row>
    <row r="29" spans="1:7">
      <c r="A29" s="180"/>
      <c r="B29" s="180"/>
      <c r="C29" s="180"/>
      <c r="D29" s="180"/>
      <c r="E29" s="180"/>
      <c r="F29" s="180"/>
      <c r="G29" s="205"/>
    </row>
    <row r="30" spans="1:7">
      <c r="A30" s="180"/>
      <c r="B30" s="180"/>
      <c r="C30" s="180"/>
      <c r="D30" s="180"/>
      <c r="E30" s="180"/>
      <c r="F30" s="180"/>
      <c r="G30" s="205"/>
    </row>
  </sheetData>
  <mergeCells count="6">
    <mergeCell ref="A18:G25"/>
    <mergeCell ref="A1:G1"/>
    <mergeCell ref="A2:G2"/>
    <mergeCell ref="A4:G4"/>
    <mergeCell ref="A16:G16"/>
    <mergeCell ref="A17:G17"/>
  </mergeCells>
  <pageMargins left="0.7" right="0.7" top="0.75" bottom="0.75" header="0.3" footer="0.3"/>
  <pageSetup paperSize="9"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N56"/>
  <sheetViews>
    <sheetView showGridLines="0" zoomScale="98" zoomScaleNormal="98" workbookViewId="0">
      <pane ySplit="3" topLeftCell="A11" activePane="bottomLeft" state="frozen"/>
      <selection pane="bottomLeft" activeCell="E12" sqref="E12"/>
    </sheetView>
  </sheetViews>
  <sheetFormatPr defaultColWidth="8.88671875" defaultRowHeight="11.4"/>
  <cols>
    <col min="1" max="1" width="7.6640625" style="194" customWidth="1"/>
    <col min="2" max="2" width="31.44140625" style="175" customWidth="1"/>
    <col min="3" max="3" width="27.109375" style="175" hidden="1" customWidth="1"/>
    <col min="4" max="4" width="26.109375" style="175" customWidth="1"/>
    <col min="5" max="5" width="11.5546875" style="194" bestFit="1" customWidth="1"/>
    <col min="6" max="6" width="18.6640625" style="194" customWidth="1"/>
    <col min="7" max="7" width="24.33203125" style="194" customWidth="1"/>
    <col min="8" max="8" width="49" style="194" customWidth="1"/>
    <col min="9" max="9" width="15.109375" style="194" customWidth="1"/>
    <col min="10" max="10" width="36.33203125" style="194" customWidth="1"/>
    <col min="11" max="11" width="13" style="194" customWidth="1"/>
    <col min="12" max="12" width="20.6640625" style="174" customWidth="1"/>
    <col min="13" max="13" width="17.33203125" style="174" customWidth="1"/>
    <col min="14" max="14" width="35.6640625" style="174" customWidth="1"/>
    <col min="15" max="16384" width="8.88671875" style="174"/>
  </cols>
  <sheetData>
    <row r="1" spans="1:13" ht="12">
      <c r="A1" s="913" t="s">
        <v>524</v>
      </c>
      <c r="B1" s="914"/>
      <c r="C1" s="914"/>
      <c r="D1" s="914"/>
      <c r="E1" s="914"/>
      <c r="F1" s="914"/>
      <c r="G1" s="914"/>
      <c r="H1" s="914"/>
      <c r="I1" s="207"/>
      <c r="J1" s="207"/>
      <c r="K1" s="207"/>
      <c r="L1" s="207"/>
      <c r="M1" s="207"/>
    </row>
    <row r="2" spans="1:13" ht="13.2" customHeight="1" thickBot="1">
      <c r="A2" s="915" t="s">
        <v>294</v>
      </c>
      <c r="B2" s="916"/>
      <c r="C2" s="916"/>
      <c r="D2" s="916"/>
      <c r="E2" s="916"/>
      <c r="F2" s="916"/>
      <c r="G2" s="916"/>
      <c r="H2" s="917"/>
    </row>
    <row r="3" spans="1:13" ht="36.6" thickBot="1">
      <c r="A3" s="208" t="s">
        <v>222</v>
      </c>
      <c r="B3" s="208" t="s">
        <v>243</v>
      </c>
      <c r="C3" s="209" t="s">
        <v>167</v>
      </c>
      <c r="D3" s="210" t="s">
        <v>244</v>
      </c>
      <c r="E3" s="211" t="s">
        <v>228</v>
      </c>
      <c r="F3" s="154" t="s">
        <v>292</v>
      </c>
      <c r="G3" s="154" t="s">
        <v>291</v>
      </c>
      <c r="H3" s="208" t="s">
        <v>229</v>
      </c>
      <c r="I3" s="174"/>
      <c r="J3" s="174"/>
      <c r="K3" s="174"/>
    </row>
    <row r="4" spans="1:13" ht="14.4" customHeight="1">
      <c r="A4" s="918" t="s">
        <v>241</v>
      </c>
      <c r="B4" s="918"/>
      <c r="C4" s="918"/>
      <c r="D4" s="918"/>
      <c r="E4" s="918"/>
      <c r="F4" s="918"/>
      <c r="G4" s="918"/>
      <c r="H4" s="919"/>
      <c r="I4" s="174"/>
      <c r="J4" s="174"/>
      <c r="K4" s="174"/>
    </row>
    <row r="5" spans="1:13" ht="48" customHeight="1">
      <c r="A5" s="218"/>
      <c r="B5" s="130" t="s">
        <v>57</v>
      </c>
      <c r="C5" s="212" t="s">
        <v>245</v>
      </c>
      <c r="D5" s="213"/>
      <c r="E5" s="214"/>
      <c r="F5" s="215"/>
      <c r="G5" s="216"/>
      <c r="H5" s="247"/>
      <c r="I5" s="217"/>
      <c r="J5" s="217"/>
      <c r="K5" s="217"/>
    </row>
    <row r="6" spans="1:13" ht="14.4" hidden="1">
      <c r="A6" s="155">
        <v>1</v>
      </c>
      <c r="B6" s="122" t="s">
        <v>58</v>
      </c>
      <c r="C6" s="212" t="s">
        <v>246</v>
      </c>
      <c r="D6" s="132">
        <v>0</v>
      </c>
      <c r="E6" s="132">
        <v>0</v>
      </c>
      <c r="F6" s="261"/>
      <c r="G6" s="270"/>
      <c r="H6" s="247"/>
      <c r="I6" s="217"/>
      <c r="J6" s="217"/>
      <c r="K6" s="217"/>
    </row>
    <row r="7" spans="1:13" ht="148.19999999999999">
      <c r="A7" s="155">
        <v>1</v>
      </c>
      <c r="B7" s="134" t="s">
        <v>59</v>
      </c>
      <c r="C7" s="354" t="s">
        <v>247</v>
      </c>
      <c r="D7" s="148">
        <f>81.69*10^5/10^7</f>
        <v>0.81689999999999996</v>
      </c>
      <c r="E7" s="148">
        <f>D7*I7</f>
        <v>0.65351999999999999</v>
      </c>
      <c r="F7" s="355">
        <f>D7*J7</f>
        <v>0.40844999999999998</v>
      </c>
      <c r="G7" s="216">
        <f>D7*K7</f>
        <v>0.24506999999999998</v>
      </c>
      <c r="H7" s="247" t="s">
        <v>528</v>
      </c>
      <c r="I7" s="217">
        <v>0.8</v>
      </c>
      <c r="J7" s="217">
        <v>0.5</v>
      </c>
      <c r="K7" s="217">
        <v>0.3</v>
      </c>
    </row>
    <row r="8" spans="1:13" ht="79.8">
      <c r="A8" s="155">
        <v>2</v>
      </c>
      <c r="B8" s="134" t="s">
        <v>60</v>
      </c>
      <c r="C8" s="354" t="s">
        <v>248</v>
      </c>
      <c r="D8" s="148">
        <f>625.68*10^5/10^7</f>
        <v>6.2567999999999993</v>
      </c>
      <c r="E8" s="148">
        <f>625.68*10^5/10^7-6.26</f>
        <v>-3.2000000000005357E-3</v>
      </c>
      <c r="F8" s="148">
        <v>0</v>
      </c>
      <c r="G8" s="148">
        <v>0</v>
      </c>
      <c r="H8" s="247" t="s">
        <v>527</v>
      </c>
      <c r="I8" s="217"/>
      <c r="J8" s="217"/>
      <c r="K8" s="217"/>
    </row>
    <row r="9" spans="1:13" ht="14.4" hidden="1">
      <c r="A9" s="156">
        <v>4</v>
      </c>
      <c r="B9" s="134" t="s">
        <v>61</v>
      </c>
      <c r="C9" s="354" t="s">
        <v>249</v>
      </c>
      <c r="D9" s="148">
        <v>0</v>
      </c>
      <c r="E9" s="148">
        <v>0</v>
      </c>
      <c r="F9" s="148">
        <v>0</v>
      </c>
      <c r="G9" s="148">
        <v>0</v>
      </c>
      <c r="H9" s="247"/>
      <c r="I9" s="217"/>
      <c r="J9" s="217"/>
      <c r="K9" s="217"/>
    </row>
    <row r="10" spans="1:13" ht="296.39999999999998">
      <c r="A10" s="156">
        <v>3</v>
      </c>
      <c r="B10" s="134" t="s">
        <v>62</v>
      </c>
      <c r="C10" s="356" t="s">
        <v>250</v>
      </c>
      <c r="D10" s="148">
        <f>52.67*10^5/10^7</f>
        <v>0.52669999999999995</v>
      </c>
      <c r="E10" s="148">
        <f>D10*I10</f>
        <v>0.52669999999999995</v>
      </c>
      <c r="F10" s="148">
        <f>D10*J10</f>
        <v>0.39502499999999996</v>
      </c>
      <c r="G10" s="148">
        <f>D10*K10</f>
        <v>0.10533999999999999</v>
      </c>
      <c r="H10" s="247" t="s">
        <v>520</v>
      </c>
      <c r="I10" s="217">
        <v>1</v>
      </c>
      <c r="J10" s="217">
        <v>0.75</v>
      </c>
      <c r="K10" s="217">
        <v>0.2</v>
      </c>
    </row>
    <row r="11" spans="1:13" ht="103.2" thickBot="1">
      <c r="A11" s="156">
        <v>4</v>
      </c>
      <c r="B11" s="134" t="s">
        <v>63</v>
      </c>
      <c r="C11" s="354" t="s">
        <v>251</v>
      </c>
      <c r="D11" s="148">
        <f>0.9*10^5/10^7</f>
        <v>8.9999999999999993E-3</v>
      </c>
      <c r="E11" s="275">
        <f>D11*I11</f>
        <v>4.4999999999999997E-3</v>
      </c>
      <c r="F11" s="357">
        <f>D11*J11</f>
        <v>1.3499999999999999E-3</v>
      </c>
      <c r="G11" s="358">
        <f>D11*K11</f>
        <v>4.4999999999999999E-4</v>
      </c>
      <c r="H11" s="247" t="s">
        <v>526</v>
      </c>
      <c r="I11" s="359">
        <v>0.5</v>
      </c>
      <c r="J11" s="217">
        <v>0.15</v>
      </c>
      <c r="K11" s="217">
        <v>0.05</v>
      </c>
    </row>
    <row r="12" spans="1:13" ht="12">
      <c r="A12" s="305"/>
      <c r="B12" s="294" t="s">
        <v>19</v>
      </c>
      <c r="C12" s="295"/>
      <c r="D12" s="296">
        <f>SUM(D6:D11)</f>
        <v>7.6093999999999991</v>
      </c>
      <c r="E12" s="297">
        <f>SUM(E6:E11)</f>
        <v>1.1815199999999992</v>
      </c>
      <c r="F12" s="298">
        <f>SUM(F5:F11)</f>
        <v>0.8048249999999999</v>
      </c>
      <c r="G12" s="299">
        <f>SUM(G5:G11)</f>
        <v>0.35086000000000001</v>
      </c>
      <c r="H12" s="300"/>
      <c r="I12" s="174"/>
      <c r="J12" s="174"/>
      <c r="K12" s="174"/>
    </row>
    <row r="13" spans="1:13" ht="14.4">
      <c r="A13" s="155"/>
      <c r="B13" s="301" t="s">
        <v>309</v>
      </c>
      <c r="C13" s="132"/>
      <c r="D13" s="148"/>
      <c r="E13" s="159"/>
      <c r="F13" s="159"/>
      <c r="G13" s="255"/>
      <c r="H13" s="218"/>
    </row>
    <row r="14" spans="1:13" ht="97.2" customHeight="1">
      <c r="A14" s="156">
        <v>1</v>
      </c>
      <c r="B14" s="306" t="s">
        <v>95</v>
      </c>
      <c r="C14" s="174"/>
      <c r="D14" s="132">
        <f>363.18*10^5/10^7</f>
        <v>3.6318000000000001</v>
      </c>
      <c r="E14" s="132">
        <f>363.18*10^5/10^7</f>
        <v>3.6318000000000001</v>
      </c>
      <c r="F14" s="214">
        <f>E14*J14</f>
        <v>3.6318000000000001</v>
      </c>
      <c r="G14" s="270">
        <f>E14*K14</f>
        <v>3.6318000000000001</v>
      </c>
      <c r="H14" s="260" t="s">
        <v>521</v>
      </c>
      <c r="J14" s="118">
        <v>1</v>
      </c>
      <c r="K14" s="118">
        <v>1</v>
      </c>
    </row>
    <row r="15" spans="1:13" ht="12">
      <c r="A15" s="252"/>
      <c r="B15" s="253"/>
      <c r="C15" s="253"/>
      <c r="D15" s="248">
        <f>D14</f>
        <v>3.6318000000000001</v>
      </c>
      <c r="E15" s="248">
        <f>E14</f>
        <v>3.6318000000000001</v>
      </c>
      <c r="F15" s="248">
        <f>F14</f>
        <v>3.6318000000000001</v>
      </c>
      <c r="G15" s="248">
        <f>G14</f>
        <v>3.6318000000000001</v>
      </c>
      <c r="H15" s="256"/>
    </row>
    <row r="16" spans="1:13">
      <c r="A16" s="180"/>
      <c r="B16" s="180"/>
      <c r="C16" s="180"/>
      <c r="D16" s="180"/>
      <c r="E16" s="180"/>
      <c r="F16" s="180"/>
      <c r="G16" s="180"/>
      <c r="H16" s="180"/>
      <c r="I16" s="174"/>
      <c r="J16" s="174"/>
      <c r="K16" s="174"/>
    </row>
    <row r="17" spans="1:14">
      <c r="A17" s="868" t="s">
        <v>235</v>
      </c>
      <c r="B17" s="869"/>
      <c r="C17" s="869"/>
      <c r="D17" s="869"/>
      <c r="E17" s="869"/>
      <c r="F17" s="869"/>
      <c r="G17" s="869"/>
      <c r="H17" s="870"/>
    </row>
    <row r="18" spans="1:14" ht="11.4" customHeight="1">
      <c r="A18" s="904" t="s">
        <v>252</v>
      </c>
      <c r="B18" s="905"/>
      <c r="C18" s="905"/>
      <c r="D18" s="905"/>
      <c r="E18" s="905"/>
      <c r="F18" s="905"/>
      <c r="G18" s="905"/>
      <c r="H18" s="906"/>
    </row>
    <row r="19" spans="1:14">
      <c r="A19" s="907"/>
      <c r="B19" s="908"/>
      <c r="C19" s="908"/>
      <c r="D19" s="908"/>
      <c r="E19" s="908"/>
      <c r="F19" s="908"/>
      <c r="G19" s="908"/>
      <c r="H19" s="909"/>
    </row>
    <row r="20" spans="1:14">
      <c r="A20" s="907"/>
      <c r="B20" s="908"/>
      <c r="C20" s="908"/>
      <c r="D20" s="908"/>
      <c r="E20" s="908"/>
      <c r="F20" s="908"/>
      <c r="G20" s="908"/>
      <c r="H20" s="909"/>
    </row>
    <row r="21" spans="1:14">
      <c r="A21" s="907"/>
      <c r="B21" s="908"/>
      <c r="C21" s="908"/>
      <c r="D21" s="908"/>
      <c r="E21" s="908"/>
      <c r="F21" s="908"/>
      <c r="G21" s="908"/>
      <c r="H21" s="909"/>
      <c r="I21" s="174"/>
      <c r="J21" s="174"/>
      <c r="K21" s="174"/>
    </row>
    <row r="22" spans="1:14">
      <c r="A22" s="907"/>
      <c r="B22" s="908"/>
      <c r="C22" s="908"/>
      <c r="D22" s="908"/>
      <c r="E22" s="908"/>
      <c r="F22" s="908"/>
      <c r="G22" s="908"/>
      <c r="H22" s="909"/>
      <c r="I22" s="174"/>
      <c r="J22" s="174"/>
      <c r="K22" s="174"/>
    </row>
    <row r="23" spans="1:14">
      <c r="A23" s="907"/>
      <c r="B23" s="908"/>
      <c r="C23" s="908"/>
      <c r="D23" s="908"/>
      <c r="E23" s="908"/>
      <c r="F23" s="908"/>
      <c r="G23" s="908"/>
      <c r="H23" s="909"/>
      <c r="I23" s="174"/>
      <c r="J23" s="174"/>
      <c r="K23" s="174"/>
    </row>
    <row r="24" spans="1:14">
      <c r="A24" s="907"/>
      <c r="B24" s="908"/>
      <c r="C24" s="908"/>
      <c r="D24" s="908"/>
      <c r="E24" s="908"/>
      <c r="F24" s="908"/>
      <c r="G24" s="908"/>
      <c r="H24" s="909"/>
      <c r="I24" s="174"/>
      <c r="J24" s="174"/>
      <c r="K24" s="174"/>
    </row>
    <row r="25" spans="1:14">
      <c r="A25" s="907"/>
      <c r="B25" s="908"/>
      <c r="C25" s="908"/>
      <c r="D25" s="908"/>
      <c r="E25" s="908"/>
      <c r="F25" s="908"/>
      <c r="G25" s="908"/>
      <c r="H25" s="909"/>
      <c r="I25" s="174"/>
      <c r="J25" s="174"/>
      <c r="K25" s="174"/>
    </row>
    <row r="26" spans="1:14">
      <c r="A26" s="910"/>
      <c r="B26" s="911"/>
      <c r="C26" s="911"/>
      <c r="D26" s="911"/>
      <c r="E26" s="911"/>
      <c r="F26" s="911"/>
      <c r="G26" s="911"/>
      <c r="H26" s="912"/>
      <c r="I26" s="174"/>
      <c r="J26" s="174"/>
      <c r="K26" s="174"/>
    </row>
    <row r="27" spans="1:14">
      <c r="A27" s="180"/>
      <c r="B27" s="180"/>
      <c r="C27" s="180"/>
      <c r="D27" s="180"/>
      <c r="E27" s="180"/>
      <c r="F27" s="180"/>
      <c r="G27" s="180"/>
      <c r="H27" s="180"/>
      <c r="I27" s="174"/>
      <c r="J27" s="174"/>
      <c r="K27" s="174"/>
    </row>
    <row r="28" spans="1:14" ht="12">
      <c r="A28" s="180"/>
      <c r="B28" s="180"/>
      <c r="C28" s="180"/>
      <c r="D28" s="180"/>
      <c r="E28" s="180"/>
      <c r="F28" s="180"/>
      <c r="G28" s="180"/>
      <c r="H28" s="180"/>
      <c r="I28" s="881" t="s">
        <v>502</v>
      </c>
      <c r="J28" s="881"/>
      <c r="K28" s="881"/>
      <c r="L28" s="881"/>
      <c r="M28" s="881"/>
      <c r="N28" s="881"/>
    </row>
    <row r="29" spans="1:14">
      <c r="A29" s="180"/>
      <c r="B29" s="180"/>
      <c r="C29" s="180"/>
      <c r="D29" s="180"/>
      <c r="E29" s="180"/>
      <c r="F29" s="180"/>
      <c r="G29" s="180"/>
      <c r="H29" s="180"/>
      <c r="I29" s="888" t="s">
        <v>295</v>
      </c>
      <c r="J29" s="889"/>
      <c r="K29" s="889"/>
      <c r="L29" s="889"/>
      <c r="M29" s="889"/>
      <c r="N29" s="889"/>
    </row>
    <row r="30" spans="1:14" ht="14.4">
      <c r="A30" s="180"/>
      <c r="B30" s="180"/>
      <c r="C30" s="180"/>
      <c r="D30" s="180"/>
      <c r="E30" s="180"/>
      <c r="F30" s="180"/>
      <c r="G30" s="180"/>
      <c r="H30" s="180"/>
      <c r="I30" s="318" t="s">
        <v>328</v>
      </c>
      <c r="J30" s="319" t="s">
        <v>329</v>
      </c>
      <c r="K30" s="320" t="s">
        <v>330</v>
      </c>
      <c r="L30" s="321" t="s">
        <v>331</v>
      </c>
      <c r="M30" s="321" t="s">
        <v>332</v>
      </c>
      <c r="N30" s="321" t="s">
        <v>333</v>
      </c>
    </row>
    <row r="31" spans="1:14" ht="14.4">
      <c r="A31" s="180"/>
      <c r="B31" s="180"/>
      <c r="C31" s="180"/>
      <c r="D31" s="180"/>
      <c r="E31" s="180"/>
      <c r="F31" s="180"/>
      <c r="G31" s="180"/>
      <c r="H31" s="180"/>
      <c r="I31" s="890" t="s">
        <v>482</v>
      </c>
      <c r="J31" s="890"/>
      <c r="K31" s="890"/>
      <c r="L31" s="890"/>
      <c r="M31" s="890"/>
      <c r="N31" s="890"/>
    </row>
    <row r="32" spans="1:14" ht="13.8">
      <c r="A32" s="174"/>
      <c r="B32" s="174"/>
      <c r="C32" s="174"/>
      <c r="D32" s="174"/>
      <c r="E32" s="174"/>
      <c r="F32" s="174"/>
      <c r="G32" s="174"/>
      <c r="H32" s="174"/>
      <c r="I32" s="315">
        <v>36525</v>
      </c>
      <c r="J32" s="350" t="s">
        <v>483</v>
      </c>
      <c r="K32" s="316">
        <v>500000</v>
      </c>
      <c r="L32" s="313" t="s">
        <v>62</v>
      </c>
      <c r="M32" s="313">
        <v>8126</v>
      </c>
      <c r="N32" s="903" t="s">
        <v>484</v>
      </c>
    </row>
    <row r="33" spans="1:14" ht="13.8">
      <c r="A33" s="174"/>
      <c r="B33" s="174"/>
      <c r="C33" s="174"/>
      <c r="D33" s="174"/>
      <c r="E33" s="174"/>
      <c r="F33" s="174"/>
      <c r="G33" s="174"/>
      <c r="H33" s="174"/>
      <c r="I33" s="315">
        <v>36525</v>
      </c>
      <c r="J33" s="350" t="s">
        <v>483</v>
      </c>
      <c r="K33" s="316">
        <v>4000000</v>
      </c>
      <c r="L33" s="313" t="s">
        <v>62</v>
      </c>
      <c r="M33" s="313">
        <v>8126</v>
      </c>
      <c r="N33" s="903"/>
    </row>
    <row r="34" spans="1:14" ht="14.4">
      <c r="A34" s="174"/>
      <c r="B34" s="174"/>
      <c r="C34" s="174"/>
      <c r="D34" s="174"/>
      <c r="E34" s="174"/>
      <c r="F34" s="174"/>
      <c r="G34" s="174"/>
      <c r="H34" s="174"/>
      <c r="I34" s="345">
        <v>44561</v>
      </c>
      <c r="J34" s="350" t="s">
        <v>485</v>
      </c>
      <c r="K34" s="346">
        <v>57055.86</v>
      </c>
      <c r="L34" s="313" t="s">
        <v>62</v>
      </c>
      <c r="M34" s="347">
        <v>90</v>
      </c>
      <c r="N34" s="122"/>
    </row>
    <row r="35" spans="1:14" ht="14.4">
      <c r="A35" s="174"/>
      <c r="B35" s="174"/>
      <c r="C35" s="174"/>
      <c r="D35" s="174"/>
      <c r="E35" s="174"/>
      <c r="F35" s="174"/>
      <c r="G35" s="174"/>
      <c r="H35" s="174"/>
      <c r="I35" s="345">
        <v>44594</v>
      </c>
      <c r="J35" s="350" t="s">
        <v>485</v>
      </c>
      <c r="K35" s="346">
        <v>-12965</v>
      </c>
      <c r="L35" s="313" t="s">
        <v>62</v>
      </c>
      <c r="M35" s="347">
        <v>57</v>
      </c>
      <c r="N35" s="122"/>
    </row>
    <row r="36" spans="1:14" ht="13.8">
      <c r="A36" s="174"/>
      <c r="B36" s="174"/>
      <c r="C36" s="174"/>
      <c r="D36" s="174"/>
      <c r="E36" s="174"/>
      <c r="F36" s="174"/>
      <c r="G36" s="174"/>
      <c r="H36" s="174"/>
      <c r="I36" s="315">
        <v>38786</v>
      </c>
      <c r="J36" s="350" t="s">
        <v>343</v>
      </c>
      <c r="K36" s="316">
        <v>18000</v>
      </c>
      <c r="L36" s="313" t="s">
        <v>62</v>
      </c>
      <c r="M36" s="313">
        <v>5865</v>
      </c>
      <c r="N36" s="903" t="s">
        <v>344</v>
      </c>
    </row>
    <row r="37" spans="1:14" ht="13.8">
      <c r="A37" s="174"/>
      <c r="B37" s="174"/>
      <c r="C37" s="174"/>
      <c r="D37" s="174"/>
      <c r="E37" s="174"/>
      <c r="F37" s="174"/>
      <c r="G37" s="174"/>
      <c r="H37" s="174"/>
      <c r="I37" s="315">
        <v>39499</v>
      </c>
      <c r="J37" s="350" t="s">
        <v>343</v>
      </c>
      <c r="K37" s="316">
        <v>16000</v>
      </c>
      <c r="L37" s="313" t="s">
        <v>62</v>
      </c>
      <c r="M37" s="313">
        <v>5152</v>
      </c>
      <c r="N37" s="903"/>
    </row>
    <row r="38" spans="1:14" ht="27.6">
      <c r="A38" s="174"/>
      <c r="B38" s="174"/>
      <c r="C38" s="174"/>
      <c r="D38" s="174"/>
      <c r="E38" s="174"/>
      <c r="F38" s="174"/>
      <c r="G38" s="174"/>
      <c r="H38" s="174"/>
      <c r="I38" s="315">
        <v>37135</v>
      </c>
      <c r="J38" s="350" t="s">
        <v>486</v>
      </c>
      <c r="K38" s="316">
        <v>10000</v>
      </c>
      <c r="L38" s="313" t="s">
        <v>62</v>
      </c>
      <c r="M38" s="313">
        <v>7516</v>
      </c>
      <c r="N38" s="314" t="s">
        <v>487</v>
      </c>
    </row>
    <row r="39" spans="1:14" ht="27.6">
      <c r="A39" s="174"/>
      <c r="B39" s="174"/>
      <c r="C39" s="174"/>
      <c r="D39" s="174"/>
      <c r="E39" s="174"/>
      <c r="F39" s="174"/>
      <c r="G39" s="174"/>
      <c r="H39" s="174"/>
      <c r="I39" s="345">
        <v>44621</v>
      </c>
      <c r="J39" s="350" t="s">
        <v>488</v>
      </c>
      <c r="K39" s="316">
        <v>5065</v>
      </c>
      <c r="L39" s="313" t="s">
        <v>62</v>
      </c>
      <c r="M39" s="313">
        <v>30</v>
      </c>
      <c r="N39" s="314" t="s">
        <v>489</v>
      </c>
    </row>
    <row r="40" spans="1:14" ht="14.4">
      <c r="A40" s="174"/>
      <c r="B40" s="174"/>
      <c r="C40" s="174"/>
      <c r="D40" s="174"/>
      <c r="E40" s="174"/>
      <c r="F40" s="174"/>
      <c r="G40" s="174"/>
      <c r="H40" s="174"/>
      <c r="I40" s="345">
        <v>44617</v>
      </c>
      <c r="J40" s="351" t="s">
        <v>490</v>
      </c>
      <c r="K40" s="348">
        <v>200000</v>
      </c>
      <c r="L40" s="313" t="s">
        <v>62</v>
      </c>
      <c r="M40" s="313">
        <v>34</v>
      </c>
      <c r="N40" s="122"/>
    </row>
    <row r="41" spans="1:14" ht="13.8">
      <c r="A41" s="174"/>
      <c r="B41" s="174"/>
      <c r="C41" s="174"/>
      <c r="D41" s="174"/>
      <c r="E41" s="174"/>
      <c r="F41" s="174"/>
      <c r="G41" s="174"/>
      <c r="H41" s="174"/>
      <c r="I41" s="349" t="s">
        <v>491</v>
      </c>
      <c r="J41" s="352" t="s">
        <v>492</v>
      </c>
      <c r="K41" s="316">
        <v>28803</v>
      </c>
      <c r="L41" s="313" t="s">
        <v>62</v>
      </c>
      <c r="M41" s="313">
        <v>2</v>
      </c>
      <c r="N41" s="903" t="s">
        <v>493</v>
      </c>
    </row>
    <row r="42" spans="1:14" ht="13.8">
      <c r="A42" s="174"/>
      <c r="B42" s="174"/>
      <c r="C42" s="174"/>
      <c r="D42" s="174"/>
      <c r="E42" s="174"/>
      <c r="F42" s="174"/>
      <c r="G42" s="174"/>
      <c r="H42" s="174"/>
      <c r="I42" s="349" t="s">
        <v>494</v>
      </c>
      <c r="J42" s="352" t="s">
        <v>495</v>
      </c>
      <c r="K42" s="316">
        <v>47565</v>
      </c>
      <c r="L42" s="313" t="s">
        <v>62</v>
      </c>
      <c r="M42" s="313">
        <v>1096</v>
      </c>
      <c r="N42" s="903"/>
    </row>
    <row r="43" spans="1:14" ht="13.8">
      <c r="A43" s="174"/>
      <c r="B43" s="174"/>
      <c r="C43" s="174"/>
      <c r="D43" s="174"/>
      <c r="E43" s="174"/>
      <c r="F43" s="174"/>
      <c r="G43" s="174"/>
      <c r="H43" s="174"/>
      <c r="I43" s="349" t="s">
        <v>496</v>
      </c>
      <c r="J43" s="352" t="s">
        <v>497</v>
      </c>
      <c r="K43" s="316">
        <v>245059</v>
      </c>
      <c r="L43" s="313" t="s">
        <v>62</v>
      </c>
      <c r="M43" s="313">
        <v>913</v>
      </c>
      <c r="N43" s="903"/>
    </row>
    <row r="44" spans="1:14" ht="13.8">
      <c r="A44" s="174"/>
      <c r="B44" s="174"/>
      <c r="C44" s="174"/>
      <c r="D44" s="174"/>
      <c r="E44" s="174"/>
      <c r="F44" s="174"/>
      <c r="G44" s="174"/>
      <c r="H44" s="174"/>
      <c r="I44" s="317" t="s">
        <v>498</v>
      </c>
      <c r="J44" s="352" t="s">
        <v>499</v>
      </c>
      <c r="K44" s="316">
        <v>4847</v>
      </c>
      <c r="L44" s="313" t="s">
        <v>62</v>
      </c>
      <c r="M44" s="313">
        <v>4443</v>
      </c>
      <c r="N44" s="903"/>
    </row>
    <row r="45" spans="1:14" ht="13.8">
      <c r="A45" s="174"/>
      <c r="B45" s="174"/>
      <c r="C45" s="174"/>
      <c r="D45" s="174"/>
      <c r="E45" s="174"/>
      <c r="F45" s="174"/>
      <c r="G45" s="174"/>
      <c r="H45" s="174"/>
      <c r="I45" s="317" t="s">
        <v>500</v>
      </c>
      <c r="J45" s="352" t="s">
        <v>501</v>
      </c>
      <c r="K45" s="316">
        <v>148048.95999999999</v>
      </c>
      <c r="L45" s="313" t="s">
        <v>62</v>
      </c>
      <c r="M45" s="313">
        <v>821</v>
      </c>
      <c r="N45" s="903"/>
    </row>
    <row r="46" spans="1:14">
      <c r="A46" s="174"/>
      <c r="B46" s="174"/>
      <c r="C46" s="174"/>
      <c r="D46" s="174"/>
      <c r="E46" s="174"/>
      <c r="F46" s="174"/>
      <c r="G46" s="174"/>
      <c r="H46" s="174"/>
      <c r="I46" s="174"/>
      <c r="J46" s="174"/>
      <c r="K46" s="174"/>
    </row>
    <row r="47" spans="1:14">
      <c r="A47" s="174"/>
      <c r="B47" s="174"/>
      <c r="C47" s="174"/>
      <c r="D47" s="174"/>
      <c r="E47" s="174"/>
      <c r="F47" s="174"/>
      <c r="G47" s="174"/>
      <c r="H47" s="174"/>
      <c r="I47" s="891" t="s">
        <v>235</v>
      </c>
      <c r="J47" s="891"/>
      <c r="K47" s="891"/>
      <c r="L47" s="891"/>
      <c r="M47" s="891"/>
      <c r="N47" s="891"/>
    </row>
    <row r="48" spans="1:14">
      <c r="A48" s="174"/>
      <c r="B48" s="174"/>
      <c r="C48" s="174"/>
      <c r="D48" s="174"/>
      <c r="E48" s="174"/>
      <c r="F48" s="174"/>
      <c r="G48" s="174"/>
      <c r="H48" s="174"/>
      <c r="I48" s="880" t="s">
        <v>252</v>
      </c>
      <c r="J48" s="880"/>
      <c r="K48" s="880"/>
      <c r="L48" s="880"/>
      <c r="M48" s="880"/>
      <c r="N48" s="880"/>
    </row>
    <row r="49" spans="1:14">
      <c r="A49" s="174"/>
      <c r="B49" s="174"/>
      <c r="C49" s="174"/>
      <c r="D49" s="174"/>
      <c r="E49" s="174"/>
      <c r="F49" s="174"/>
      <c r="G49" s="174"/>
      <c r="H49" s="174"/>
      <c r="I49" s="880"/>
      <c r="J49" s="880"/>
      <c r="K49" s="880"/>
      <c r="L49" s="880"/>
      <c r="M49" s="880"/>
      <c r="N49" s="880"/>
    </row>
    <row r="50" spans="1:14">
      <c r="A50" s="174"/>
      <c r="B50" s="174"/>
      <c r="C50" s="174"/>
      <c r="D50" s="174"/>
      <c r="E50" s="174"/>
      <c r="F50" s="174"/>
      <c r="G50" s="174"/>
      <c r="H50" s="174"/>
      <c r="I50" s="880"/>
      <c r="J50" s="880"/>
      <c r="K50" s="880"/>
      <c r="L50" s="880"/>
      <c r="M50" s="880"/>
      <c r="N50" s="880"/>
    </row>
    <row r="51" spans="1:14">
      <c r="A51" s="174"/>
      <c r="B51" s="174"/>
      <c r="C51" s="174"/>
      <c r="D51" s="174"/>
      <c r="E51" s="174"/>
      <c r="F51" s="174"/>
      <c r="G51" s="174"/>
      <c r="H51" s="174"/>
      <c r="I51" s="880"/>
      <c r="J51" s="880"/>
      <c r="K51" s="880"/>
      <c r="L51" s="880"/>
      <c r="M51" s="880"/>
      <c r="N51" s="880"/>
    </row>
    <row r="52" spans="1:14">
      <c r="A52" s="174"/>
      <c r="B52" s="174"/>
      <c r="C52" s="174"/>
      <c r="D52" s="174"/>
      <c r="E52" s="174"/>
      <c r="F52" s="174"/>
      <c r="G52" s="174"/>
      <c r="H52" s="174"/>
      <c r="I52" s="880"/>
      <c r="J52" s="880"/>
      <c r="K52" s="880"/>
      <c r="L52" s="880"/>
      <c r="M52" s="880"/>
      <c r="N52" s="880"/>
    </row>
    <row r="53" spans="1:14">
      <c r="I53" s="880"/>
      <c r="J53" s="880"/>
      <c r="K53" s="880"/>
      <c r="L53" s="880"/>
      <c r="M53" s="880"/>
      <c r="N53" s="880"/>
    </row>
    <row r="54" spans="1:14">
      <c r="I54" s="880"/>
      <c r="J54" s="880"/>
      <c r="K54" s="880"/>
      <c r="L54" s="880"/>
      <c r="M54" s="880"/>
      <c r="N54" s="880"/>
    </row>
    <row r="55" spans="1:14">
      <c r="I55" s="880"/>
      <c r="J55" s="880"/>
      <c r="K55" s="880"/>
      <c r="L55" s="880"/>
      <c r="M55" s="880"/>
      <c r="N55" s="880"/>
    </row>
    <row r="56" spans="1:14">
      <c r="I56" s="880"/>
      <c r="J56" s="880"/>
      <c r="K56" s="880"/>
      <c r="L56" s="880"/>
      <c r="M56" s="880"/>
      <c r="N56" s="880"/>
    </row>
  </sheetData>
  <mergeCells count="13">
    <mergeCell ref="A17:H17"/>
    <mergeCell ref="A18:H26"/>
    <mergeCell ref="A1:H1"/>
    <mergeCell ref="A2:H2"/>
    <mergeCell ref="A4:H4"/>
    <mergeCell ref="N41:N45"/>
    <mergeCell ref="I47:N47"/>
    <mergeCell ref="I48:N56"/>
    <mergeCell ref="I28:N28"/>
    <mergeCell ref="I29:N29"/>
    <mergeCell ref="I31:N31"/>
    <mergeCell ref="N32:N33"/>
    <mergeCell ref="N36:N37"/>
  </mergeCells>
  <dataValidations count="3">
    <dataValidation type="list" allowBlank="1" showInputMessage="1" showErrorMessage="1" sqref="B17:C17 D32:D99 J47:K47" xr:uid="{00000000-0002-0000-1600-000000000000}">
      <formula1>"Loan. Advance"</formula1>
    </dataValidation>
    <dataValidation type="list" allowBlank="1" showInputMessage="1" showErrorMessage="1" sqref="J13:K13 J15:K27 J32:K46 J57:K99" xr:uid="{00000000-0002-0000-1600-000001000000}">
      <formula1>"Good, Defunct, Goods against advance already delivered"</formula1>
    </dataValidation>
    <dataValidation type="list" allowBlank="1" showInputMessage="1" showErrorMessage="1" sqref="I13:I27 I32:I46 I57:I99" xr:uid="{00000000-0002-0000-1600-000002000000}">
      <formula1>"On follow up party says it will be realised soon, Dispute in offered services, Dispute in Invoicing, Pending without reason, Unfairly held up by the party "</formula1>
    </dataValidation>
  </dataValidations>
  <pageMargins left="0.34" right="0.27" top="0.75" bottom="0.75" header="0.3" footer="0.3"/>
  <pageSetup paperSize="9" scale="46"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50"/>
  <sheetViews>
    <sheetView showGridLines="0" zoomScale="107" zoomScaleNormal="107" workbookViewId="0">
      <pane ySplit="3" topLeftCell="A4" activePane="bottomLeft" state="frozen"/>
      <selection pane="bottomLeft" activeCell="B11" sqref="B11"/>
    </sheetView>
  </sheetViews>
  <sheetFormatPr defaultColWidth="8.88671875" defaultRowHeight="11.4"/>
  <cols>
    <col min="1" max="1" width="7.6640625" style="194" customWidth="1"/>
    <col min="2" max="2" width="35.88671875" style="175" customWidth="1"/>
    <col min="3" max="3" width="42.44140625" style="175" hidden="1" customWidth="1"/>
    <col min="4" max="4" width="14.5546875" style="175" customWidth="1"/>
    <col min="5" max="5" width="11.88671875" style="194" customWidth="1"/>
    <col min="6" max="6" width="12.44140625" style="194" customWidth="1"/>
    <col min="7" max="7" width="14.88671875" style="194" customWidth="1"/>
    <col min="8" max="8" width="49" style="194" customWidth="1"/>
    <col min="9" max="9" width="5.6640625" style="194" customWidth="1"/>
    <col min="10" max="10" width="6.44140625" style="194" customWidth="1"/>
    <col min="11" max="11" width="6.6640625" style="194" customWidth="1"/>
    <col min="12" max="12" width="20.6640625" style="174" customWidth="1"/>
    <col min="13" max="13" width="16.6640625" style="174" customWidth="1"/>
    <col min="14" max="14" width="21.5546875" style="174" customWidth="1"/>
    <col min="15" max="15" width="12.33203125" style="174" customWidth="1"/>
    <col min="16" max="16384" width="8.88671875" style="174"/>
  </cols>
  <sheetData>
    <row r="1" spans="1:13" ht="12">
      <c r="A1" s="913" t="s">
        <v>325</v>
      </c>
      <c r="B1" s="914"/>
      <c r="C1" s="914"/>
      <c r="D1" s="914"/>
      <c r="E1" s="914"/>
      <c r="F1" s="914"/>
      <c r="G1" s="914"/>
      <c r="H1" s="914"/>
      <c r="I1" s="207"/>
      <c r="J1" s="207"/>
      <c r="K1" s="207"/>
      <c r="L1" s="207"/>
      <c r="M1" s="207"/>
    </row>
    <row r="2" spans="1:13" ht="12" thickBot="1">
      <c r="A2" s="915" t="s">
        <v>294</v>
      </c>
      <c r="B2" s="916"/>
      <c r="C2" s="916"/>
      <c r="D2" s="916"/>
      <c r="E2" s="916"/>
      <c r="F2" s="916"/>
      <c r="G2" s="916"/>
      <c r="H2" s="917"/>
    </row>
    <row r="3" spans="1:13" ht="48.6" thickBot="1">
      <c r="A3" s="208" t="s">
        <v>222</v>
      </c>
      <c r="B3" s="208" t="s">
        <v>243</v>
      </c>
      <c r="C3" s="209" t="s">
        <v>167</v>
      </c>
      <c r="D3" s="210" t="s">
        <v>244</v>
      </c>
      <c r="E3" s="208" t="s">
        <v>228</v>
      </c>
      <c r="F3" s="154" t="s">
        <v>292</v>
      </c>
      <c r="G3" s="154" t="s">
        <v>291</v>
      </c>
      <c r="H3" s="208" t="s">
        <v>229</v>
      </c>
      <c r="J3" s="174"/>
      <c r="K3" s="174"/>
    </row>
    <row r="4" spans="1:13" ht="12" customHeight="1">
      <c r="A4" s="920" t="s">
        <v>281</v>
      </c>
      <c r="B4" s="921"/>
      <c r="C4" s="921"/>
      <c r="D4" s="921"/>
      <c r="E4" s="921"/>
      <c r="F4" s="921"/>
      <c r="G4" s="921"/>
      <c r="H4" s="922"/>
      <c r="I4" s="217"/>
      <c r="J4" s="217"/>
      <c r="K4" s="217"/>
    </row>
    <row r="5" spans="1:13" ht="14.4" hidden="1" customHeight="1">
      <c r="A5" s="165">
        <v>1</v>
      </c>
      <c r="B5" s="247" t="s">
        <v>96</v>
      </c>
      <c r="C5" s="219"/>
      <c r="D5" s="218"/>
      <c r="E5" s="218"/>
      <c r="F5" s="218"/>
      <c r="G5" s="220"/>
      <c r="H5" s="201"/>
      <c r="J5" s="217"/>
      <c r="K5" s="217"/>
    </row>
    <row r="6" spans="1:13" ht="10.95" hidden="1" customHeight="1">
      <c r="A6" s="165"/>
      <c r="B6" s="247" t="s">
        <v>97</v>
      </c>
      <c r="C6" s="219"/>
      <c r="D6" s="214">
        <v>0</v>
      </c>
      <c r="E6" s="214">
        <v>0</v>
      </c>
      <c r="F6" s="214">
        <v>0</v>
      </c>
      <c r="G6" s="220">
        <v>0</v>
      </c>
      <c r="H6" s="254"/>
      <c r="I6" s="221"/>
      <c r="J6" s="217"/>
      <c r="K6" s="217"/>
    </row>
    <row r="7" spans="1:13" ht="12" hidden="1" customHeight="1">
      <c r="A7" s="165"/>
      <c r="B7" s="247" t="s">
        <v>98</v>
      </c>
      <c r="C7" s="219"/>
      <c r="D7" s="214">
        <v>0</v>
      </c>
      <c r="E7" s="214">
        <v>0</v>
      </c>
      <c r="F7" s="214">
        <v>0</v>
      </c>
      <c r="G7" s="220">
        <f>D7*I6</f>
        <v>0</v>
      </c>
      <c r="H7" s="254"/>
      <c r="I7" s="217"/>
      <c r="J7" s="217"/>
      <c r="K7" s="217"/>
    </row>
    <row r="8" spans="1:13" ht="11.4" hidden="1" customHeight="1">
      <c r="A8" s="165"/>
      <c r="B8" s="247" t="s">
        <v>99</v>
      </c>
      <c r="C8" s="219"/>
      <c r="D8" s="214">
        <v>0</v>
      </c>
      <c r="E8" s="214">
        <v>0</v>
      </c>
      <c r="F8" s="214">
        <v>0</v>
      </c>
      <c r="G8" s="220">
        <v>0</v>
      </c>
      <c r="H8" s="254"/>
      <c r="I8" s="217"/>
      <c r="J8" s="217"/>
      <c r="K8" s="217"/>
    </row>
    <row r="9" spans="1:13" ht="11.4" hidden="1" customHeight="1">
      <c r="A9" s="165"/>
      <c r="B9" s="247" t="s">
        <v>100</v>
      </c>
      <c r="C9" s="219" t="s">
        <v>253</v>
      </c>
      <c r="D9" s="214">
        <v>0</v>
      </c>
      <c r="E9" s="214">
        <f>D9*I9</f>
        <v>0</v>
      </c>
      <c r="F9" s="214">
        <f>D9*J9</f>
        <v>0</v>
      </c>
      <c r="G9" s="220">
        <f>D9*K9</f>
        <v>0</v>
      </c>
      <c r="H9" s="254"/>
      <c r="I9" s="217"/>
      <c r="J9" s="217"/>
      <c r="K9" s="217"/>
    </row>
    <row r="10" spans="1:13" ht="11.4" hidden="1" customHeight="1">
      <c r="A10" s="165"/>
      <c r="B10" s="245" t="s">
        <v>214</v>
      </c>
      <c r="C10" s="219" t="s">
        <v>254</v>
      </c>
      <c r="D10" s="263">
        <f>SUM(D6:D8)-D9</f>
        <v>0</v>
      </c>
      <c r="E10" s="263">
        <f>D10*$I$9</f>
        <v>0</v>
      </c>
      <c r="F10" s="263">
        <f>D10*$J$9</f>
        <v>0</v>
      </c>
      <c r="G10" s="264">
        <f>D10*$K$9</f>
        <v>0</v>
      </c>
      <c r="H10" s="254"/>
      <c r="I10" s="217"/>
      <c r="J10" s="217"/>
      <c r="K10" s="217"/>
    </row>
    <row r="11" spans="1:13" ht="11.4" customHeight="1">
      <c r="A11" s="165">
        <v>1</v>
      </c>
      <c r="B11" s="247" t="s">
        <v>505</v>
      </c>
      <c r="C11" s="219" t="s">
        <v>255</v>
      </c>
      <c r="D11" s="218"/>
      <c r="E11" s="214"/>
      <c r="F11" s="214"/>
      <c r="G11" s="220"/>
      <c r="H11" s="254"/>
      <c r="I11" s="217"/>
      <c r="J11" s="217"/>
      <c r="K11" s="217"/>
    </row>
    <row r="12" spans="1:13" ht="11.4" customHeight="1">
      <c r="A12" s="165"/>
      <c r="B12" s="247" t="s">
        <v>101</v>
      </c>
      <c r="C12" s="219" t="s">
        <v>256</v>
      </c>
      <c r="D12" s="214">
        <f>5189.79*10^5/10^7</f>
        <v>51.8979</v>
      </c>
      <c r="E12" s="214">
        <f>5189.79*10^5/10^7-47.26*10%-4.64*20%</f>
        <v>46.243900000000004</v>
      </c>
      <c r="F12" s="214">
        <f>E12*J12</f>
        <v>23.121950000000002</v>
      </c>
      <c r="G12" s="214">
        <f t="shared" ref="G12" si="0">E12*K12</f>
        <v>9.2487800000000018</v>
      </c>
      <c r="H12" s="254" t="s">
        <v>529</v>
      </c>
      <c r="I12" s="359"/>
      <c r="J12" s="217">
        <v>0.5</v>
      </c>
      <c r="K12" s="217">
        <v>0.2</v>
      </c>
    </row>
    <row r="13" spans="1:13" ht="11.4" customHeight="1">
      <c r="A13" s="165"/>
      <c r="B13" s="247" t="s">
        <v>314</v>
      </c>
      <c r="C13" s="219" t="s">
        <v>257</v>
      </c>
      <c r="D13" s="214">
        <f>362.11*10^5/10^7</f>
        <v>3.6211000000000002</v>
      </c>
      <c r="E13" s="214">
        <f>D13*I13</f>
        <v>2.8968800000000003</v>
      </c>
      <c r="F13" s="214">
        <f>D13*J13</f>
        <v>1.4484400000000002</v>
      </c>
      <c r="G13" s="214">
        <f>D13*K13</f>
        <v>0.72422000000000009</v>
      </c>
      <c r="H13" s="254" t="s">
        <v>531</v>
      </c>
      <c r="I13" s="359">
        <v>0.8</v>
      </c>
      <c r="J13" s="217">
        <v>0.4</v>
      </c>
      <c r="K13" s="217">
        <v>0.2</v>
      </c>
    </row>
    <row r="14" spans="1:13" ht="11.4" customHeight="1">
      <c r="A14" s="165"/>
      <c r="B14" s="247" t="s">
        <v>100</v>
      </c>
      <c r="C14" s="219" t="s">
        <v>258</v>
      </c>
      <c r="D14" s="214">
        <f>362.11*10^5/10^7</f>
        <v>3.6211000000000002</v>
      </c>
      <c r="E14" s="214">
        <f>5189.79*10^5/10^7-47.26-4.64</f>
        <v>-2.0999999999977703E-3</v>
      </c>
      <c r="F14" s="214">
        <f t="shared" ref="F14" si="1">D14*J14</f>
        <v>0</v>
      </c>
      <c r="G14" s="214">
        <f t="shared" ref="G14" si="2">E14*K14</f>
        <v>0</v>
      </c>
      <c r="H14" s="259" t="s">
        <v>312</v>
      </c>
      <c r="I14" s="217"/>
      <c r="J14" s="217"/>
      <c r="K14" s="217"/>
    </row>
    <row r="15" spans="1:13" ht="11.4" customHeight="1">
      <c r="A15" s="165"/>
      <c r="B15" s="245" t="s">
        <v>19</v>
      </c>
      <c r="C15" s="219" t="s">
        <v>259</v>
      </c>
      <c r="D15" s="263">
        <f>SUM(D12:D13)-D14</f>
        <v>51.8979</v>
      </c>
      <c r="E15" s="263">
        <f>SUM(E12:E13)-E14</f>
        <v>49.142880000000005</v>
      </c>
      <c r="F15" s="263">
        <f t="shared" ref="F15:G15" si="3">SUM(F12:F13)-F14</f>
        <v>24.570390000000003</v>
      </c>
      <c r="G15" s="263">
        <f t="shared" si="3"/>
        <v>9.9730000000000025</v>
      </c>
      <c r="H15" s="254"/>
      <c r="I15" s="217"/>
      <c r="J15" s="217"/>
      <c r="K15" s="217"/>
    </row>
    <row r="16" spans="1:13" ht="11.4" hidden="1" customHeight="1">
      <c r="A16" s="165">
        <v>3</v>
      </c>
      <c r="B16" s="247" t="s">
        <v>282</v>
      </c>
      <c r="C16" s="219" t="s">
        <v>260</v>
      </c>
      <c r="D16" s="214">
        <v>0</v>
      </c>
      <c r="E16" s="214">
        <v>0</v>
      </c>
      <c r="F16" s="214">
        <f t="shared" ref="F16:F20" si="4">D16*$J$9</f>
        <v>0</v>
      </c>
      <c r="G16" s="220">
        <f t="shared" ref="G16" si="5">D16*$K$9</f>
        <v>0</v>
      </c>
      <c r="H16" s="254"/>
      <c r="I16" s="217"/>
      <c r="J16" s="217"/>
      <c r="K16" s="217"/>
    </row>
    <row r="17" spans="1:11" ht="11.4" customHeight="1">
      <c r="A17" s="165">
        <v>2</v>
      </c>
      <c r="B17" s="247" t="s">
        <v>506</v>
      </c>
      <c r="C17" s="219" t="s">
        <v>261</v>
      </c>
      <c r="D17" s="214">
        <f>759.34*10^5/10^7</f>
        <v>7.5933999999999999</v>
      </c>
      <c r="E17" s="214">
        <f>D17*I17</f>
        <v>6.83406</v>
      </c>
      <c r="F17" s="214">
        <f t="shared" ref="F17" si="6">D17*J17</f>
        <v>3.7967</v>
      </c>
      <c r="G17" s="214">
        <f>D17*K17</f>
        <v>1.51868</v>
      </c>
      <c r="H17" s="254" t="s">
        <v>532</v>
      </c>
      <c r="I17" s="359">
        <v>0.9</v>
      </c>
      <c r="J17" s="217">
        <v>0.5</v>
      </c>
      <c r="K17" s="217">
        <v>0.2</v>
      </c>
    </row>
    <row r="18" spans="1:11" ht="11.4" hidden="1" customHeight="1">
      <c r="A18" s="165">
        <v>5</v>
      </c>
      <c r="B18" s="247" t="s">
        <v>102</v>
      </c>
      <c r="C18" s="260"/>
      <c r="D18" s="214">
        <v>0</v>
      </c>
      <c r="E18" s="214">
        <v>0</v>
      </c>
      <c r="F18" s="214">
        <v>0</v>
      </c>
      <c r="G18" s="214">
        <v>0</v>
      </c>
      <c r="H18" s="254"/>
      <c r="I18" s="359"/>
      <c r="J18" s="217"/>
      <c r="K18" s="217"/>
    </row>
    <row r="19" spans="1:11" ht="11.4" customHeight="1">
      <c r="A19" s="165">
        <v>3</v>
      </c>
      <c r="B19" s="247" t="s">
        <v>507</v>
      </c>
      <c r="C19" s="219" t="s">
        <v>262</v>
      </c>
      <c r="D19" s="214">
        <f>10*10^5/10^7</f>
        <v>0.1</v>
      </c>
      <c r="E19" s="214">
        <f>D19*I19</f>
        <v>0.1</v>
      </c>
      <c r="F19" s="214">
        <f>D19*J19</f>
        <v>0.1</v>
      </c>
      <c r="G19" s="220">
        <f>D19*K19</f>
        <v>0.1</v>
      </c>
      <c r="H19" s="254" t="s">
        <v>522</v>
      </c>
      <c r="I19" s="359">
        <v>1</v>
      </c>
      <c r="J19" s="217">
        <v>1</v>
      </c>
      <c r="K19" s="217">
        <v>1</v>
      </c>
    </row>
    <row r="20" spans="1:11" ht="11.4" hidden="1" customHeight="1">
      <c r="A20" s="165">
        <v>7</v>
      </c>
      <c r="B20" s="247" t="s">
        <v>283</v>
      </c>
      <c r="C20" s="219" t="s">
        <v>263</v>
      </c>
      <c r="D20" s="218">
        <v>0</v>
      </c>
      <c r="E20" s="214">
        <v>0</v>
      </c>
      <c r="F20" s="214">
        <f t="shared" si="4"/>
        <v>0</v>
      </c>
      <c r="G20" s="220">
        <f>D20*$K$9</f>
        <v>0</v>
      </c>
      <c r="H20" s="254"/>
      <c r="I20" s="217"/>
      <c r="J20" s="217"/>
      <c r="K20" s="217"/>
    </row>
    <row r="21" spans="1:11" ht="12.6" thickBot="1">
      <c r="A21" s="202"/>
      <c r="B21" s="222" t="s">
        <v>19</v>
      </c>
      <c r="C21" s="203"/>
      <c r="D21" s="223">
        <f>SUM(D10,D15:D20)</f>
        <v>59.591300000000004</v>
      </c>
      <c r="E21" s="223">
        <f>SUM(E10,E15:E20)</f>
        <v>56.076940000000008</v>
      </c>
      <c r="F21" s="223">
        <f>SUM(F10,F15:F20)</f>
        <v>28.467090000000006</v>
      </c>
      <c r="G21" s="223">
        <f t="shared" ref="G21" si="7">SUM(G10,G15:G20)</f>
        <v>11.591680000000002</v>
      </c>
      <c r="H21" s="224"/>
    </row>
    <row r="23" spans="1:11" ht="11.4" customHeight="1">
      <c r="A23" s="249" t="s">
        <v>235</v>
      </c>
      <c r="B23" s="250"/>
      <c r="C23" s="250"/>
      <c r="D23" s="250"/>
      <c r="E23" s="250"/>
      <c r="F23" s="250"/>
      <c r="G23" s="250"/>
      <c r="H23" s="251"/>
    </row>
    <row r="24" spans="1:11" ht="150" customHeight="1">
      <c r="A24" s="923" t="s">
        <v>264</v>
      </c>
      <c r="B24" s="924"/>
      <c r="C24" s="924"/>
      <c r="D24" s="924"/>
      <c r="E24" s="924"/>
      <c r="F24" s="924"/>
      <c r="G24" s="924"/>
      <c r="H24" s="925"/>
    </row>
    <row r="25" spans="1:11">
      <c r="A25" s="180"/>
      <c r="B25" s="180"/>
      <c r="C25" s="180"/>
      <c r="D25" s="180"/>
      <c r="E25" s="180"/>
      <c r="F25" s="180"/>
      <c r="G25" s="180"/>
      <c r="H25" s="180"/>
      <c r="I25" s="174"/>
      <c r="J25" s="174"/>
      <c r="K25" s="174"/>
    </row>
    <row r="26" spans="1:11">
      <c r="A26" s="180"/>
      <c r="B26" s="180"/>
      <c r="C26" s="180"/>
      <c r="D26" s="180"/>
      <c r="E26" s="180"/>
      <c r="F26" s="180"/>
      <c r="G26" s="180"/>
      <c r="H26" s="180"/>
      <c r="I26" s="174"/>
      <c r="J26" s="174"/>
      <c r="K26" s="174"/>
    </row>
    <row r="27" spans="1:11">
      <c r="A27" s="180"/>
      <c r="B27" s="180"/>
      <c r="C27" s="180"/>
      <c r="D27" s="180"/>
      <c r="E27" s="180"/>
      <c r="F27" s="180"/>
      <c r="G27" s="180"/>
      <c r="H27" s="180"/>
      <c r="I27" s="174"/>
      <c r="J27" s="174"/>
      <c r="K27" s="174"/>
    </row>
    <row r="28" spans="1:11">
      <c r="A28" s="180"/>
      <c r="B28" s="180"/>
      <c r="C28" s="180"/>
      <c r="D28" s="180"/>
      <c r="E28" s="180"/>
      <c r="F28" s="180"/>
      <c r="G28" s="180"/>
      <c r="H28" s="180"/>
      <c r="I28" s="174"/>
      <c r="J28" s="174"/>
      <c r="K28" s="174"/>
    </row>
    <row r="29" spans="1:11">
      <c r="A29" s="180"/>
      <c r="B29" s="180"/>
      <c r="C29" s="180"/>
      <c r="D29" s="180"/>
      <c r="E29" s="180"/>
      <c r="F29" s="180"/>
      <c r="G29" s="180"/>
      <c r="H29" s="180"/>
      <c r="I29" s="174"/>
      <c r="J29" s="174"/>
      <c r="K29" s="174"/>
    </row>
    <row r="30" spans="1:11">
      <c r="A30" s="174"/>
      <c r="B30" s="174"/>
      <c r="C30" s="174"/>
      <c r="D30" s="174"/>
      <c r="E30" s="174"/>
      <c r="F30" s="174"/>
      <c r="G30" s="174"/>
      <c r="H30" s="174"/>
      <c r="I30" s="174"/>
      <c r="J30" s="174"/>
      <c r="K30" s="174"/>
    </row>
    <row r="31" spans="1:11">
      <c r="A31" s="174"/>
      <c r="B31" s="174"/>
      <c r="C31" s="174"/>
      <c r="D31" s="174"/>
      <c r="E31" s="174"/>
      <c r="F31" s="174"/>
      <c r="G31" s="174"/>
      <c r="H31" s="174"/>
      <c r="I31" s="174"/>
      <c r="J31" s="174"/>
      <c r="K31" s="174"/>
    </row>
    <row r="32" spans="1:11">
      <c r="A32" s="174"/>
      <c r="B32" s="174"/>
      <c r="C32" s="174"/>
      <c r="D32" s="174"/>
      <c r="E32" s="174"/>
      <c r="F32" s="174"/>
      <c r="G32" s="174"/>
      <c r="H32" s="174"/>
      <c r="I32" s="174"/>
      <c r="J32" s="174"/>
      <c r="K32" s="174"/>
    </row>
    <row r="33" s="174" customFormat="1"/>
    <row r="34" s="174" customFormat="1"/>
    <row r="35" s="174" customFormat="1"/>
    <row r="36" s="174" customFormat="1"/>
    <row r="37" s="174" customFormat="1"/>
    <row r="38" s="174" customFormat="1"/>
    <row r="39" s="174" customFormat="1"/>
    <row r="40" s="174" customFormat="1"/>
    <row r="41" s="174" customFormat="1"/>
    <row r="42" s="174" customFormat="1"/>
    <row r="43" s="174" customFormat="1"/>
    <row r="44" s="174" customFormat="1"/>
    <row r="45" s="174" customFormat="1"/>
    <row r="46" s="174" customFormat="1"/>
    <row r="47" s="174" customFormat="1"/>
    <row r="48" s="174" customFormat="1"/>
    <row r="49" spans="1:11">
      <c r="A49" s="174"/>
      <c r="B49" s="174"/>
      <c r="C49" s="174"/>
      <c r="D49" s="174"/>
      <c r="E49" s="174"/>
      <c r="F49" s="174"/>
      <c r="G49" s="174"/>
      <c r="H49" s="174"/>
      <c r="I49" s="174"/>
      <c r="J49" s="174"/>
      <c r="K49" s="174"/>
    </row>
    <row r="50" spans="1:11">
      <c r="A50" s="174"/>
      <c r="B50" s="174"/>
      <c r="C50" s="174"/>
      <c r="D50" s="174"/>
      <c r="E50" s="174"/>
      <c r="F50" s="174"/>
      <c r="G50" s="174"/>
      <c r="H50" s="174"/>
    </row>
  </sheetData>
  <mergeCells count="4">
    <mergeCell ref="A4:H4"/>
    <mergeCell ref="A24:H24"/>
    <mergeCell ref="A1:H1"/>
    <mergeCell ref="A2:H2"/>
  </mergeCells>
  <dataValidations count="3">
    <dataValidation type="list" allowBlank="1" showInputMessage="1" showErrorMessage="1" sqref="B23:C23 D30:D97 D22" xr:uid="{00000000-0002-0000-1700-000000000000}">
      <formula1>"Loan. Advance"</formula1>
    </dataValidation>
    <dataValidation type="list" allowBlank="1" showInputMessage="1" showErrorMessage="1" sqref="I21:I96" xr:uid="{00000000-0002-0000-1700-000001000000}">
      <formula1>"On follow up party says it will be realised soon, Dispute in offered services, Dispute in Invoicing, Pending without reason, Unfairly held up by the party "</formula1>
    </dataValidation>
    <dataValidation type="list" allowBlank="1" showInputMessage="1" showErrorMessage="1" sqref="J21:K96" xr:uid="{00000000-0002-0000-1700-000002000000}">
      <formula1>"Good, Defunct, Goods against advance already delivered"</formula1>
    </dataValidation>
  </dataValidations>
  <pageMargins left="0.34" right="0.27" top="0.75" bottom="0.75" header="0.3" footer="0.3"/>
  <pageSetup paperSize="9" scale="85" fitToHeight="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AD59"/>
  <sheetViews>
    <sheetView workbookViewId="0">
      <selection activeCell="Y5" sqref="Y5"/>
    </sheetView>
  </sheetViews>
  <sheetFormatPr defaultRowHeight="14.4"/>
  <cols>
    <col min="2" max="2" width="13.5546875" bestFit="1" customWidth="1"/>
    <col min="3" max="3" width="18.88671875" customWidth="1"/>
    <col min="4" max="4" width="21.6640625" customWidth="1"/>
    <col min="5" max="5" width="13.6640625" customWidth="1"/>
    <col min="6" max="7" width="8.88671875" customWidth="1"/>
    <col min="8" max="8" width="15.88671875" customWidth="1"/>
    <col min="9" max="9" width="25.33203125" customWidth="1"/>
    <col min="10" max="20" width="0" hidden="1" customWidth="1"/>
    <col min="24" max="24" width="17.5546875" customWidth="1"/>
    <col min="25" max="25" width="15.33203125" customWidth="1"/>
    <col min="26" max="26" width="15.109375" hidden="1" customWidth="1"/>
    <col min="27" max="27" width="16.33203125" customWidth="1"/>
    <col min="28" max="28" width="15.6640625" customWidth="1"/>
  </cols>
  <sheetData>
    <row r="2" spans="2:30" ht="15" thickBot="1">
      <c r="B2" s="55"/>
      <c r="C2" s="56"/>
      <c r="D2" s="56"/>
      <c r="E2" s="56"/>
      <c r="F2" s="56"/>
      <c r="G2" s="56"/>
      <c r="H2" s="56"/>
      <c r="I2" s="56"/>
      <c r="J2" s="56"/>
      <c r="K2" s="56"/>
      <c r="L2" s="56"/>
      <c r="M2" s="56"/>
      <c r="N2" s="56"/>
      <c r="O2" s="56"/>
      <c r="P2" s="56"/>
      <c r="Q2" s="56"/>
      <c r="R2" s="56"/>
      <c r="S2" s="56"/>
      <c r="T2" s="56"/>
    </row>
    <row r="3" spans="2:30" s="56" customFormat="1" ht="49.2" customHeight="1" thickBot="1">
      <c r="B3" s="76" t="s">
        <v>103</v>
      </c>
      <c r="C3" s="76" t="s">
        <v>104</v>
      </c>
      <c r="D3" s="76" t="s">
        <v>105</v>
      </c>
      <c r="E3" s="76" t="s">
        <v>106</v>
      </c>
      <c r="F3" s="76" t="s">
        <v>107</v>
      </c>
      <c r="G3" s="76" t="s">
        <v>108</v>
      </c>
      <c r="H3" s="76" t="s">
        <v>109</v>
      </c>
      <c r="I3" s="76" t="s">
        <v>152</v>
      </c>
      <c r="J3" s="58" t="s">
        <v>110</v>
      </c>
      <c r="K3" s="58"/>
      <c r="L3" s="58"/>
      <c r="M3" s="59"/>
      <c r="N3" s="50" t="s">
        <v>111</v>
      </c>
      <c r="O3" s="50" t="s">
        <v>112</v>
      </c>
      <c r="P3" s="57" t="s">
        <v>113</v>
      </c>
      <c r="Q3" s="59"/>
      <c r="R3" s="57" t="s">
        <v>114</v>
      </c>
      <c r="S3" s="59"/>
      <c r="T3" s="51" t="s">
        <v>115</v>
      </c>
      <c r="W3" s="926"/>
      <c r="X3" s="926"/>
      <c r="Y3" s="926"/>
      <c r="Z3" s="926"/>
      <c r="AA3" s="926"/>
      <c r="AB3" s="926"/>
    </row>
    <row r="4" spans="2:30" ht="31.95" customHeight="1" thickBot="1">
      <c r="B4" s="64" t="s">
        <v>116</v>
      </c>
      <c r="C4" s="64" t="s">
        <v>117</v>
      </c>
      <c r="D4" s="64" t="s">
        <v>118</v>
      </c>
      <c r="E4" s="64" t="s">
        <v>119</v>
      </c>
      <c r="F4" s="64" t="s">
        <v>120</v>
      </c>
      <c r="G4" s="64" t="s">
        <v>121</v>
      </c>
      <c r="H4" s="64" t="s">
        <v>122</v>
      </c>
      <c r="I4" s="64" t="s">
        <v>123</v>
      </c>
      <c r="J4" s="61" t="s">
        <v>124</v>
      </c>
      <c r="K4" s="61"/>
      <c r="L4" s="61"/>
      <c r="M4" s="62"/>
      <c r="N4" s="47" t="s">
        <v>125</v>
      </c>
      <c r="O4" s="47" t="s">
        <v>126</v>
      </c>
      <c r="P4" s="60" t="s">
        <v>127</v>
      </c>
      <c r="Q4" s="62"/>
      <c r="R4" s="60" t="s">
        <v>128</v>
      </c>
      <c r="S4" s="62"/>
      <c r="T4" s="52" t="s">
        <v>129</v>
      </c>
      <c r="W4" s="3" t="s">
        <v>165</v>
      </c>
      <c r="X4" s="3"/>
      <c r="Y4" s="3"/>
      <c r="Z4" s="3"/>
      <c r="AA4" s="3"/>
    </row>
    <row r="5" spans="2:30" ht="40.950000000000003" customHeight="1" thickBot="1">
      <c r="B5" s="64"/>
      <c r="C5" s="64"/>
      <c r="D5" s="64"/>
      <c r="E5" s="64"/>
      <c r="F5" s="64"/>
      <c r="G5" s="64"/>
      <c r="H5" s="64"/>
      <c r="I5" s="64"/>
      <c r="J5" s="61" t="s">
        <v>130</v>
      </c>
      <c r="K5" s="61"/>
      <c r="L5" s="62"/>
      <c r="M5" s="47" t="s">
        <v>131</v>
      </c>
      <c r="N5" s="47"/>
      <c r="O5" s="47"/>
      <c r="P5" s="47" t="s">
        <v>132</v>
      </c>
      <c r="Q5" s="47" t="s">
        <v>133</v>
      </c>
      <c r="R5" s="47" t="s">
        <v>132</v>
      </c>
      <c r="S5" s="47" t="s">
        <v>133</v>
      </c>
      <c r="T5" s="52"/>
      <c r="W5" t="s">
        <v>166</v>
      </c>
      <c r="X5" t="s">
        <v>167</v>
      </c>
      <c r="Y5" t="s">
        <v>173</v>
      </c>
      <c r="Z5" t="s">
        <v>206</v>
      </c>
      <c r="AA5" t="s">
        <v>174</v>
      </c>
      <c r="AB5" t="s">
        <v>175</v>
      </c>
    </row>
    <row r="6" spans="2:30" ht="31.2" customHeight="1">
      <c r="B6" s="64"/>
      <c r="C6" s="64"/>
      <c r="D6" s="64"/>
      <c r="E6" s="64"/>
      <c r="F6" s="64"/>
      <c r="G6" s="64"/>
      <c r="H6" s="64"/>
      <c r="I6" s="64"/>
      <c r="J6" s="63" t="s">
        <v>134</v>
      </c>
      <c r="K6" s="47" t="s">
        <v>135</v>
      </c>
      <c r="L6" s="47" t="s">
        <v>17</v>
      </c>
      <c r="M6" s="47"/>
      <c r="N6" s="47"/>
      <c r="O6" s="47"/>
      <c r="P6" s="47" t="s">
        <v>136</v>
      </c>
      <c r="Q6" s="47" t="s">
        <v>137</v>
      </c>
      <c r="R6" s="47" t="s">
        <v>136</v>
      </c>
      <c r="S6" s="47" t="s">
        <v>137</v>
      </c>
      <c r="T6" s="52"/>
      <c r="W6">
        <v>1</v>
      </c>
      <c r="X6" t="s">
        <v>168</v>
      </c>
      <c r="Y6">
        <v>23757076900.37986</v>
      </c>
      <c r="AA6">
        <v>30025518715.68935</v>
      </c>
      <c r="AB6">
        <v>14852772103.251511</v>
      </c>
    </row>
    <row r="7" spans="2:30" ht="29.4" thickBot="1">
      <c r="B7" s="75" t="s">
        <v>136</v>
      </c>
      <c r="C7" s="65" t="s">
        <v>138</v>
      </c>
      <c r="D7" s="67">
        <v>5</v>
      </c>
      <c r="E7" s="67" t="s">
        <v>139</v>
      </c>
      <c r="F7" s="67" t="s">
        <v>140</v>
      </c>
      <c r="G7" s="67" t="s">
        <v>140</v>
      </c>
      <c r="H7" s="67" t="s">
        <v>139</v>
      </c>
      <c r="I7" s="69">
        <v>0.57130000000000003</v>
      </c>
      <c r="J7" s="48" t="s">
        <v>139</v>
      </c>
      <c r="K7" s="48" t="s">
        <v>140</v>
      </c>
      <c r="L7" s="48" t="s">
        <v>139</v>
      </c>
      <c r="M7" s="48">
        <v>57.13</v>
      </c>
      <c r="N7" s="48" t="s">
        <v>140</v>
      </c>
      <c r="O7" s="48">
        <v>57.13</v>
      </c>
      <c r="P7" s="48" t="s">
        <v>140</v>
      </c>
      <c r="Q7" s="48" t="s">
        <v>140</v>
      </c>
      <c r="R7" s="48" t="s">
        <v>141</v>
      </c>
      <c r="S7" s="48">
        <v>86.65</v>
      </c>
      <c r="T7" s="53" t="s">
        <v>139</v>
      </c>
      <c r="W7">
        <v>2</v>
      </c>
      <c r="X7" t="s">
        <v>169</v>
      </c>
      <c r="Y7">
        <v>30244836.299999963</v>
      </c>
      <c r="AA7">
        <v>46917335.896499425</v>
      </c>
      <c r="AB7">
        <v>4793673.272760232</v>
      </c>
      <c r="AD7" s="4">
        <f>AB7/10^7</f>
        <v>0.47936732727602321</v>
      </c>
    </row>
    <row r="8" spans="2:30" ht="29.4" thickBot="1">
      <c r="B8" s="75" t="s">
        <v>137</v>
      </c>
      <c r="C8" s="66" t="s">
        <v>142</v>
      </c>
      <c r="D8" s="68" t="s">
        <v>143</v>
      </c>
      <c r="E8" s="68" t="s">
        <v>144</v>
      </c>
      <c r="F8" s="68" t="s">
        <v>140</v>
      </c>
      <c r="G8" s="68" t="s">
        <v>140</v>
      </c>
      <c r="H8" s="68" t="s">
        <v>144</v>
      </c>
      <c r="I8" s="70">
        <v>0.42870000000000003</v>
      </c>
      <c r="J8" s="49" t="s">
        <v>144</v>
      </c>
      <c r="K8" s="49" t="s">
        <v>140</v>
      </c>
      <c r="L8" s="49" t="s">
        <v>144</v>
      </c>
      <c r="M8" s="49">
        <v>42.87</v>
      </c>
      <c r="N8" s="49" t="s">
        <v>140</v>
      </c>
      <c r="O8" s="49">
        <v>42.87</v>
      </c>
      <c r="P8" s="49" t="s">
        <v>140</v>
      </c>
      <c r="Q8" s="49" t="s">
        <v>140</v>
      </c>
      <c r="R8" s="49" t="s">
        <v>140</v>
      </c>
      <c r="S8" s="49" t="s">
        <v>140</v>
      </c>
      <c r="T8" s="54" t="s">
        <v>145</v>
      </c>
      <c r="W8">
        <v>3</v>
      </c>
      <c r="X8" t="s">
        <v>170</v>
      </c>
      <c r="Y8">
        <v>34940429.110000186</v>
      </c>
      <c r="AA8">
        <v>32682552.967274804</v>
      </c>
      <c r="AB8">
        <v>4885810.0508841248</v>
      </c>
    </row>
    <row r="9" spans="2:30" ht="29.4" thickBot="1">
      <c r="B9" s="75" t="s">
        <v>153</v>
      </c>
      <c r="C9" s="65" t="s">
        <v>146</v>
      </c>
      <c r="D9" s="67">
        <v>0</v>
      </c>
      <c r="E9" s="67" t="s">
        <v>140</v>
      </c>
      <c r="F9" s="67" t="s">
        <v>140</v>
      </c>
      <c r="G9" s="67" t="s">
        <v>140</v>
      </c>
      <c r="H9" s="67">
        <v>0</v>
      </c>
      <c r="I9" s="71">
        <v>0</v>
      </c>
      <c r="J9" s="48" t="s">
        <v>140</v>
      </c>
      <c r="K9" s="48" t="s">
        <v>140</v>
      </c>
      <c r="L9" s="48" t="s">
        <v>140</v>
      </c>
      <c r="M9" s="48" t="s">
        <v>140</v>
      </c>
      <c r="N9" s="48" t="s">
        <v>140</v>
      </c>
      <c r="O9" s="48" t="s">
        <v>140</v>
      </c>
      <c r="P9" s="48" t="s">
        <v>140</v>
      </c>
      <c r="Q9" s="48" t="s">
        <v>140</v>
      </c>
      <c r="R9" s="48" t="s">
        <v>140</v>
      </c>
      <c r="S9" s="48" t="s">
        <v>140</v>
      </c>
      <c r="T9" s="53" t="s">
        <v>140</v>
      </c>
      <c r="W9">
        <v>4</v>
      </c>
      <c r="X9" t="s">
        <v>171</v>
      </c>
      <c r="Y9">
        <v>88595995.539999485</v>
      </c>
      <c r="AA9">
        <v>29722656.541275993</v>
      </c>
      <c r="AB9">
        <v>21781744.297849663</v>
      </c>
    </row>
    <row r="10" spans="2:30" ht="30" customHeight="1" thickBot="1">
      <c r="B10" s="75" t="s">
        <v>154</v>
      </c>
      <c r="C10" s="66" t="s">
        <v>147</v>
      </c>
      <c r="D10" s="68">
        <v>0</v>
      </c>
      <c r="E10" s="68" t="s">
        <v>140</v>
      </c>
      <c r="F10" s="68" t="s">
        <v>140</v>
      </c>
      <c r="G10" s="68" t="s">
        <v>140</v>
      </c>
      <c r="H10" s="68">
        <v>0</v>
      </c>
      <c r="I10" s="71">
        <v>0</v>
      </c>
      <c r="J10" s="49" t="s">
        <v>140</v>
      </c>
      <c r="K10" s="49" t="s">
        <v>140</v>
      </c>
      <c r="L10" s="49" t="s">
        <v>140</v>
      </c>
      <c r="M10" s="49" t="s">
        <v>140</v>
      </c>
      <c r="N10" s="49" t="s">
        <v>140</v>
      </c>
      <c r="O10" s="49" t="s">
        <v>140</v>
      </c>
      <c r="P10" s="49" t="s">
        <v>140</v>
      </c>
      <c r="Q10" s="49" t="s">
        <v>140</v>
      </c>
      <c r="R10" s="49" t="s">
        <v>140</v>
      </c>
      <c r="S10" s="49" t="s">
        <v>140</v>
      </c>
      <c r="T10" s="54" t="s">
        <v>140</v>
      </c>
      <c r="W10">
        <v>5</v>
      </c>
      <c r="X10" t="s">
        <v>31</v>
      </c>
      <c r="Y10">
        <v>14883290.939999999</v>
      </c>
      <c r="AA10">
        <v>18815738.576473266</v>
      </c>
      <c r="AB10">
        <v>1744425.5440153177</v>
      </c>
    </row>
    <row r="11" spans="2:30" ht="29.4" thickBot="1">
      <c r="B11" s="75" t="s">
        <v>155</v>
      </c>
      <c r="C11" s="65" t="s">
        <v>148</v>
      </c>
      <c r="D11" s="67">
        <v>0</v>
      </c>
      <c r="E11" s="67" t="s">
        <v>140</v>
      </c>
      <c r="F11" s="67" t="s">
        <v>140</v>
      </c>
      <c r="G11" s="67" t="s">
        <v>140</v>
      </c>
      <c r="H11" s="67">
        <v>0</v>
      </c>
      <c r="I11" s="71">
        <v>0</v>
      </c>
      <c r="J11" s="48" t="s">
        <v>140</v>
      </c>
      <c r="K11" s="48" t="s">
        <v>140</v>
      </c>
      <c r="L11" s="48" t="s">
        <v>140</v>
      </c>
      <c r="M11" s="48" t="s">
        <v>140</v>
      </c>
      <c r="N11" s="48" t="s">
        <v>140</v>
      </c>
      <c r="O11" s="48" t="s">
        <v>140</v>
      </c>
      <c r="P11" s="48" t="s">
        <v>140</v>
      </c>
      <c r="Q11" s="48" t="s">
        <v>140</v>
      </c>
      <c r="R11" s="48" t="s">
        <v>140</v>
      </c>
      <c r="S11" s="48" t="s">
        <v>140</v>
      </c>
      <c r="T11" s="53" t="s">
        <v>140</v>
      </c>
      <c r="W11">
        <v>6</v>
      </c>
      <c r="X11" t="s">
        <v>172</v>
      </c>
      <c r="Y11">
        <v>135262179.69999999</v>
      </c>
      <c r="AA11">
        <v>145558358.95278639</v>
      </c>
      <c r="AB11">
        <v>21833753.842917956</v>
      </c>
    </row>
    <row r="12" spans="2:30" ht="29.4" thickBot="1">
      <c r="B12" s="72"/>
      <c r="C12" s="72" t="s">
        <v>19</v>
      </c>
      <c r="D12" s="73" t="s">
        <v>149</v>
      </c>
      <c r="E12" s="73" t="s">
        <v>150</v>
      </c>
      <c r="F12" s="73" t="s">
        <v>140</v>
      </c>
      <c r="G12" s="73" t="s">
        <v>140</v>
      </c>
      <c r="H12" s="73" t="s">
        <v>150</v>
      </c>
      <c r="I12" s="74">
        <v>1</v>
      </c>
      <c r="J12" s="49" t="s">
        <v>150</v>
      </c>
      <c r="K12" s="49" t="s">
        <v>140</v>
      </c>
      <c r="L12" s="49" t="s">
        <v>150</v>
      </c>
      <c r="M12" s="49">
        <v>100</v>
      </c>
      <c r="N12" s="49" t="s">
        <v>140</v>
      </c>
      <c r="O12" s="49">
        <v>100</v>
      </c>
      <c r="P12" s="49" t="s">
        <v>140</v>
      </c>
      <c r="Q12" s="49" t="s">
        <v>140</v>
      </c>
      <c r="R12" s="49" t="s">
        <v>141</v>
      </c>
      <c r="S12" s="49">
        <v>49.51</v>
      </c>
      <c r="T12" s="54" t="s">
        <v>151</v>
      </c>
    </row>
    <row r="16" spans="2:30">
      <c r="B16" s="21"/>
      <c r="C16" s="21"/>
      <c r="D16" s="21"/>
    </row>
    <row r="17" spans="2:25">
      <c r="B17" s="77" t="s">
        <v>156</v>
      </c>
      <c r="C17" s="77" t="s">
        <v>157</v>
      </c>
      <c r="D17" s="77" t="s">
        <v>158</v>
      </c>
      <c r="X17" s="7" t="s">
        <v>34</v>
      </c>
    </row>
    <row r="18" spans="2:25">
      <c r="B18" s="78" t="s">
        <v>159</v>
      </c>
      <c r="C18" s="78" t="s">
        <v>160</v>
      </c>
      <c r="D18" s="79">
        <v>13984961304</v>
      </c>
      <c r="X18" s="7" t="s">
        <v>27</v>
      </c>
    </row>
    <row r="19" spans="2:25">
      <c r="B19" s="78" t="s">
        <v>161</v>
      </c>
      <c r="C19" s="78" t="s">
        <v>162</v>
      </c>
      <c r="D19" s="79">
        <v>83251773</v>
      </c>
      <c r="X19" s="80" t="s">
        <v>28</v>
      </c>
    </row>
    <row r="20" spans="2:25">
      <c r="B20" s="78" t="s">
        <v>163</v>
      </c>
      <c r="C20" s="78" t="s">
        <v>162</v>
      </c>
      <c r="D20" s="79">
        <v>25207352</v>
      </c>
      <c r="X20" s="80" t="s">
        <v>29</v>
      </c>
    </row>
    <row r="21" spans="2:25">
      <c r="B21" s="78" t="s">
        <v>164</v>
      </c>
      <c r="C21" s="78" t="s">
        <v>162</v>
      </c>
      <c r="D21" s="79">
        <v>128131053</v>
      </c>
      <c r="X21" s="80" t="s">
        <v>30</v>
      </c>
    </row>
    <row r="22" spans="2:25">
      <c r="B22" s="21"/>
      <c r="C22" s="21"/>
      <c r="D22" s="21"/>
      <c r="X22" s="80" t="s">
        <v>31</v>
      </c>
    </row>
    <row r="23" spans="2:25">
      <c r="X23" s="7" t="s">
        <v>32</v>
      </c>
    </row>
    <row r="24" spans="2:25">
      <c r="X24" s="80" t="s">
        <v>33</v>
      </c>
    </row>
    <row r="28" spans="2:25">
      <c r="B28" s="927" t="s">
        <v>176</v>
      </c>
      <c r="C28" s="927" t="s">
        <v>177</v>
      </c>
      <c r="D28" s="89" t="s">
        <v>178</v>
      </c>
      <c r="E28" s="89" t="s">
        <v>179</v>
      </c>
      <c r="G28" s="33"/>
      <c r="I28" s="109"/>
      <c r="J28" s="109"/>
    </row>
    <row r="29" spans="2:25" ht="26.4">
      <c r="B29" s="927"/>
      <c r="C29" s="927"/>
      <c r="D29" s="90" t="s">
        <v>180</v>
      </c>
      <c r="E29" s="90" t="s">
        <v>180</v>
      </c>
      <c r="G29" s="81"/>
      <c r="I29" s="81"/>
      <c r="J29" s="110"/>
    </row>
    <row r="30" spans="2:25">
      <c r="B30" s="91" t="s">
        <v>181</v>
      </c>
      <c r="C30" s="92" t="s">
        <v>182</v>
      </c>
      <c r="D30" s="93"/>
      <c r="E30" s="93"/>
      <c r="G30" s="82"/>
      <c r="I30" s="82"/>
      <c r="J30" s="82"/>
      <c r="X30" s="109"/>
      <c r="Y30" s="109"/>
    </row>
    <row r="31" spans="2:25" ht="40.200000000000003">
      <c r="B31" s="91"/>
      <c r="C31" s="94" t="s">
        <v>183</v>
      </c>
      <c r="D31" s="93"/>
      <c r="E31" s="93"/>
      <c r="G31" s="82"/>
      <c r="I31" s="82"/>
      <c r="J31" s="82"/>
      <c r="X31" s="81"/>
      <c r="Y31" s="110"/>
    </row>
    <row r="32" spans="2:25">
      <c r="B32" s="95">
        <v>1</v>
      </c>
      <c r="C32" s="96" t="s">
        <v>184</v>
      </c>
      <c r="D32" s="97">
        <v>0</v>
      </c>
      <c r="E32" s="97">
        <v>21800</v>
      </c>
      <c r="G32" s="83"/>
      <c r="I32" s="83"/>
      <c r="J32" s="88"/>
      <c r="X32" s="82"/>
      <c r="Y32" s="82"/>
    </row>
    <row r="33" spans="2:25">
      <c r="B33" s="95">
        <v>2</v>
      </c>
      <c r="C33" s="96" t="s">
        <v>185</v>
      </c>
      <c r="D33" s="97"/>
      <c r="E33" s="97">
        <v>16648.240000000002</v>
      </c>
      <c r="G33" s="84"/>
      <c r="I33" s="84"/>
      <c r="J33" s="84"/>
      <c r="X33" s="82"/>
      <c r="Y33" s="82"/>
    </row>
    <row r="34" spans="2:25">
      <c r="B34" s="95">
        <v>3</v>
      </c>
      <c r="C34" s="96" t="s">
        <v>186</v>
      </c>
      <c r="D34" s="97"/>
      <c r="E34" s="97">
        <v>5460</v>
      </c>
      <c r="G34" s="84"/>
      <c r="I34" s="84"/>
      <c r="J34" s="84"/>
      <c r="X34" s="83"/>
      <c r="Y34" s="88"/>
    </row>
    <row r="35" spans="2:25">
      <c r="B35" s="95">
        <v>4</v>
      </c>
      <c r="C35" s="96" t="s">
        <v>187</v>
      </c>
      <c r="D35" s="97"/>
      <c r="E35" s="97">
        <v>1007.5</v>
      </c>
      <c r="G35" s="85"/>
      <c r="I35" s="85"/>
      <c r="J35" s="84"/>
      <c r="X35" s="84"/>
      <c r="Y35" s="84"/>
    </row>
    <row r="36" spans="2:25">
      <c r="B36" s="95"/>
      <c r="C36" s="86" t="s">
        <v>188</v>
      </c>
      <c r="D36" s="97">
        <f>SUM(D32:D35)</f>
        <v>0</v>
      </c>
      <c r="E36" s="87">
        <f>SUM(E32:E35)</f>
        <v>44915.740000000005</v>
      </c>
      <c r="G36" s="85"/>
      <c r="I36" s="111"/>
      <c r="J36" s="111"/>
      <c r="X36" s="84"/>
      <c r="Y36" s="84"/>
    </row>
    <row r="37" spans="2:25" ht="27">
      <c r="B37" s="95">
        <v>5</v>
      </c>
      <c r="C37" s="98" t="s">
        <v>189</v>
      </c>
      <c r="D37" s="97"/>
      <c r="E37" s="97">
        <f>29294.04+8.31</f>
        <v>29302.350000000002</v>
      </c>
      <c r="G37" s="85"/>
      <c r="I37" s="88"/>
      <c r="J37" s="88"/>
      <c r="X37" s="85"/>
      <c r="Y37" s="84"/>
    </row>
    <row r="38" spans="2:25">
      <c r="B38" s="95"/>
      <c r="C38" s="86" t="s">
        <v>190</v>
      </c>
      <c r="D38" s="87">
        <f>+D36+D37</f>
        <v>0</v>
      </c>
      <c r="E38" s="87">
        <f>+E36+E37</f>
        <v>74218.090000000011</v>
      </c>
      <c r="G38" s="85"/>
      <c r="I38" s="111"/>
      <c r="J38" s="111"/>
      <c r="X38" s="88"/>
      <c r="Y38" s="88"/>
    </row>
    <row r="39" spans="2:25" ht="40.200000000000003">
      <c r="B39" s="95"/>
      <c r="C39" s="94" t="s">
        <v>191</v>
      </c>
      <c r="D39" s="97"/>
      <c r="E39" s="97"/>
      <c r="G39" s="85"/>
      <c r="I39" s="88"/>
      <c r="J39" s="88"/>
      <c r="X39" s="88"/>
      <c r="Y39" s="88"/>
    </row>
    <row r="40" spans="2:25" ht="40.200000000000003">
      <c r="B40" s="95">
        <v>6</v>
      </c>
      <c r="C40" s="99" t="s">
        <v>192</v>
      </c>
      <c r="D40" s="97"/>
      <c r="E40" s="97">
        <v>2398.2399999999998</v>
      </c>
      <c r="G40" s="85"/>
      <c r="I40" s="85"/>
      <c r="J40" s="84"/>
      <c r="X40" s="111"/>
      <c r="Y40" s="111"/>
    </row>
    <row r="41" spans="2:25" ht="27">
      <c r="B41" s="95">
        <v>7</v>
      </c>
      <c r="C41" s="99" t="s">
        <v>189</v>
      </c>
      <c r="D41" s="97"/>
      <c r="E41" s="97">
        <v>1987.41</v>
      </c>
      <c r="G41" s="85"/>
      <c r="I41" s="88"/>
      <c r="J41" s="88"/>
      <c r="X41" s="88"/>
      <c r="Y41" s="88"/>
    </row>
    <row r="42" spans="2:25">
      <c r="B42" s="95"/>
      <c r="C42" s="86" t="s">
        <v>193</v>
      </c>
      <c r="D42" s="87">
        <f>+D40+D41</f>
        <v>0</v>
      </c>
      <c r="E42" s="87">
        <f>+E40+E41</f>
        <v>4385.6499999999996</v>
      </c>
      <c r="G42" s="85"/>
      <c r="I42" s="111"/>
      <c r="J42" s="111"/>
      <c r="X42" s="85"/>
      <c r="Y42" s="84"/>
    </row>
    <row r="43" spans="2:25" ht="27">
      <c r="B43" s="95"/>
      <c r="C43" s="94" t="s">
        <v>194</v>
      </c>
      <c r="D43" s="97"/>
      <c r="E43" s="97"/>
      <c r="G43" s="85"/>
      <c r="I43" s="88"/>
      <c r="J43" s="88"/>
      <c r="X43" s="88"/>
      <c r="Y43" s="88"/>
    </row>
    <row r="44" spans="2:25" ht="27">
      <c r="B44" s="95">
        <v>8</v>
      </c>
      <c r="C44" s="99" t="s">
        <v>195</v>
      </c>
      <c r="D44" s="97">
        <v>5.58</v>
      </c>
      <c r="E44" s="100">
        <f>441.87-139.18</f>
        <v>302.69</v>
      </c>
      <c r="G44" s="88"/>
      <c r="I44" s="85"/>
      <c r="J44" s="84"/>
      <c r="X44" s="111"/>
      <c r="Y44" s="111"/>
    </row>
    <row r="45" spans="2:25" ht="27">
      <c r="B45" s="95">
        <v>9</v>
      </c>
      <c r="C45" s="99" t="s">
        <v>189</v>
      </c>
      <c r="D45" s="97"/>
      <c r="E45" s="97">
        <v>139.18</v>
      </c>
      <c r="G45" s="88"/>
      <c r="I45" s="88"/>
      <c r="J45" s="88"/>
      <c r="X45" s="88"/>
      <c r="Y45" s="88"/>
    </row>
    <row r="46" spans="2:25">
      <c r="B46" s="95"/>
      <c r="C46" s="86" t="s">
        <v>196</v>
      </c>
      <c r="D46" s="87">
        <f>SUM(D44:D45)</f>
        <v>5.58</v>
      </c>
      <c r="E46" s="87">
        <f>SUM(E44:E45)</f>
        <v>441.87</v>
      </c>
      <c r="G46" s="85"/>
      <c r="I46" s="111"/>
      <c r="J46" s="111"/>
      <c r="X46" s="88"/>
      <c r="Y46" s="84"/>
    </row>
    <row r="47" spans="2:25">
      <c r="B47" s="95"/>
      <c r="C47" s="101"/>
      <c r="D47" s="97"/>
      <c r="E47" s="97"/>
      <c r="G47" s="85"/>
      <c r="I47" s="85"/>
      <c r="J47" s="84"/>
      <c r="X47" s="88"/>
      <c r="Y47" s="84"/>
    </row>
    <row r="48" spans="2:25" ht="40.200000000000003">
      <c r="B48" s="95"/>
      <c r="C48" s="94" t="s">
        <v>197</v>
      </c>
      <c r="D48" s="97"/>
      <c r="E48" s="97"/>
      <c r="G48" s="85"/>
      <c r="I48" s="85"/>
      <c r="J48" s="84"/>
      <c r="X48" s="111"/>
      <c r="Y48" s="111"/>
    </row>
    <row r="49" spans="2:25">
      <c r="B49" s="95">
        <v>10</v>
      </c>
      <c r="C49" s="102" t="s">
        <v>198</v>
      </c>
      <c r="D49" s="100"/>
      <c r="E49" s="100">
        <v>123933.14046449999</v>
      </c>
      <c r="G49" s="84"/>
      <c r="I49" s="85"/>
      <c r="J49" s="84"/>
      <c r="X49" s="85"/>
      <c r="Y49" s="84"/>
    </row>
    <row r="50" spans="2:25">
      <c r="B50" s="95">
        <v>11</v>
      </c>
      <c r="C50" s="102" t="s">
        <v>199</v>
      </c>
      <c r="D50" s="97"/>
      <c r="E50" s="97">
        <v>6985.6380027999994</v>
      </c>
      <c r="G50" s="84"/>
      <c r="I50" s="88"/>
      <c r="J50" s="88"/>
      <c r="X50" s="85"/>
      <c r="Y50" s="84"/>
    </row>
    <row r="51" spans="2:25">
      <c r="B51" s="95"/>
      <c r="C51" s="102"/>
      <c r="D51" s="97"/>
      <c r="E51" s="97">
        <f>+E49+E50</f>
        <v>130918.77846729998</v>
      </c>
      <c r="G51" s="84"/>
      <c r="I51" s="88"/>
      <c r="J51" s="88"/>
      <c r="X51" s="85"/>
      <c r="Y51" s="84"/>
    </row>
    <row r="52" spans="2:25" ht="27">
      <c r="B52" s="95">
        <v>12</v>
      </c>
      <c r="C52" s="99" t="s">
        <v>189</v>
      </c>
      <c r="D52" s="100"/>
      <c r="E52" s="100">
        <v>42552.330026339405</v>
      </c>
      <c r="G52" s="84"/>
      <c r="I52" s="85"/>
      <c r="J52" s="84"/>
      <c r="X52" s="88"/>
      <c r="Y52" s="88"/>
    </row>
    <row r="53" spans="2:25">
      <c r="B53" s="95"/>
      <c r="C53" s="86" t="s">
        <v>200</v>
      </c>
      <c r="D53" s="87">
        <f>SUM(D49:D52)</f>
        <v>0</v>
      </c>
      <c r="E53" s="87">
        <f>+E51+E52</f>
        <v>173471.10849363939</v>
      </c>
      <c r="G53" s="84"/>
      <c r="I53" s="111"/>
      <c r="J53" s="111"/>
      <c r="X53" s="88"/>
      <c r="Y53" s="88"/>
    </row>
    <row r="54" spans="2:25">
      <c r="B54" s="91" t="s">
        <v>201</v>
      </c>
      <c r="C54" s="92" t="s">
        <v>202</v>
      </c>
      <c r="D54" s="103"/>
      <c r="E54" s="103"/>
      <c r="G54" s="84"/>
      <c r="I54" s="84"/>
      <c r="J54" s="84"/>
      <c r="X54" s="85"/>
      <c r="Y54" s="84"/>
    </row>
    <row r="55" spans="2:25" ht="43.2">
      <c r="B55" s="95">
        <v>13</v>
      </c>
      <c r="C55" s="104" t="s">
        <v>203</v>
      </c>
      <c r="D55" s="105">
        <v>2177.9499999999998</v>
      </c>
      <c r="E55" s="105">
        <v>1352.48</v>
      </c>
      <c r="G55" s="84"/>
      <c r="I55" s="84"/>
      <c r="J55" s="112"/>
      <c r="X55" s="111"/>
      <c r="Y55" s="111"/>
    </row>
    <row r="56" spans="2:25">
      <c r="B56" s="95"/>
      <c r="C56" s="102"/>
      <c r="D56" s="103"/>
      <c r="E56" s="103"/>
      <c r="G56" s="84"/>
      <c r="I56" s="84"/>
      <c r="J56" s="84"/>
      <c r="X56" s="84"/>
      <c r="Y56" s="84"/>
    </row>
    <row r="57" spans="2:25">
      <c r="B57" s="106"/>
      <c r="C57" s="107" t="s">
        <v>204</v>
      </c>
      <c r="D57" s="108">
        <f>+D53+D46+D42+D38+D55</f>
        <v>2183.5299999999997</v>
      </c>
      <c r="E57" s="108">
        <f>+E53+E46+E42+E38+E55</f>
        <v>253869.19849363939</v>
      </c>
      <c r="G57" s="84"/>
      <c r="I57" s="111"/>
      <c r="J57" s="111"/>
      <c r="X57" s="84"/>
      <c r="Y57" s="112"/>
    </row>
    <row r="58" spans="2:25">
      <c r="X58" s="84"/>
      <c r="Y58" s="84"/>
    </row>
    <row r="59" spans="2:25">
      <c r="X59" s="111"/>
      <c r="Y59" s="111"/>
    </row>
  </sheetData>
  <mergeCells count="3">
    <mergeCell ref="W3:AB3"/>
    <mergeCell ref="B28:B29"/>
    <mergeCell ref="C28:C29"/>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V71"/>
  <sheetViews>
    <sheetView showGridLines="0" workbookViewId="0">
      <selection activeCell="B88" sqref="B88"/>
    </sheetView>
  </sheetViews>
  <sheetFormatPr defaultRowHeight="14.4"/>
  <cols>
    <col min="1" max="1" width="3.33203125" customWidth="1"/>
    <col min="2" max="2" width="24.33203125" customWidth="1"/>
    <col min="3" max="3" width="24" style="15" customWidth="1"/>
    <col min="4" max="22" width="15.6640625" style="15" customWidth="1"/>
  </cols>
  <sheetData>
    <row r="2" spans="2:22" ht="18.600000000000001" customHeight="1">
      <c r="B2" s="114" t="s">
        <v>208</v>
      </c>
      <c r="C2" s="113"/>
      <c r="D2" s="113"/>
      <c r="E2" s="113"/>
      <c r="F2" s="113"/>
      <c r="G2" s="113"/>
      <c r="H2" s="113"/>
      <c r="I2" s="113"/>
      <c r="J2" s="113"/>
      <c r="K2" s="113"/>
      <c r="L2" s="113"/>
      <c r="M2" s="113"/>
      <c r="N2" s="113"/>
      <c r="O2" s="113"/>
      <c r="P2" s="113"/>
      <c r="Q2" s="113"/>
      <c r="R2" s="113"/>
      <c r="S2" s="113"/>
      <c r="T2" s="113"/>
      <c r="U2" s="113"/>
      <c r="V2" s="113"/>
    </row>
    <row r="3" spans="2:22" ht="9.6" customHeight="1"/>
    <row r="4" spans="2:22" ht="19.2" customHeight="1">
      <c r="B4" s="2" t="s">
        <v>207</v>
      </c>
      <c r="C4" s="115">
        <v>2003</v>
      </c>
      <c r="D4" s="115">
        <f>C4+1</f>
        <v>2004</v>
      </c>
      <c r="E4" s="115">
        <f t="shared" ref="E4:V4" si="0">D4+1</f>
        <v>2005</v>
      </c>
      <c r="F4" s="115">
        <f t="shared" si="0"/>
        <v>2006</v>
      </c>
      <c r="G4" s="115">
        <f t="shared" si="0"/>
        <v>2007</v>
      </c>
      <c r="H4" s="115">
        <f t="shared" si="0"/>
        <v>2008</v>
      </c>
      <c r="I4" s="115">
        <f t="shared" si="0"/>
        <v>2009</v>
      </c>
      <c r="J4" s="115">
        <f t="shared" si="0"/>
        <v>2010</v>
      </c>
      <c r="K4" s="115">
        <f t="shared" si="0"/>
        <v>2011</v>
      </c>
      <c r="L4" s="115">
        <f t="shared" si="0"/>
        <v>2012</v>
      </c>
      <c r="M4" s="115">
        <f t="shared" si="0"/>
        <v>2013</v>
      </c>
      <c r="N4" s="115">
        <f t="shared" si="0"/>
        <v>2014</v>
      </c>
      <c r="O4" s="115">
        <f t="shared" si="0"/>
        <v>2015</v>
      </c>
      <c r="P4" s="115">
        <f t="shared" si="0"/>
        <v>2016</v>
      </c>
      <c r="Q4" s="115">
        <f t="shared" si="0"/>
        <v>2017</v>
      </c>
      <c r="R4" s="115">
        <f t="shared" si="0"/>
        <v>2018</v>
      </c>
      <c r="S4" s="115">
        <f t="shared" si="0"/>
        <v>2019</v>
      </c>
      <c r="T4" s="115">
        <f t="shared" si="0"/>
        <v>2020</v>
      </c>
      <c r="U4" s="115">
        <f t="shared" si="0"/>
        <v>2021</v>
      </c>
      <c r="V4" s="115">
        <f t="shared" si="0"/>
        <v>2022</v>
      </c>
    </row>
    <row r="5" spans="2:22" ht="13.2" customHeight="1"/>
    <row r="6" spans="2:22" ht="18" customHeight="1">
      <c r="B6" t="s">
        <v>209</v>
      </c>
      <c r="C6" s="15">
        <v>99.4</v>
      </c>
      <c r="D6" s="15">
        <v>99.9</v>
      </c>
      <c r="E6" s="15">
        <v>116.6</v>
      </c>
      <c r="F6" s="15">
        <v>115.4</v>
      </c>
      <c r="G6" s="15">
        <v>110.8</v>
      </c>
      <c r="H6" s="15">
        <v>113.3</v>
      </c>
      <c r="I6" s="15">
        <v>115.3</v>
      </c>
      <c r="J6" s="15">
        <v>124.1</v>
      </c>
      <c r="K6" s="15">
        <v>138.5</v>
      </c>
      <c r="L6" s="15">
        <v>130.80000000000001</v>
      </c>
      <c r="M6" s="15">
        <v>131.1</v>
      </c>
      <c r="N6" s="15">
        <v>119.5</v>
      </c>
      <c r="O6" s="15">
        <v>78</v>
      </c>
      <c r="P6" s="15">
        <v>112.3</v>
      </c>
      <c r="Q6" s="15">
        <v>125.4</v>
      </c>
      <c r="R6" s="15">
        <v>133.1</v>
      </c>
      <c r="S6" s="15">
        <v>49</v>
      </c>
      <c r="T6" s="15">
        <v>58</v>
      </c>
      <c r="U6" s="15">
        <v>62.2</v>
      </c>
      <c r="V6" s="15">
        <v>76.5</v>
      </c>
    </row>
    <row r="7" spans="2:22" ht="18.600000000000001" customHeight="1">
      <c r="B7" t="s">
        <v>210</v>
      </c>
      <c r="C7" s="15">
        <v>1.1870000000000001</v>
      </c>
      <c r="D7" s="15">
        <v>1.194</v>
      </c>
      <c r="E7" s="15">
        <v>1.393</v>
      </c>
      <c r="F7" s="15">
        <v>1.379</v>
      </c>
      <c r="G7" s="15">
        <v>1.3240000000000001</v>
      </c>
      <c r="H7" s="15">
        <v>1.3540000000000001</v>
      </c>
      <c r="I7" s="15">
        <v>1.3779999999999999</v>
      </c>
      <c r="J7" s="15">
        <v>1.482</v>
      </c>
      <c r="K7" s="15">
        <v>1.655</v>
      </c>
      <c r="L7" s="15">
        <v>1.5629999999999999</v>
      </c>
      <c r="M7" s="15">
        <v>1.5660000000000001</v>
      </c>
      <c r="N7" s="15">
        <v>1.4279999999999999</v>
      </c>
      <c r="O7" s="15">
        <v>0.93200000000000005</v>
      </c>
      <c r="P7" s="15">
        <v>1.3420000000000001</v>
      </c>
      <c r="Q7" s="15">
        <v>1.498</v>
      </c>
      <c r="R7" s="15">
        <v>1.59</v>
      </c>
      <c r="S7" s="15">
        <v>0.58499999999999996</v>
      </c>
      <c r="T7" s="15">
        <v>0.69299999999999995</v>
      </c>
      <c r="U7" s="15">
        <v>0.74299999999999999</v>
      </c>
      <c r="V7" s="15">
        <v>0.91400000000000003</v>
      </c>
    </row>
    <row r="10" spans="2:22">
      <c r="B10" t="s">
        <v>211</v>
      </c>
      <c r="C10" s="15">
        <v>5.8460000000000001</v>
      </c>
      <c r="D10" s="15">
        <v>5.7560000000000002</v>
      </c>
      <c r="E10" s="15">
        <v>5.718</v>
      </c>
      <c r="F10" s="15">
        <v>5.6619999999999999</v>
      </c>
      <c r="G10" s="15">
        <v>5.6379999999999999</v>
      </c>
      <c r="H10" s="15">
        <v>5.6070000000000002</v>
      </c>
      <c r="I10" s="15">
        <v>5.6139999999999999</v>
      </c>
      <c r="J10" s="15">
        <v>5.5880000000000001</v>
      </c>
      <c r="K10" s="15">
        <v>5.5990000000000002</v>
      </c>
      <c r="L10" s="15">
        <v>5.6349999999999998</v>
      </c>
      <c r="M10" s="15">
        <v>5.6</v>
      </c>
      <c r="N10" s="15">
        <v>5.734</v>
      </c>
      <c r="O10" s="15">
        <v>6.0039999999999996</v>
      </c>
      <c r="P10" s="15">
        <v>5.8019999999999996</v>
      </c>
      <c r="Q10" s="15">
        <v>5.6989999999999998</v>
      </c>
      <c r="R10" s="15">
        <v>5.6529999999999996</v>
      </c>
      <c r="S10" s="15">
        <v>5.9820000000000002</v>
      </c>
      <c r="T10" s="15">
        <v>6.14</v>
      </c>
      <c r="U10" s="15">
        <v>6.0890000000000004</v>
      </c>
      <c r="V10" s="15">
        <v>6.2080000000000002</v>
      </c>
    </row>
    <row r="11" spans="2:22">
      <c r="B11" t="s">
        <v>212</v>
      </c>
      <c r="C11" s="15">
        <v>6.5780000000000003</v>
      </c>
      <c r="D11" s="15">
        <v>6.34</v>
      </c>
      <c r="E11" s="15">
        <v>5.9980000000000002</v>
      </c>
      <c r="F11" s="15">
        <v>5.5449999999999999</v>
      </c>
      <c r="G11" s="15">
        <v>5.5289999999999999</v>
      </c>
      <c r="H11" s="15">
        <v>5.335</v>
      </c>
      <c r="I11" s="15">
        <v>5.2919999999999998</v>
      </c>
      <c r="J11" s="15">
        <v>5.173</v>
      </c>
      <c r="K11" s="15">
        <v>5.0469999999999997</v>
      </c>
      <c r="L11" s="15">
        <v>5.1959999999999997</v>
      </c>
      <c r="M11" s="15">
        <v>5.1289999999999996</v>
      </c>
      <c r="N11" s="15">
        <v>5.3250000000000002</v>
      </c>
      <c r="O11" s="15">
        <v>5.6589999999999998</v>
      </c>
      <c r="P11" s="15">
        <v>5.5549999999999997</v>
      </c>
      <c r="Q11" s="15">
        <v>5.4749999999999996</v>
      </c>
      <c r="R11" s="15">
        <v>5.3959999999999999</v>
      </c>
      <c r="S11" s="15">
        <v>8.7050000000000001</v>
      </c>
      <c r="T11" s="15">
        <v>7.5910000000000002</v>
      </c>
      <c r="U11" s="15">
        <v>6.9710000000000001</v>
      </c>
      <c r="V11" s="15">
        <v>6.4690000000000003</v>
      </c>
    </row>
    <row r="69" spans="3:10">
      <c r="D69" s="115">
        <v>2015</v>
      </c>
      <c r="E69" s="115">
        <f t="shared" ref="E69:J69" si="1">D69+1</f>
        <v>2016</v>
      </c>
      <c r="F69" s="115">
        <f t="shared" si="1"/>
        <v>2017</v>
      </c>
      <c r="G69" s="115">
        <f t="shared" si="1"/>
        <v>2018</v>
      </c>
      <c r="H69" s="115">
        <f t="shared" si="1"/>
        <v>2019</v>
      </c>
      <c r="I69" s="115">
        <f t="shared" si="1"/>
        <v>2020</v>
      </c>
      <c r="J69" s="115">
        <f t="shared" si="1"/>
        <v>2021</v>
      </c>
    </row>
    <row r="71" spans="3:10">
      <c r="C71" s="15" t="s">
        <v>213</v>
      </c>
      <c r="D71" s="15">
        <v>186</v>
      </c>
      <c r="E71" s="15">
        <v>188</v>
      </c>
      <c r="F71" s="15">
        <v>214</v>
      </c>
      <c r="G71" s="15">
        <v>213</v>
      </c>
      <c r="H71" s="15">
        <v>217</v>
      </c>
      <c r="I71" s="15">
        <v>192</v>
      </c>
      <c r="J71" s="15">
        <v>255</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2:S217"/>
  <sheetViews>
    <sheetView workbookViewId="0">
      <selection activeCell="N49" sqref="N49"/>
    </sheetView>
  </sheetViews>
  <sheetFormatPr defaultRowHeight="14.4"/>
  <cols>
    <col min="2" max="2" width="36.44140625" bestFit="1" customWidth="1"/>
    <col min="3" max="3" width="14.6640625" bestFit="1" customWidth="1"/>
    <col min="4" max="4" width="13.88671875" bestFit="1" customWidth="1"/>
    <col min="5" max="5" width="12.33203125" bestFit="1" customWidth="1"/>
    <col min="6" max="6" width="13.33203125" bestFit="1" customWidth="1"/>
    <col min="7" max="7" width="12.33203125" bestFit="1" customWidth="1"/>
    <col min="8" max="8" width="14" customWidth="1"/>
    <col min="12" max="12" width="13.33203125" bestFit="1" customWidth="1"/>
    <col min="13" max="13" width="21.44140625" bestFit="1" customWidth="1"/>
    <col min="14" max="14" width="11" bestFit="1" customWidth="1"/>
  </cols>
  <sheetData>
    <row r="2" spans="2:13" ht="18">
      <c r="B2" s="377" t="s">
        <v>866</v>
      </c>
      <c r="C2" s="378"/>
      <c r="D2" s="378"/>
      <c r="E2" s="378"/>
      <c r="F2" s="378"/>
      <c r="G2" s="378"/>
      <c r="H2" s="378"/>
      <c r="I2" s="378"/>
      <c r="J2" s="378"/>
      <c r="K2" s="378"/>
      <c r="L2" s="378"/>
      <c r="M2" s="378"/>
    </row>
    <row r="4" spans="2:13">
      <c r="B4" s="1" t="s">
        <v>671</v>
      </c>
      <c r="C4" s="1"/>
      <c r="D4" s="1"/>
      <c r="E4" s="1"/>
      <c r="F4" s="1"/>
      <c r="G4" s="1"/>
      <c r="H4" s="1"/>
      <c r="I4" s="1"/>
      <c r="J4" s="1"/>
      <c r="K4" s="1"/>
      <c r="L4" s="1"/>
      <c r="M4" s="1"/>
    </row>
    <row r="6" spans="2:13">
      <c r="B6" s="124" t="s">
        <v>694</v>
      </c>
      <c r="C6" s="380"/>
      <c r="D6" s="380">
        <v>2020</v>
      </c>
      <c r="E6" s="380">
        <f>D6+1</f>
        <v>2021</v>
      </c>
      <c r="F6" s="380">
        <f>E6+1</f>
        <v>2022</v>
      </c>
      <c r="G6" s="380">
        <f>F6+1</f>
        <v>2023</v>
      </c>
      <c r="H6" s="380" t="s">
        <v>1198</v>
      </c>
      <c r="I6" s="379"/>
      <c r="J6" s="379"/>
      <c r="K6" s="379"/>
      <c r="L6" s="379"/>
      <c r="M6" s="379"/>
    </row>
    <row r="7" spans="2:13">
      <c r="B7" s="130" t="s">
        <v>684</v>
      </c>
      <c r="C7" s="122"/>
      <c r="D7" s="122"/>
      <c r="E7" s="122"/>
      <c r="F7" s="122"/>
      <c r="G7" s="122"/>
      <c r="H7" s="122"/>
    </row>
    <row r="8" spans="2:13">
      <c r="B8" s="122" t="s">
        <v>854</v>
      </c>
      <c r="C8" s="381"/>
      <c r="D8" s="122">
        <v>916.21</v>
      </c>
      <c r="E8" s="122">
        <v>674.21</v>
      </c>
      <c r="F8" s="122">
        <v>1213.6400000000001</v>
      </c>
      <c r="G8" s="122">
        <v>953.43</v>
      </c>
      <c r="H8" s="381">
        <f>'Projection RK P&amp;L'!L8</f>
        <v>1058.56</v>
      </c>
    </row>
    <row r="9" spans="2:13">
      <c r="B9" s="122"/>
      <c r="C9" s="381"/>
      <c r="D9" s="122"/>
      <c r="E9" s="122"/>
      <c r="F9" s="122"/>
      <c r="G9" s="122"/>
      <c r="H9" s="122"/>
    </row>
    <row r="10" spans="2:13">
      <c r="B10" s="122" t="s">
        <v>855</v>
      </c>
      <c r="C10" s="381"/>
      <c r="D10" s="122">
        <v>16.93</v>
      </c>
      <c r="E10" s="122">
        <v>21.62</v>
      </c>
      <c r="F10" s="122">
        <v>20.190000000000001</v>
      </c>
      <c r="G10" s="122">
        <v>13.79</v>
      </c>
      <c r="H10" s="381">
        <f>'Projection RK P&amp;L'!L9</f>
        <v>26.840000000000003</v>
      </c>
    </row>
    <row r="11" spans="2:13">
      <c r="B11" s="122"/>
      <c r="C11" s="381"/>
      <c r="D11" s="122"/>
      <c r="E11" s="122"/>
      <c r="F11" s="122"/>
      <c r="G11" s="122"/>
      <c r="H11" s="122"/>
    </row>
    <row r="12" spans="2:13">
      <c r="B12" s="122" t="s">
        <v>856</v>
      </c>
      <c r="C12" s="381"/>
      <c r="D12" s="122">
        <v>3.8</v>
      </c>
      <c r="E12" s="122">
        <v>1.64</v>
      </c>
      <c r="F12" s="122">
        <v>8.8800000000000008</v>
      </c>
      <c r="G12" s="122">
        <v>16.940000000000001</v>
      </c>
      <c r="H12" s="381">
        <f>'Projection RK P&amp;L'!L10</f>
        <v>12</v>
      </c>
    </row>
    <row r="13" spans="2:13">
      <c r="B13" s="122"/>
      <c r="C13" s="381"/>
      <c r="D13" s="122"/>
      <c r="E13" s="122"/>
      <c r="F13" s="122"/>
      <c r="G13" s="122"/>
      <c r="H13" s="122"/>
    </row>
    <row r="14" spans="2:13">
      <c r="B14" s="122" t="s">
        <v>683</v>
      </c>
      <c r="C14" s="381"/>
      <c r="D14" s="122">
        <v>7.41</v>
      </c>
      <c r="E14" s="122">
        <v>4.6100000000000003</v>
      </c>
      <c r="F14" s="122">
        <v>4.01</v>
      </c>
      <c r="G14" s="122">
        <v>7.74</v>
      </c>
      <c r="H14" s="381">
        <f>'Projection RK P&amp;L'!L11</f>
        <v>4.46</v>
      </c>
    </row>
    <row r="15" spans="2:13">
      <c r="B15" s="382" t="s">
        <v>673</v>
      </c>
      <c r="C15" s="383"/>
      <c r="D15" s="383">
        <f>SUM(D8:D14)</f>
        <v>944.34999999999991</v>
      </c>
      <c r="E15" s="383">
        <f>SUM(E8:E14)</f>
        <v>702.08</v>
      </c>
      <c r="F15" s="383">
        <f>SUM(F8:F14)</f>
        <v>1246.7200000000003</v>
      </c>
      <c r="G15" s="383">
        <f>SUM(G8:G14)</f>
        <v>991.9</v>
      </c>
      <c r="H15" s="383">
        <f>SUM(H8:H14)</f>
        <v>1101.8599999999999</v>
      </c>
    </row>
    <row r="16" spans="2:13">
      <c r="B16" s="130" t="s">
        <v>685</v>
      </c>
      <c r="C16" s="122"/>
      <c r="D16" s="122"/>
      <c r="E16" s="122"/>
      <c r="F16" s="122"/>
      <c r="G16" s="122"/>
      <c r="H16" s="122"/>
    </row>
    <row r="17" spans="2:8">
      <c r="B17" s="122" t="s">
        <v>686</v>
      </c>
      <c r="C17" s="381"/>
      <c r="D17" s="122">
        <v>528.86</v>
      </c>
      <c r="E17" s="122">
        <v>355.04</v>
      </c>
      <c r="F17" s="122">
        <v>754.91</v>
      </c>
      <c r="G17" s="122">
        <v>613.85</v>
      </c>
      <c r="H17" s="122">
        <f>'Projection RK P&amp;L'!L14</f>
        <v>776.07999999999993</v>
      </c>
    </row>
    <row r="18" spans="2:8">
      <c r="B18" s="122" t="s">
        <v>857</v>
      </c>
      <c r="C18" s="381"/>
      <c r="D18" s="122">
        <v>3.81</v>
      </c>
      <c r="E18" s="122">
        <v>1.62</v>
      </c>
      <c r="F18" s="122">
        <v>0</v>
      </c>
      <c r="G18" s="122">
        <v>0.32719999999999999</v>
      </c>
      <c r="H18" s="122">
        <f>'Projection RK P&amp;L'!L15</f>
        <v>4.46</v>
      </c>
    </row>
    <row r="19" spans="2:8">
      <c r="B19" s="122" t="s">
        <v>858</v>
      </c>
      <c r="C19" s="381"/>
      <c r="D19" s="122">
        <v>-5.88</v>
      </c>
      <c r="E19" s="122">
        <v>29.88</v>
      </c>
      <c r="F19" s="122">
        <v>-53.29</v>
      </c>
      <c r="G19" s="122">
        <v>17.59</v>
      </c>
      <c r="H19" s="122">
        <f>'Projection RK P&amp;L'!L16</f>
        <v>-90.36</v>
      </c>
    </row>
    <row r="20" spans="2:8">
      <c r="B20" s="122" t="s">
        <v>687</v>
      </c>
      <c r="C20" s="381"/>
      <c r="D20" s="122">
        <v>77.97</v>
      </c>
      <c r="E20" s="122">
        <v>54.38</v>
      </c>
      <c r="F20" s="122">
        <v>78.39</v>
      </c>
      <c r="G20" s="122">
        <v>79.44</v>
      </c>
      <c r="H20" s="122">
        <f>'Projection RK P&amp;L'!L17</f>
        <v>95</v>
      </c>
    </row>
    <row r="21" spans="2:8">
      <c r="B21" s="122" t="s">
        <v>690</v>
      </c>
      <c r="C21" s="381"/>
      <c r="D21" s="122">
        <v>283.08</v>
      </c>
      <c r="E21" s="122">
        <v>211.05</v>
      </c>
      <c r="F21" s="122">
        <v>363.22</v>
      </c>
      <c r="G21" s="122">
        <v>265.29000000000002</v>
      </c>
      <c r="H21" s="122">
        <f>'Projection RK P&amp;L'!L18</f>
        <v>316.66000000000003</v>
      </c>
    </row>
    <row r="22" spans="2:8">
      <c r="B22" s="384" t="s">
        <v>674</v>
      </c>
      <c r="C22" s="385"/>
      <c r="D22" s="385">
        <f>SUM(D17:D21)</f>
        <v>887.83999999999992</v>
      </c>
      <c r="E22" s="385">
        <f>SUM(E17:E21)</f>
        <v>651.97</v>
      </c>
      <c r="F22" s="385">
        <f>SUM(F17:F21)</f>
        <v>1143.23</v>
      </c>
      <c r="G22" s="385">
        <f>SUM(G17:G21)</f>
        <v>976.49720000000002</v>
      </c>
      <c r="H22" s="385">
        <f>'Projection RK P&amp;L'!L19</f>
        <v>1101.8399999999999</v>
      </c>
    </row>
    <row r="23" spans="2:8">
      <c r="B23" s="382" t="s">
        <v>675</v>
      </c>
      <c r="C23" s="383"/>
      <c r="D23" s="383">
        <f t="shared" ref="D23:H23" si="0">D15-D22</f>
        <v>56.509999999999991</v>
      </c>
      <c r="E23" s="383">
        <f t="shared" si="0"/>
        <v>50.110000000000014</v>
      </c>
      <c r="F23" s="386">
        <f t="shared" si="0"/>
        <v>103.49000000000024</v>
      </c>
      <c r="G23" s="386">
        <f t="shared" si="0"/>
        <v>15.402799999999957</v>
      </c>
      <c r="H23" s="386">
        <f t="shared" si="0"/>
        <v>1.999999999998181E-2</v>
      </c>
    </row>
    <row r="24" spans="2:8">
      <c r="B24" s="122" t="s">
        <v>689</v>
      </c>
      <c r="C24" s="381"/>
      <c r="D24">
        <v>54.01</v>
      </c>
      <c r="E24">
        <v>50.4</v>
      </c>
      <c r="F24">
        <v>47.95</v>
      </c>
      <c r="G24">
        <v>46.65</v>
      </c>
      <c r="H24" s="381">
        <f>'Projection RK P&amp;L'!H21</f>
        <v>54.01</v>
      </c>
    </row>
    <row r="25" spans="2:8">
      <c r="B25" s="382" t="s">
        <v>676</v>
      </c>
      <c r="C25" s="383"/>
      <c r="D25" s="386">
        <f t="shared" ref="D25:H25" si="1">D23-D24</f>
        <v>2.4999999999999929</v>
      </c>
      <c r="E25" s="386">
        <f t="shared" si="1"/>
        <v>-0.28999999999998494</v>
      </c>
      <c r="F25" s="386">
        <f t="shared" si="1"/>
        <v>55.540000000000234</v>
      </c>
      <c r="G25" s="769">
        <f t="shared" si="1"/>
        <v>-31.247200000000042</v>
      </c>
      <c r="H25" s="386">
        <f t="shared" si="1"/>
        <v>-53.990000000000016</v>
      </c>
    </row>
    <row r="26" spans="2:8">
      <c r="B26" s="122" t="s">
        <v>688</v>
      </c>
      <c r="C26" s="381"/>
      <c r="D26">
        <v>37.79</v>
      </c>
      <c r="E26">
        <v>30.91</v>
      </c>
      <c r="F26">
        <v>28.22</v>
      </c>
      <c r="G26">
        <v>22.84</v>
      </c>
      <c r="H26" s="381">
        <f>'Projection RK P&amp;L'!L23</f>
        <v>23.58</v>
      </c>
    </row>
    <row r="27" spans="2:8">
      <c r="B27" s="382" t="s">
        <v>691</v>
      </c>
      <c r="C27" s="386"/>
      <c r="D27" s="386">
        <f>D25-D26</f>
        <v>-35.290000000000006</v>
      </c>
      <c r="E27" s="386">
        <f>E25-E26</f>
        <v>-31.199999999999985</v>
      </c>
      <c r="F27" s="386">
        <f>F25-F26</f>
        <v>27.320000000000235</v>
      </c>
      <c r="G27" s="769">
        <f>G25-G26</f>
        <v>-54.087200000000038</v>
      </c>
      <c r="H27" s="386">
        <f>H25-H26</f>
        <v>-77.570000000000022</v>
      </c>
    </row>
    <row r="28" spans="2:8">
      <c r="B28" s="122" t="s">
        <v>678</v>
      </c>
      <c r="C28" s="122"/>
      <c r="D28" s="122"/>
      <c r="E28" s="122"/>
      <c r="F28" s="122"/>
      <c r="G28" s="770"/>
      <c r="H28" s="122"/>
    </row>
    <row r="29" spans="2:8">
      <c r="B29" s="122" t="s">
        <v>859</v>
      </c>
      <c r="C29" s="128"/>
      <c r="D29">
        <v>0</v>
      </c>
      <c r="E29">
        <v>0.41</v>
      </c>
      <c r="F29">
        <v>0</v>
      </c>
      <c r="G29">
        <v>0.22</v>
      </c>
      <c r="H29" s="122">
        <f>'Projection RK P&amp;L'!L26</f>
        <v>0</v>
      </c>
    </row>
    <row r="30" spans="2:8">
      <c r="B30" s="382" t="s">
        <v>692</v>
      </c>
      <c r="C30" s="386"/>
      <c r="D30" s="386">
        <f>D27-D29</f>
        <v>-35.290000000000006</v>
      </c>
      <c r="E30" s="386">
        <f t="shared" ref="E30:H30" si="2">E27-E29</f>
        <v>-31.609999999999985</v>
      </c>
      <c r="F30" s="386">
        <f t="shared" si="2"/>
        <v>27.320000000000235</v>
      </c>
      <c r="G30" s="769">
        <f t="shared" si="2"/>
        <v>-54.307200000000037</v>
      </c>
      <c r="H30" s="386">
        <f t="shared" si="2"/>
        <v>-77.570000000000022</v>
      </c>
    </row>
    <row r="31" spans="2:8">
      <c r="B31" s="389" t="s">
        <v>679</v>
      </c>
      <c r="C31" s="390"/>
      <c r="D31" s="390">
        <f>D23/D15</f>
        <v>5.9840101657224545E-2</v>
      </c>
      <c r="E31" s="390">
        <f>E23/E15</f>
        <v>7.1373632634457632E-2</v>
      </c>
      <c r="F31" s="390">
        <f>F23/F15</f>
        <v>8.3009817761807159E-2</v>
      </c>
      <c r="G31" s="390">
        <f>G23/G15</f>
        <v>1.5528581510232843E-2</v>
      </c>
      <c r="H31" s="390">
        <f>H23/H15</f>
        <v>1.8151126277369007E-5</v>
      </c>
    </row>
    <row r="32" spans="2:8">
      <c r="B32" s="389" t="s">
        <v>680</v>
      </c>
      <c r="C32" s="390"/>
      <c r="D32" s="390">
        <f>D25/D15</f>
        <v>2.647323555884993E-3</v>
      </c>
      <c r="E32" s="390">
        <f>E25/E15</f>
        <v>-4.1305834092978712E-4</v>
      </c>
      <c r="F32" s="390">
        <f>F25/F15</f>
        <v>4.4548896303901617E-2</v>
      </c>
      <c r="G32" s="390">
        <f>G25/G15</f>
        <v>-3.1502369190442629E-2</v>
      </c>
      <c r="H32" s="390">
        <f>H25/H15</f>
        <v>-4.8998965385802208E-2</v>
      </c>
    </row>
    <row r="33" spans="2:19">
      <c r="B33" s="389" t="s">
        <v>681</v>
      </c>
      <c r="C33" s="390"/>
      <c r="D33" s="390">
        <f>D30/D15</f>
        <v>-3.7369619314872676E-2</v>
      </c>
      <c r="E33" s="390">
        <f>E30/E15</f>
        <v>-4.5023359161349114E-2</v>
      </c>
      <c r="F33" s="390">
        <f>F30/F15</f>
        <v>2.1913501026694229E-2</v>
      </c>
      <c r="G33" s="390">
        <f>G30/G15</f>
        <v>-5.4750680512148438E-2</v>
      </c>
      <c r="H33" s="390">
        <f>H30/H15</f>
        <v>-7.0399143266839728E-2</v>
      </c>
    </row>
    <row r="34" spans="2:19">
      <c r="B34" s="389" t="s">
        <v>682</v>
      </c>
      <c r="C34" s="122"/>
      <c r="D34" s="390" t="e">
        <f>D15/C15-1</f>
        <v>#DIV/0!</v>
      </c>
      <c r="E34" s="390">
        <f t="shared" ref="E34:H34" si="3">E15/D15-1</f>
        <v>-0.25654683115370347</v>
      </c>
      <c r="F34" s="390">
        <f t="shared" si="3"/>
        <v>0.7757520510483138</v>
      </c>
      <c r="G34" s="390">
        <f t="shared" si="3"/>
        <v>-0.20439232546201247</v>
      </c>
      <c r="H34" s="390">
        <f t="shared" si="3"/>
        <v>0.11085794939005944</v>
      </c>
      <c r="L34" s="125" t="s">
        <v>851</v>
      </c>
      <c r="M34" s="125" t="s">
        <v>852</v>
      </c>
    </row>
    <row r="35" spans="2:19">
      <c r="L35" s="130">
        <v>2019</v>
      </c>
      <c r="M35" s="456">
        <v>0.63800000000000001</v>
      </c>
    </row>
    <row r="36" spans="2:19">
      <c r="G36" s="461" t="s">
        <v>847</v>
      </c>
      <c r="L36" s="130">
        <v>2020</v>
      </c>
      <c r="M36" s="392">
        <v>0.28999999999999998</v>
      </c>
    </row>
    <row r="37" spans="2:19">
      <c r="G37" s="461" t="s">
        <v>848</v>
      </c>
      <c r="L37" s="130">
        <v>2021</v>
      </c>
      <c r="M37" s="456">
        <v>0.377</v>
      </c>
    </row>
    <row r="38" spans="2:19">
      <c r="G38" s="461" t="s">
        <v>849</v>
      </c>
      <c r="L38" s="130">
        <v>2022</v>
      </c>
      <c r="M38" s="122" t="s">
        <v>853</v>
      </c>
    </row>
    <row r="39" spans="2:19">
      <c r="G39" s="461" t="s">
        <v>850</v>
      </c>
    </row>
    <row r="44" spans="2:19">
      <c r="Q44" s="125" t="s">
        <v>167</v>
      </c>
      <c r="R44" s="125" t="s">
        <v>695</v>
      </c>
      <c r="S44" s="125" t="s">
        <v>696</v>
      </c>
    </row>
    <row r="45" spans="2:19">
      <c r="Q45" s="391" t="s">
        <v>34</v>
      </c>
      <c r="R45" s="122" t="s">
        <v>701</v>
      </c>
      <c r="S45" s="122" t="s">
        <v>704</v>
      </c>
    </row>
    <row r="46" spans="2:19">
      <c r="Q46" s="391" t="s">
        <v>697</v>
      </c>
      <c r="R46" s="122" t="s">
        <v>702</v>
      </c>
      <c r="S46" s="122" t="s">
        <v>705</v>
      </c>
    </row>
    <row r="47" spans="2:19">
      <c r="Q47" s="391" t="s">
        <v>698</v>
      </c>
      <c r="R47" s="122">
        <v>297</v>
      </c>
      <c r="S47" s="122" t="s">
        <v>706</v>
      </c>
    </row>
    <row r="48" spans="2:19">
      <c r="Q48" s="391" t="s">
        <v>699</v>
      </c>
      <c r="R48" s="122" t="s">
        <v>703</v>
      </c>
      <c r="S48" s="122" t="s">
        <v>707</v>
      </c>
    </row>
    <row r="49" spans="17:19">
      <c r="Q49" s="391" t="s">
        <v>700</v>
      </c>
      <c r="R49" s="122">
        <v>4</v>
      </c>
      <c r="S49" s="122">
        <v>1</v>
      </c>
    </row>
    <row r="52" spans="17:19">
      <c r="Q52" s="125" t="s">
        <v>708</v>
      </c>
      <c r="R52" s="125" t="s">
        <v>709</v>
      </c>
    </row>
    <row r="53" spans="17:19">
      <c r="Q53" s="391" t="s">
        <v>711</v>
      </c>
      <c r="R53" s="392">
        <v>1</v>
      </c>
    </row>
    <row r="54" spans="17:19">
      <c r="Q54" s="391" t="s">
        <v>712</v>
      </c>
      <c r="R54" s="392">
        <v>1</v>
      </c>
    </row>
    <row r="55" spans="17:19">
      <c r="Q55" s="391" t="s">
        <v>713</v>
      </c>
      <c r="R55" s="392">
        <v>1</v>
      </c>
    </row>
    <row r="56" spans="17:19">
      <c r="Q56" s="391" t="s">
        <v>710</v>
      </c>
      <c r="R56" s="392">
        <v>1</v>
      </c>
    </row>
    <row r="57" spans="17:19">
      <c r="Q57" s="391" t="s">
        <v>714</v>
      </c>
      <c r="R57" s="392">
        <v>1</v>
      </c>
    </row>
    <row r="58" spans="17:19">
      <c r="Q58" s="118"/>
    </row>
    <row r="86" spans="1:10">
      <c r="A86" s="507" t="s">
        <v>887</v>
      </c>
      <c r="B86" s="508"/>
      <c r="C86" s="508"/>
      <c r="D86" s="508"/>
      <c r="E86" s="508"/>
      <c r="F86" s="508"/>
      <c r="G86" s="508"/>
      <c r="H86" s="508"/>
      <c r="I86" s="508"/>
      <c r="J86" s="508"/>
    </row>
    <row r="87" spans="1:10">
      <c r="A87" s="1" t="s">
        <v>888</v>
      </c>
      <c r="B87" s="1"/>
      <c r="C87" s="1"/>
      <c r="D87" s="14" t="s">
        <v>889</v>
      </c>
      <c r="E87" s="14" t="s">
        <v>890</v>
      </c>
      <c r="F87" s="14" t="s">
        <v>891</v>
      </c>
      <c r="G87" s="14" t="s">
        <v>892</v>
      </c>
      <c r="H87" s="14" t="s">
        <v>893</v>
      </c>
      <c r="I87" s="14" t="s">
        <v>894</v>
      </c>
      <c r="J87" s="508"/>
    </row>
    <row r="88" spans="1:10">
      <c r="A88" s="1"/>
      <c r="B88" s="1"/>
      <c r="C88" s="1"/>
      <c r="D88" s="14" t="s">
        <v>895</v>
      </c>
      <c r="E88" s="14" t="s">
        <v>895</v>
      </c>
      <c r="F88" s="14" t="s">
        <v>895</v>
      </c>
      <c r="G88" s="14" t="s">
        <v>895</v>
      </c>
      <c r="H88" s="14" t="s">
        <v>895</v>
      </c>
      <c r="I88" s="14" t="s">
        <v>896</v>
      </c>
      <c r="J88" s="508"/>
    </row>
    <row r="89" spans="1:10">
      <c r="A89" s="1" t="s">
        <v>897</v>
      </c>
      <c r="B89" s="1"/>
      <c r="C89" s="1"/>
      <c r="D89" s="14">
        <v>365</v>
      </c>
      <c r="E89" s="14">
        <v>366</v>
      </c>
      <c r="F89" s="14">
        <v>365</v>
      </c>
      <c r="G89" s="14">
        <v>365</v>
      </c>
      <c r="H89" s="14">
        <v>365</v>
      </c>
      <c r="I89" s="14">
        <v>366</v>
      </c>
      <c r="J89" s="508"/>
    </row>
    <row r="90" spans="1:10">
      <c r="A90" s="508" t="s">
        <v>898</v>
      </c>
      <c r="B90" s="508"/>
      <c r="C90" s="508"/>
      <c r="D90" s="508"/>
      <c r="E90" s="508"/>
      <c r="F90" s="508"/>
      <c r="G90" s="508"/>
      <c r="H90" s="508"/>
      <c r="I90" s="508"/>
      <c r="J90" s="508"/>
    </row>
    <row r="91" spans="1:10">
      <c r="A91" s="508" t="s">
        <v>899</v>
      </c>
      <c r="B91" s="508"/>
      <c r="C91" s="508"/>
      <c r="D91" s="508"/>
      <c r="E91" s="508"/>
      <c r="F91" s="508"/>
      <c r="G91" s="508"/>
      <c r="H91" s="508"/>
      <c r="I91" s="508"/>
      <c r="J91" s="508"/>
    </row>
    <row r="92" spans="1:10">
      <c r="A92" s="508" t="s">
        <v>900</v>
      </c>
      <c r="B92" s="508"/>
      <c r="C92" s="508"/>
      <c r="D92" s="508"/>
      <c r="E92" s="508"/>
      <c r="F92" s="508"/>
      <c r="G92" s="508"/>
      <c r="H92" s="508"/>
      <c r="I92" s="508"/>
      <c r="J92" s="508"/>
    </row>
    <row r="93" spans="1:10">
      <c r="A93" s="508" t="s">
        <v>901</v>
      </c>
      <c r="B93" s="508"/>
      <c r="C93" s="508"/>
      <c r="D93" s="508"/>
      <c r="E93" s="508"/>
      <c r="F93" s="508"/>
      <c r="G93" s="508"/>
      <c r="H93" s="508"/>
      <c r="I93" s="508"/>
      <c r="J93" s="508"/>
    </row>
    <row r="94" spans="1:10">
      <c r="A94" s="508" t="s">
        <v>902</v>
      </c>
      <c r="B94" s="508"/>
      <c r="C94" s="508"/>
      <c r="D94" s="509">
        <v>68.2</v>
      </c>
      <c r="E94" s="509">
        <v>68.206367952511826</v>
      </c>
      <c r="F94" s="509">
        <v>67</v>
      </c>
      <c r="G94" s="509">
        <v>67</v>
      </c>
      <c r="H94" s="509">
        <v>67</v>
      </c>
      <c r="I94" s="509">
        <v>67</v>
      </c>
      <c r="J94" s="508"/>
    </row>
    <row r="95" spans="1:10">
      <c r="A95" s="508" t="s">
        <v>903</v>
      </c>
      <c r="B95" s="508"/>
      <c r="C95" s="508"/>
      <c r="D95" s="509">
        <v>92.674899999999994</v>
      </c>
      <c r="E95" s="509">
        <v>93.805732047488178</v>
      </c>
      <c r="F95" s="509">
        <v>72.777199999999993</v>
      </c>
      <c r="G95" s="509">
        <v>86.616000000000014</v>
      </c>
      <c r="H95" s="509">
        <v>88.025700000000001</v>
      </c>
      <c r="I95" s="509">
        <v>96.06</v>
      </c>
      <c r="J95" s="508"/>
    </row>
    <row r="96" spans="1:10">
      <c r="A96" s="508" t="s">
        <v>904</v>
      </c>
      <c r="B96" s="508"/>
      <c r="C96" s="508"/>
      <c r="D96" s="509"/>
      <c r="E96" s="509"/>
      <c r="F96" s="509"/>
      <c r="G96" s="509"/>
      <c r="H96" s="509"/>
      <c r="I96" s="509"/>
      <c r="J96" s="508"/>
    </row>
    <row r="97" spans="1:10">
      <c r="A97" s="508" t="s">
        <v>905</v>
      </c>
      <c r="B97" s="508"/>
      <c r="C97" s="508"/>
      <c r="D97" s="509">
        <v>160.8749</v>
      </c>
      <c r="E97" s="509">
        <v>162.0121</v>
      </c>
      <c r="F97" s="509">
        <v>139.77719999999999</v>
      </c>
      <c r="G97" s="509">
        <v>153.61600000000001</v>
      </c>
      <c r="H97" s="509">
        <v>155.0257</v>
      </c>
      <c r="I97" s="509">
        <v>163.06</v>
      </c>
      <c r="J97" s="508"/>
    </row>
    <row r="98" spans="1:10">
      <c r="A98" s="508" t="s">
        <v>906</v>
      </c>
      <c r="B98" s="508"/>
      <c r="C98" s="508"/>
      <c r="D98" s="509">
        <v>2.9510000000000001</v>
      </c>
      <c r="E98" s="509"/>
      <c r="F98" s="509"/>
      <c r="G98" s="509"/>
      <c r="H98" s="509"/>
      <c r="I98" s="509"/>
      <c r="J98" s="508"/>
    </row>
    <row r="99" spans="1:10">
      <c r="A99" s="510" t="s">
        <v>907</v>
      </c>
      <c r="B99" s="508"/>
      <c r="C99" s="508"/>
      <c r="D99" s="509">
        <v>129.00309999999999</v>
      </c>
      <c r="E99" s="509">
        <v>154.8142</v>
      </c>
      <c r="F99" s="509">
        <v>138.09350000000001</v>
      </c>
      <c r="G99" s="509">
        <v>139.17830000000001</v>
      </c>
      <c r="H99" s="509">
        <v>147.5608</v>
      </c>
      <c r="I99" s="509">
        <v>115.1</v>
      </c>
      <c r="J99" s="508"/>
    </row>
    <row r="100" spans="1:10">
      <c r="A100" s="508" t="s">
        <v>908</v>
      </c>
      <c r="B100" s="508"/>
      <c r="C100" s="508"/>
      <c r="D100" s="509">
        <v>2.4592000000000001</v>
      </c>
      <c r="E100" s="509">
        <v>1.9475</v>
      </c>
      <c r="F100" s="509">
        <v>1.5818000000000001</v>
      </c>
      <c r="G100" s="509">
        <v>3.202</v>
      </c>
      <c r="H100" s="509">
        <v>2.9238</v>
      </c>
      <c r="I100" s="509">
        <v>1.95</v>
      </c>
      <c r="J100" s="508"/>
    </row>
    <row r="101" spans="1:10">
      <c r="A101" s="508" t="s">
        <v>909</v>
      </c>
      <c r="B101" s="508"/>
      <c r="C101" s="508"/>
      <c r="D101" s="509"/>
      <c r="E101" s="509"/>
      <c r="F101" s="509"/>
      <c r="G101" s="509"/>
      <c r="H101" s="509"/>
      <c r="I101" s="509"/>
      <c r="J101" s="508"/>
    </row>
    <row r="102" spans="1:10">
      <c r="A102" s="508" t="s">
        <v>910</v>
      </c>
      <c r="B102" s="508"/>
      <c r="C102" s="508"/>
      <c r="D102" s="509"/>
      <c r="E102" s="509"/>
      <c r="F102" s="509"/>
      <c r="G102" s="509"/>
      <c r="H102" s="509"/>
      <c r="I102" s="509"/>
      <c r="J102" s="508"/>
    </row>
    <row r="103" spans="1:10">
      <c r="A103" s="508" t="s">
        <v>911</v>
      </c>
      <c r="B103" s="508"/>
      <c r="C103" s="508"/>
      <c r="D103" s="509">
        <v>2.5</v>
      </c>
      <c r="E103" s="509">
        <v>2.5</v>
      </c>
      <c r="F103" s="509">
        <v>2.5</v>
      </c>
      <c r="G103" s="509">
        <v>2.5</v>
      </c>
      <c r="H103" s="509">
        <v>2.5</v>
      </c>
      <c r="I103" s="509">
        <v>2.5</v>
      </c>
      <c r="J103" s="508"/>
    </row>
    <row r="104" spans="1:10">
      <c r="A104" s="508" t="s">
        <v>912</v>
      </c>
      <c r="B104" s="508"/>
      <c r="C104" s="508"/>
      <c r="D104" s="509"/>
      <c r="E104" s="509"/>
      <c r="F104" s="509"/>
      <c r="G104" s="509"/>
      <c r="H104" s="509"/>
      <c r="I104" s="509"/>
      <c r="J104" s="508"/>
    </row>
    <row r="105" spans="1:10">
      <c r="A105" s="508" t="s">
        <v>913</v>
      </c>
      <c r="B105" s="508"/>
      <c r="C105" s="508"/>
      <c r="D105" s="509"/>
      <c r="E105" s="509"/>
      <c r="F105" s="509"/>
      <c r="G105" s="509"/>
      <c r="H105" s="509"/>
      <c r="I105" s="509"/>
      <c r="J105" s="508"/>
    </row>
    <row r="106" spans="1:10">
      <c r="A106" s="508" t="s">
        <v>914</v>
      </c>
      <c r="B106" s="508"/>
      <c r="C106" s="508"/>
      <c r="D106" s="509">
        <v>54.739000000000004</v>
      </c>
      <c r="E106" s="509">
        <v>10.251699999999992</v>
      </c>
      <c r="F106" s="509">
        <v>33.964499999999994</v>
      </c>
      <c r="G106" s="509">
        <v>40.059699999999999</v>
      </c>
      <c r="H106" s="509">
        <v>37.485900000000001</v>
      </c>
      <c r="I106" s="509">
        <v>36.200000000000003</v>
      </c>
      <c r="J106" s="508"/>
    </row>
    <row r="107" spans="1:10">
      <c r="A107" s="508" t="s">
        <v>915</v>
      </c>
      <c r="B107" s="508"/>
      <c r="C107" s="508"/>
      <c r="D107" s="509"/>
      <c r="E107" s="509"/>
      <c r="F107" s="509"/>
      <c r="G107" s="509"/>
      <c r="H107" s="509"/>
      <c r="I107" s="509"/>
      <c r="J107" s="508"/>
    </row>
    <row r="108" spans="1:10">
      <c r="A108" s="508" t="s">
        <v>913</v>
      </c>
      <c r="B108" s="508"/>
      <c r="C108" s="508"/>
      <c r="D108" s="509"/>
      <c r="E108" s="509"/>
      <c r="F108" s="509"/>
      <c r="G108" s="509"/>
      <c r="H108" s="509"/>
      <c r="I108" s="509"/>
      <c r="J108" s="508"/>
    </row>
    <row r="109" spans="1:10">
      <c r="A109" s="508" t="s">
        <v>916</v>
      </c>
      <c r="B109" s="508"/>
      <c r="C109" s="508"/>
      <c r="D109" s="509"/>
      <c r="E109" s="509"/>
      <c r="F109" s="509"/>
      <c r="G109" s="509"/>
      <c r="H109" s="509"/>
      <c r="I109" s="509"/>
      <c r="J109" s="508"/>
    </row>
    <row r="110" spans="1:10">
      <c r="A110" s="508" t="s">
        <v>917</v>
      </c>
      <c r="B110" s="508"/>
      <c r="C110" s="508"/>
      <c r="D110" s="509"/>
      <c r="E110" s="509"/>
      <c r="F110" s="509"/>
      <c r="G110" s="509"/>
      <c r="H110" s="509"/>
      <c r="I110" s="509"/>
      <c r="J110" s="508"/>
    </row>
    <row r="111" spans="1:10">
      <c r="A111" s="508" t="s">
        <v>918</v>
      </c>
      <c r="B111" s="508"/>
      <c r="C111" s="508"/>
      <c r="D111" s="509">
        <v>29.651600000000002</v>
      </c>
      <c r="E111" s="509">
        <v>52.532300000000006</v>
      </c>
      <c r="F111" s="509">
        <v>67.052599999999998</v>
      </c>
      <c r="G111" s="509">
        <v>15.420299999999999</v>
      </c>
      <c r="H111" s="509">
        <v>17.763200000000001</v>
      </c>
      <c r="I111" s="509">
        <v>18.52</v>
      </c>
      <c r="J111" s="508"/>
    </row>
    <row r="112" spans="1:10">
      <c r="A112" s="508" t="s">
        <v>919</v>
      </c>
      <c r="B112" s="508"/>
      <c r="C112" s="508"/>
      <c r="D112" s="509"/>
      <c r="E112" s="509"/>
      <c r="F112" s="509"/>
      <c r="G112" s="509"/>
      <c r="H112" s="509"/>
      <c r="I112" s="509"/>
      <c r="J112" s="508"/>
    </row>
    <row r="113" spans="1:10">
      <c r="A113" s="508" t="s">
        <v>920</v>
      </c>
      <c r="B113" s="508"/>
      <c r="C113" s="508"/>
      <c r="D113" s="509"/>
      <c r="E113" s="509"/>
      <c r="F113" s="509"/>
      <c r="G113" s="509"/>
      <c r="H113" s="509"/>
      <c r="I113" s="509"/>
      <c r="J113" s="508"/>
    </row>
    <row r="114" spans="1:10">
      <c r="A114" s="508" t="s">
        <v>921</v>
      </c>
      <c r="B114" s="508"/>
      <c r="C114" s="508"/>
      <c r="D114" s="509">
        <v>17.747600000000002</v>
      </c>
      <c r="E114" s="509">
        <v>35.391800000000003</v>
      </c>
      <c r="F114" s="509">
        <v>57.57</v>
      </c>
      <c r="G114" s="509"/>
      <c r="H114" s="509"/>
      <c r="I114" s="509"/>
      <c r="J114" s="508"/>
    </row>
    <row r="115" spans="1:10">
      <c r="A115" s="508" t="s">
        <v>922</v>
      </c>
      <c r="B115" s="508"/>
      <c r="C115" s="508"/>
      <c r="D115" s="509">
        <v>11.904000000000002</v>
      </c>
      <c r="E115" s="509">
        <v>17.140499999999999</v>
      </c>
      <c r="F115" s="509">
        <v>9.4825999999999997</v>
      </c>
      <c r="G115" s="509">
        <v>15.420299999999999</v>
      </c>
      <c r="H115" s="509">
        <v>17.763200000000001</v>
      </c>
      <c r="I115" s="509">
        <v>18.52</v>
      </c>
      <c r="J115" s="508"/>
    </row>
    <row r="116" spans="1:10">
      <c r="A116" s="508" t="s">
        <v>923</v>
      </c>
      <c r="B116" s="508"/>
      <c r="C116" s="508"/>
      <c r="D116" s="509">
        <v>221.3039</v>
      </c>
      <c r="E116" s="509">
        <v>222.04570000000001</v>
      </c>
      <c r="F116" s="509">
        <v>243.19239999999996</v>
      </c>
      <c r="G116" s="509">
        <v>200.3603</v>
      </c>
      <c r="H116" s="509">
        <v>208.23370000000003</v>
      </c>
      <c r="I116" s="509">
        <v>174.27</v>
      </c>
      <c r="J116" s="508"/>
    </row>
    <row r="117" spans="1:10">
      <c r="A117" s="508" t="s">
        <v>94</v>
      </c>
      <c r="B117" s="508"/>
      <c r="C117" s="508"/>
      <c r="D117" s="509">
        <v>382.17880000000002</v>
      </c>
      <c r="E117" s="509">
        <v>384.05780000000004</v>
      </c>
      <c r="F117" s="509">
        <v>382.96959999999996</v>
      </c>
      <c r="G117" s="509">
        <v>353.97630000000004</v>
      </c>
      <c r="H117" s="509">
        <v>363.25940000000003</v>
      </c>
      <c r="I117" s="509">
        <v>337.33000000000004</v>
      </c>
      <c r="J117" s="508"/>
    </row>
    <row r="118" spans="1:10">
      <c r="A118" s="508"/>
      <c r="B118" s="508"/>
      <c r="C118" s="508"/>
      <c r="D118" s="509">
        <v>379.67880000000002</v>
      </c>
      <c r="E118" s="509">
        <v>381.55780000000004</v>
      </c>
      <c r="F118" s="509"/>
      <c r="G118" s="509"/>
      <c r="H118" s="509"/>
      <c r="I118" s="509"/>
      <c r="J118" s="508"/>
    </row>
    <row r="119" spans="1:10">
      <c r="A119" s="508"/>
      <c r="B119" s="508"/>
      <c r="C119" s="508"/>
      <c r="D119" s="509"/>
      <c r="E119" s="509"/>
      <c r="F119" s="509"/>
      <c r="G119" s="509"/>
      <c r="H119" s="509"/>
      <c r="I119" s="509"/>
      <c r="J119" s="508"/>
    </row>
    <row r="120" spans="1:10">
      <c r="A120" s="508" t="s">
        <v>924</v>
      </c>
      <c r="B120" s="508"/>
      <c r="C120" s="508"/>
      <c r="D120" s="509"/>
      <c r="E120" s="509"/>
      <c r="F120" s="509"/>
      <c r="G120" s="509"/>
      <c r="H120" s="509"/>
      <c r="I120" s="509"/>
      <c r="J120" s="508"/>
    </row>
    <row r="121" spans="1:10">
      <c r="A121" s="508" t="s">
        <v>925</v>
      </c>
      <c r="B121" s="508"/>
      <c r="C121" s="508"/>
      <c r="D121" s="509"/>
      <c r="E121" s="509"/>
      <c r="F121" s="509"/>
      <c r="G121" s="509"/>
      <c r="H121" s="509"/>
      <c r="I121" s="509"/>
      <c r="J121" s="508"/>
    </row>
    <row r="122" spans="1:10">
      <c r="A122" s="508" t="s">
        <v>926</v>
      </c>
      <c r="B122" s="508"/>
      <c r="C122" s="508"/>
      <c r="D122" s="509">
        <v>7.6508000000000003</v>
      </c>
      <c r="E122" s="509">
        <v>9.5541</v>
      </c>
      <c r="F122" s="509">
        <v>9.4015000000000004</v>
      </c>
      <c r="G122" s="509">
        <v>9.7495999999999992</v>
      </c>
      <c r="H122" s="509">
        <v>10.0428</v>
      </c>
      <c r="I122" s="509">
        <v>11.41</v>
      </c>
      <c r="J122" s="508"/>
    </row>
    <row r="123" spans="1:10">
      <c r="A123" s="508" t="s">
        <v>927</v>
      </c>
      <c r="B123" s="508"/>
      <c r="C123" s="508"/>
      <c r="D123" s="509"/>
      <c r="E123" s="509"/>
      <c r="F123" s="509"/>
      <c r="G123" s="509"/>
      <c r="H123" s="509"/>
      <c r="I123" s="509"/>
      <c r="J123" s="508"/>
    </row>
    <row r="124" spans="1:10">
      <c r="A124" s="508"/>
      <c r="B124" s="508"/>
      <c r="C124" s="508"/>
      <c r="D124" s="509"/>
      <c r="E124" s="509"/>
      <c r="F124" s="509"/>
      <c r="G124" s="509"/>
      <c r="H124" s="509"/>
      <c r="I124" s="509"/>
      <c r="J124" s="508"/>
    </row>
    <row r="125" spans="1:10">
      <c r="A125" s="508" t="s">
        <v>928</v>
      </c>
      <c r="B125" s="508"/>
      <c r="C125" s="508"/>
      <c r="D125" s="509">
        <v>141.22620000000001</v>
      </c>
      <c r="E125" s="509">
        <v>129.38990000000001</v>
      </c>
      <c r="F125" s="509">
        <v>97.958100000000002</v>
      </c>
      <c r="G125" s="509">
        <v>54.195099999999996</v>
      </c>
      <c r="H125" s="509">
        <v>18.203099999999999</v>
      </c>
      <c r="I125" s="509">
        <v>0</v>
      </c>
      <c r="J125" s="508"/>
    </row>
    <row r="126" spans="1:10">
      <c r="A126" s="508" t="s">
        <v>929</v>
      </c>
      <c r="B126" s="508"/>
      <c r="C126" s="508"/>
      <c r="D126" s="509"/>
      <c r="E126" s="509"/>
      <c r="F126" s="509"/>
      <c r="G126" s="509"/>
      <c r="H126" s="509"/>
      <c r="I126" s="509"/>
      <c r="J126" s="508"/>
    </row>
    <row r="127" spans="1:10">
      <c r="A127" s="508" t="s">
        <v>930</v>
      </c>
      <c r="B127" s="508"/>
      <c r="C127" s="508"/>
      <c r="D127" s="509">
        <v>371.25</v>
      </c>
      <c r="E127" s="509">
        <v>370.80779999999999</v>
      </c>
      <c r="F127" s="509">
        <v>370.65</v>
      </c>
      <c r="G127" s="509">
        <v>370.45</v>
      </c>
      <c r="H127" s="509">
        <v>370.25</v>
      </c>
      <c r="I127" s="509">
        <v>352.25</v>
      </c>
      <c r="J127" s="508"/>
    </row>
    <row r="128" spans="1:10">
      <c r="A128" s="508" t="s">
        <v>931</v>
      </c>
      <c r="B128" s="508"/>
      <c r="C128" s="508"/>
      <c r="D128" s="509">
        <v>14.711399999999999</v>
      </c>
      <c r="E128" s="509">
        <v>14.1966</v>
      </c>
      <c r="F128" s="509">
        <v>14.1914</v>
      </c>
      <c r="G128" s="509">
        <v>14.1914</v>
      </c>
      <c r="H128" s="509">
        <v>13.5511</v>
      </c>
      <c r="I128" s="509">
        <v>13.5511</v>
      </c>
      <c r="J128" s="508"/>
    </row>
    <row r="129" spans="1:10">
      <c r="A129" s="508" t="s">
        <v>932</v>
      </c>
      <c r="B129" s="508"/>
      <c r="C129" s="508"/>
      <c r="D129" s="509"/>
      <c r="E129" s="509"/>
      <c r="F129" s="509"/>
      <c r="G129" s="509"/>
      <c r="H129" s="509"/>
      <c r="I129" s="509"/>
      <c r="J129" s="508"/>
    </row>
    <row r="130" spans="1:10">
      <c r="A130" s="508" t="s">
        <v>933</v>
      </c>
      <c r="B130" s="508"/>
      <c r="C130" s="508"/>
      <c r="D130" s="509"/>
      <c r="E130" s="509"/>
      <c r="F130" s="509"/>
      <c r="G130" s="509"/>
      <c r="H130" s="509"/>
      <c r="I130" s="509"/>
      <c r="J130" s="508"/>
    </row>
    <row r="131" spans="1:10">
      <c r="A131" s="508" t="s">
        <v>934</v>
      </c>
      <c r="B131" s="508"/>
      <c r="C131" s="508"/>
      <c r="D131" s="509">
        <v>1.0139</v>
      </c>
      <c r="E131" s="509">
        <v>0.77390000000000003</v>
      </c>
      <c r="F131" s="509">
        <v>0.77390000000000003</v>
      </c>
      <c r="G131" s="509">
        <v>1.0239</v>
      </c>
      <c r="H131" s="509">
        <v>1.0659000000000001</v>
      </c>
      <c r="I131" s="509">
        <v>1.0659000000000001</v>
      </c>
      <c r="J131" s="508"/>
    </row>
    <row r="132" spans="1:10">
      <c r="A132" s="508" t="s">
        <v>935</v>
      </c>
      <c r="B132" s="508"/>
      <c r="C132" s="508"/>
      <c r="D132" s="509"/>
      <c r="E132" s="509"/>
      <c r="F132" s="509"/>
      <c r="G132" s="509"/>
      <c r="H132" s="509"/>
      <c r="I132" s="509"/>
      <c r="J132" s="508"/>
    </row>
    <row r="133" spans="1:10">
      <c r="A133" s="508" t="s">
        <v>936</v>
      </c>
      <c r="B133" s="508"/>
      <c r="C133" s="508"/>
      <c r="D133" s="509">
        <v>28.172000000000001</v>
      </c>
      <c r="E133" s="509">
        <v>28.172000000000001</v>
      </c>
      <c r="F133" s="509">
        <v>28.172000000000001</v>
      </c>
      <c r="G133" s="509">
        <v>28.172000000000001</v>
      </c>
      <c r="H133" s="509">
        <v>28.172000000000001</v>
      </c>
      <c r="I133" s="509">
        <v>28.172000000000001</v>
      </c>
      <c r="J133" s="508"/>
    </row>
    <row r="134" spans="1:10">
      <c r="A134" s="508" t="s">
        <v>937</v>
      </c>
      <c r="B134" s="508"/>
      <c r="C134" s="508"/>
      <c r="D134" s="509">
        <v>564.02430000000004</v>
      </c>
      <c r="E134" s="509">
        <v>552.89429999999993</v>
      </c>
      <c r="F134" s="509">
        <v>521.14689999999996</v>
      </c>
      <c r="G134" s="509">
        <v>477.78199999999998</v>
      </c>
      <c r="H134" s="509">
        <v>441.28489999999999</v>
      </c>
      <c r="I134" s="509">
        <v>406.44900000000001</v>
      </c>
      <c r="J134" s="508"/>
    </row>
    <row r="135" spans="1:10">
      <c r="A135" s="508" t="s">
        <v>938</v>
      </c>
      <c r="B135" s="508"/>
      <c r="C135" s="508"/>
      <c r="D135" s="509">
        <v>946.20310000000006</v>
      </c>
      <c r="E135" s="509">
        <v>936.95209999999997</v>
      </c>
      <c r="F135" s="509">
        <v>904.11649999999986</v>
      </c>
      <c r="G135" s="509">
        <v>831.75829999999996</v>
      </c>
      <c r="H135" s="509">
        <v>804.54430000000002</v>
      </c>
      <c r="I135" s="509">
        <v>743.779</v>
      </c>
      <c r="J135" s="508"/>
    </row>
    <row r="136" spans="1:10">
      <c r="A136" s="508" t="s">
        <v>939</v>
      </c>
      <c r="B136" s="508"/>
      <c r="C136" s="508"/>
      <c r="D136" s="509"/>
      <c r="E136" s="509"/>
      <c r="F136" s="509"/>
      <c r="G136" s="509"/>
      <c r="H136" s="509"/>
      <c r="I136" s="509"/>
      <c r="J136" s="508"/>
    </row>
    <row r="137" spans="1:10">
      <c r="A137" s="508" t="s">
        <v>940</v>
      </c>
      <c r="B137" s="508"/>
      <c r="C137" s="508"/>
      <c r="D137" s="509"/>
      <c r="E137" s="509"/>
      <c r="F137" s="509"/>
      <c r="G137" s="509"/>
      <c r="H137" s="509"/>
      <c r="I137" s="509"/>
      <c r="J137" s="508"/>
    </row>
    <row r="138" spans="1:10">
      <c r="A138" s="508" t="s">
        <v>941</v>
      </c>
      <c r="B138" s="508"/>
      <c r="C138" s="508"/>
      <c r="D138" s="509">
        <v>193.25659999999999</v>
      </c>
      <c r="E138" s="509">
        <v>193.25659999999999</v>
      </c>
      <c r="F138" s="509">
        <v>193.25659999999999</v>
      </c>
      <c r="G138" s="509">
        <v>193.25659999999999</v>
      </c>
      <c r="H138" s="509">
        <v>193.25659999999999</v>
      </c>
      <c r="I138" s="509">
        <v>193.25659999999999</v>
      </c>
      <c r="J138" s="508"/>
    </row>
    <row r="139" spans="1:10">
      <c r="A139" s="508" t="s">
        <v>942</v>
      </c>
      <c r="B139" s="508"/>
      <c r="C139" s="508"/>
      <c r="D139" s="509">
        <v>97.56</v>
      </c>
      <c r="E139" s="509">
        <v>97.56</v>
      </c>
      <c r="F139" s="509">
        <v>97.56</v>
      </c>
      <c r="G139" s="509">
        <v>97.56</v>
      </c>
      <c r="H139" s="509">
        <v>97.56</v>
      </c>
      <c r="I139" s="509">
        <v>97.56</v>
      </c>
      <c r="J139" s="508"/>
    </row>
    <row r="140" spans="1:10">
      <c r="A140" s="508" t="s">
        <v>943</v>
      </c>
      <c r="B140" s="508"/>
      <c r="C140" s="508"/>
      <c r="D140" s="509">
        <v>57.1</v>
      </c>
      <c r="E140" s="509">
        <v>57.1</v>
      </c>
      <c r="F140" s="509">
        <v>57.1</v>
      </c>
      <c r="G140" s="509">
        <v>57.1</v>
      </c>
      <c r="H140" s="509">
        <v>57.1</v>
      </c>
      <c r="I140" s="509">
        <v>57.1</v>
      </c>
      <c r="J140" s="508"/>
    </row>
    <row r="141" spans="1:10">
      <c r="A141" s="508" t="s">
        <v>944</v>
      </c>
      <c r="B141" s="508"/>
      <c r="C141" s="508"/>
      <c r="D141" s="509">
        <v>211.6764</v>
      </c>
      <c r="E141" s="509">
        <v>211.6764</v>
      </c>
      <c r="F141" s="509">
        <v>211.6764</v>
      </c>
      <c r="G141" s="509">
        <v>211.6764</v>
      </c>
      <c r="H141" s="509">
        <v>211.6764</v>
      </c>
      <c r="I141" s="509">
        <v>211.6764</v>
      </c>
      <c r="J141" s="508"/>
    </row>
    <row r="142" spans="1:10">
      <c r="A142" s="508"/>
      <c r="B142" s="508"/>
      <c r="C142" s="508"/>
      <c r="D142" s="509"/>
      <c r="E142" s="509"/>
      <c r="F142" s="509"/>
      <c r="G142" s="509"/>
      <c r="H142" s="509"/>
      <c r="I142" s="509"/>
      <c r="J142" s="508"/>
    </row>
    <row r="143" spans="1:10">
      <c r="A143" s="508" t="s">
        <v>945</v>
      </c>
      <c r="B143" s="508"/>
      <c r="C143" s="508"/>
      <c r="D143" s="509">
        <v>-343.46169999999972</v>
      </c>
      <c r="E143" s="509">
        <v>-378.76079999999956</v>
      </c>
      <c r="F143" s="509">
        <v>-410.37779999999952</v>
      </c>
      <c r="G143" s="509">
        <v>-383.05179999999933</v>
      </c>
      <c r="H143" s="509">
        <v>-437.34959999999944</v>
      </c>
      <c r="I143" s="509">
        <v>-384.65919389733693</v>
      </c>
      <c r="J143" s="508"/>
    </row>
    <row r="144" spans="1:10">
      <c r="A144" s="508" t="s">
        <v>946</v>
      </c>
      <c r="B144" s="508"/>
      <c r="C144" s="508"/>
      <c r="D144" s="509"/>
      <c r="E144" s="509"/>
      <c r="F144" s="509"/>
      <c r="G144" s="509"/>
      <c r="H144" s="509"/>
      <c r="I144" s="509"/>
      <c r="J144" s="508"/>
    </row>
    <row r="145" spans="1:10">
      <c r="A145" s="508" t="s">
        <v>947</v>
      </c>
      <c r="B145" s="508"/>
      <c r="C145" s="508"/>
      <c r="D145" s="509"/>
      <c r="E145" s="509"/>
      <c r="F145" s="509"/>
      <c r="G145" s="509"/>
      <c r="H145" s="509"/>
      <c r="I145" s="509"/>
      <c r="J145" s="508"/>
    </row>
    <row r="146" spans="1:10">
      <c r="A146" s="508"/>
      <c r="B146" s="508"/>
      <c r="C146" s="508"/>
      <c r="D146" s="509"/>
      <c r="E146" s="509"/>
      <c r="F146" s="509"/>
      <c r="G146" s="509"/>
      <c r="H146" s="509"/>
      <c r="I146" s="509"/>
      <c r="J146" s="508"/>
    </row>
    <row r="147" spans="1:10">
      <c r="A147" s="508" t="s">
        <v>948</v>
      </c>
      <c r="B147" s="508"/>
      <c r="C147" s="508"/>
      <c r="D147" s="509">
        <v>0</v>
      </c>
      <c r="E147" s="509">
        <v>0</v>
      </c>
      <c r="F147" s="509">
        <v>0</v>
      </c>
      <c r="G147" s="509">
        <v>0</v>
      </c>
      <c r="H147" s="509"/>
      <c r="I147" s="509"/>
      <c r="J147" s="508"/>
    </row>
    <row r="148" spans="1:10">
      <c r="A148" s="508" t="s">
        <v>949</v>
      </c>
      <c r="B148" s="508"/>
      <c r="C148" s="508"/>
      <c r="D148" s="509">
        <v>270.7</v>
      </c>
      <c r="E148" s="509">
        <v>270.7</v>
      </c>
      <c r="F148" s="509">
        <v>270.7</v>
      </c>
      <c r="G148" s="509">
        <v>330.7</v>
      </c>
      <c r="H148" s="509">
        <v>330.7</v>
      </c>
      <c r="I148" s="509">
        <v>330.7</v>
      </c>
      <c r="J148" s="508"/>
    </row>
    <row r="149" spans="1:10">
      <c r="A149" s="508" t="s">
        <v>950</v>
      </c>
      <c r="B149" s="508"/>
      <c r="C149" s="508"/>
      <c r="D149" s="509">
        <v>8.7406000000000006</v>
      </c>
      <c r="E149" s="509">
        <v>8.1501000000000001</v>
      </c>
      <c r="F149" s="509">
        <v>7.5774999999999997</v>
      </c>
      <c r="G149" s="509">
        <v>7.0119999999999996</v>
      </c>
      <c r="H149" s="509">
        <v>6.4466999999999999</v>
      </c>
      <c r="I149" s="509">
        <v>6.4466999999999999</v>
      </c>
      <c r="J149" s="508"/>
    </row>
    <row r="150" spans="1:10">
      <c r="A150" s="508" t="s">
        <v>951</v>
      </c>
      <c r="B150" s="508"/>
      <c r="C150" s="508"/>
      <c r="D150" s="509">
        <v>0.625</v>
      </c>
      <c r="E150" s="509">
        <v>0.625</v>
      </c>
      <c r="F150" s="509">
        <v>0.625</v>
      </c>
      <c r="G150" s="509">
        <v>0.625</v>
      </c>
      <c r="H150" s="509">
        <v>0.625</v>
      </c>
      <c r="I150" s="509">
        <v>0.625</v>
      </c>
      <c r="J150" s="508"/>
    </row>
    <row r="151" spans="1:10">
      <c r="A151" s="508" t="s">
        <v>952</v>
      </c>
      <c r="B151" s="508"/>
      <c r="C151" s="508"/>
      <c r="D151" s="509">
        <v>496.19690000000037</v>
      </c>
      <c r="E151" s="509">
        <v>460.30730000000051</v>
      </c>
      <c r="F151" s="509">
        <v>428.11770000000058</v>
      </c>
      <c r="G151" s="509">
        <v>514.87820000000079</v>
      </c>
      <c r="H151" s="509">
        <v>460.01510000000064</v>
      </c>
      <c r="I151" s="509">
        <v>512.70550610266309</v>
      </c>
      <c r="J151" s="508"/>
    </row>
    <row r="152" spans="1:10">
      <c r="A152" s="508" t="s">
        <v>90</v>
      </c>
      <c r="B152" s="508"/>
      <c r="C152" s="508"/>
      <c r="D152" s="509">
        <v>1442.4000000000005</v>
      </c>
      <c r="E152" s="509">
        <v>1397.2594000000004</v>
      </c>
      <c r="F152" s="509">
        <v>1332.2342000000003</v>
      </c>
      <c r="G152" s="509">
        <v>1346.6365000000008</v>
      </c>
      <c r="H152" s="509">
        <v>1264.5594000000006</v>
      </c>
      <c r="I152" s="509">
        <v>1256.4845061026631</v>
      </c>
      <c r="J152" s="508"/>
    </row>
    <row r="153" spans="1:10">
      <c r="A153" s="508"/>
      <c r="B153" s="508"/>
      <c r="C153" s="508"/>
      <c r="D153" s="509"/>
      <c r="E153" s="509"/>
      <c r="F153" s="509"/>
      <c r="G153" s="509"/>
      <c r="H153" s="509"/>
      <c r="I153" s="509"/>
      <c r="J153" s="508"/>
    </row>
    <row r="154" spans="1:10">
      <c r="A154" s="508"/>
      <c r="B154" s="508"/>
      <c r="C154" s="508"/>
      <c r="D154" s="509">
        <v>1.0000000004311005E-3</v>
      </c>
      <c r="E154" s="509">
        <v>1.3000000003557943E-3</v>
      </c>
      <c r="F154" s="509">
        <v>9.0000000045620254E-4</v>
      </c>
      <c r="G154" s="509">
        <v>9.0000000068357622E-4</v>
      </c>
      <c r="H154" s="509">
        <v>6.000000005315087E-4</v>
      </c>
      <c r="I154" s="509">
        <v>39.123909862936898</v>
      </c>
      <c r="J154" s="508"/>
    </row>
    <row r="155" spans="1:10">
      <c r="A155" s="508"/>
      <c r="B155" s="508"/>
      <c r="C155" s="508"/>
      <c r="D155" s="508"/>
      <c r="E155" s="508"/>
      <c r="F155" s="508"/>
      <c r="G155" s="508"/>
      <c r="H155" s="508"/>
      <c r="I155" s="508"/>
    </row>
    <row r="156" spans="1:10">
      <c r="A156" s="508" t="s">
        <v>953</v>
      </c>
      <c r="B156" s="508"/>
      <c r="C156" s="508"/>
      <c r="D156" s="508">
        <v>0.6784</v>
      </c>
      <c r="E156" s="508">
        <v>1.2338000000000002</v>
      </c>
      <c r="F156" s="508">
        <v>2.2682000000000002</v>
      </c>
      <c r="G156" s="508">
        <v>0.32029999999999997</v>
      </c>
      <c r="H156" s="508">
        <v>0.38460000000000072</v>
      </c>
      <c r="I156" s="508">
        <v>17.489999999999998</v>
      </c>
    </row>
    <row r="157" spans="1:10">
      <c r="A157" s="508" t="s">
        <v>954</v>
      </c>
      <c r="B157" s="508"/>
      <c r="C157" s="508"/>
      <c r="D157" s="508">
        <v>2.8311999999999999</v>
      </c>
      <c r="E157" s="508">
        <v>1.6251</v>
      </c>
      <c r="F157" s="508">
        <v>0.46100000000000002</v>
      </c>
      <c r="G157" s="508">
        <v>7.0213000000000001</v>
      </c>
      <c r="H157" s="508">
        <v>10.3706</v>
      </c>
      <c r="I157" s="508">
        <v>10</v>
      </c>
    </row>
    <row r="158" spans="1:10">
      <c r="A158" s="510" t="s">
        <v>955</v>
      </c>
      <c r="B158" s="508"/>
      <c r="C158" s="508"/>
      <c r="D158" s="508">
        <v>59.658200000000008</v>
      </c>
      <c r="E158" s="508">
        <v>75.23490000000001</v>
      </c>
      <c r="F158" s="508">
        <v>92.766099999999994</v>
      </c>
      <c r="G158" s="508">
        <v>74.426299999999998</v>
      </c>
      <c r="H158" s="508">
        <v>44.411000000000001</v>
      </c>
      <c r="I158" s="508">
        <v>79.017220547945186</v>
      </c>
    </row>
    <row r="159" spans="1:10">
      <c r="A159" s="508" t="s">
        <v>956</v>
      </c>
      <c r="B159" s="508"/>
      <c r="C159" s="508"/>
      <c r="D159" s="508"/>
      <c r="E159" s="508"/>
      <c r="F159" s="508"/>
      <c r="G159" s="508"/>
      <c r="H159" s="508"/>
      <c r="I159" s="508"/>
    </row>
    <row r="160" spans="1:10">
      <c r="A160" s="508" t="s">
        <v>957</v>
      </c>
      <c r="B160" s="508"/>
      <c r="C160" s="508"/>
      <c r="D160" s="508"/>
      <c r="E160" s="508"/>
      <c r="F160" s="508"/>
      <c r="G160" s="508"/>
      <c r="H160" s="508"/>
      <c r="I160" s="508"/>
    </row>
    <row r="161" spans="1:9">
      <c r="A161" s="508" t="s">
        <v>958</v>
      </c>
      <c r="B161" s="508"/>
      <c r="C161" s="508"/>
      <c r="D161" s="508"/>
      <c r="E161" s="508"/>
      <c r="F161" s="508"/>
      <c r="G161" s="508"/>
      <c r="H161" s="508"/>
      <c r="I161" s="508"/>
    </row>
    <row r="162" spans="1:9">
      <c r="A162" s="510" t="s">
        <v>959</v>
      </c>
      <c r="B162" s="508"/>
      <c r="C162" s="508"/>
      <c r="D162" s="508">
        <v>22.273900000000001</v>
      </c>
      <c r="E162" s="508">
        <v>7.21</v>
      </c>
      <c r="F162" s="508">
        <v>5.3381999999999996</v>
      </c>
      <c r="G162" s="508">
        <v>17.309999999999999</v>
      </c>
      <c r="H162" s="508">
        <v>13.3026</v>
      </c>
      <c r="I162" s="508">
        <v>19.17808219178082</v>
      </c>
    </row>
    <row r="163" spans="1:9">
      <c r="A163" s="508" t="s">
        <v>957</v>
      </c>
      <c r="B163" s="508"/>
      <c r="C163" s="508"/>
      <c r="D163" s="508"/>
      <c r="E163" s="508"/>
      <c r="F163" s="508"/>
      <c r="G163" s="508"/>
      <c r="H163" s="508"/>
      <c r="I163" s="508"/>
    </row>
    <row r="164" spans="1:9">
      <c r="A164" s="508" t="s">
        <v>960</v>
      </c>
      <c r="B164" s="508"/>
      <c r="C164" s="508"/>
      <c r="D164" s="508"/>
      <c r="E164" s="508"/>
      <c r="F164" s="508"/>
      <c r="G164" s="508"/>
      <c r="H164" s="508"/>
      <c r="I164" s="508"/>
    </row>
    <row r="165" spans="1:9">
      <c r="A165" s="508" t="s">
        <v>961</v>
      </c>
      <c r="B165" s="508"/>
      <c r="C165" s="508"/>
      <c r="D165" s="508"/>
      <c r="E165" s="508"/>
      <c r="F165" s="508"/>
      <c r="G165" s="508"/>
      <c r="H165" s="508"/>
      <c r="I165" s="508"/>
    </row>
    <row r="166" spans="1:9">
      <c r="A166" s="508" t="s">
        <v>962</v>
      </c>
      <c r="B166" s="508"/>
      <c r="C166" s="508"/>
      <c r="D166" s="508"/>
      <c r="E166" s="508"/>
      <c r="F166" s="508"/>
      <c r="G166" s="508"/>
      <c r="H166" s="508"/>
      <c r="I166" s="508"/>
    </row>
    <row r="167" spans="1:9">
      <c r="A167" s="510" t="s">
        <v>963</v>
      </c>
      <c r="B167" s="508"/>
      <c r="C167" s="508"/>
      <c r="D167" s="508">
        <v>118.5043</v>
      </c>
      <c r="E167" s="508">
        <v>118.83279999999999</v>
      </c>
      <c r="F167" s="508">
        <v>116.4134</v>
      </c>
      <c r="G167" s="508">
        <v>174.7422</v>
      </c>
      <c r="H167" s="508">
        <v>162.51349999999999</v>
      </c>
      <c r="I167" s="508">
        <v>182.64500000000001</v>
      </c>
    </row>
    <row r="168" spans="1:9">
      <c r="A168" s="508" t="s">
        <v>964</v>
      </c>
      <c r="B168" s="508"/>
      <c r="C168" s="508"/>
      <c r="D168" s="508">
        <v>31.544</v>
      </c>
      <c r="E168" s="508">
        <v>24.886800000000001</v>
      </c>
      <c r="F168" s="508">
        <v>51.505200000000002</v>
      </c>
      <c r="G168" s="508">
        <v>55.05599999999999</v>
      </c>
      <c r="H168" s="508">
        <v>61.28220000000001</v>
      </c>
      <c r="I168" s="508">
        <v>78.413700000000034</v>
      </c>
    </row>
    <row r="169" spans="1:9">
      <c r="A169" s="508" t="s">
        <v>965</v>
      </c>
      <c r="B169" s="508"/>
      <c r="C169" s="508"/>
      <c r="D169" s="508"/>
      <c r="E169" s="508"/>
      <c r="F169" s="508"/>
      <c r="G169" s="508"/>
      <c r="H169" s="508"/>
      <c r="I169" s="508"/>
    </row>
    <row r="170" spans="1:9">
      <c r="A170" s="508" t="s">
        <v>966</v>
      </c>
      <c r="B170" s="508"/>
      <c r="C170" s="508"/>
      <c r="D170" s="508"/>
      <c r="E170" s="508"/>
      <c r="F170" s="508"/>
      <c r="G170" s="508"/>
      <c r="H170" s="508"/>
      <c r="I170" s="508"/>
    </row>
    <row r="171" spans="1:9">
      <c r="A171" s="508" t="s">
        <v>967</v>
      </c>
      <c r="B171" s="508"/>
      <c r="C171" s="508"/>
      <c r="D171" s="508"/>
      <c r="E171" s="508"/>
      <c r="F171" s="508"/>
      <c r="G171" s="508"/>
      <c r="H171" s="508"/>
      <c r="I171" s="508"/>
    </row>
    <row r="172" spans="1:9">
      <c r="A172" s="508" t="s">
        <v>968</v>
      </c>
      <c r="B172" s="508"/>
      <c r="C172" s="508"/>
      <c r="D172" s="508">
        <v>31.544</v>
      </c>
      <c r="E172" s="508">
        <v>24.886800000000001</v>
      </c>
      <c r="F172" s="508">
        <v>51.505200000000002</v>
      </c>
      <c r="G172" s="508">
        <v>55.05599999999999</v>
      </c>
      <c r="H172" s="508">
        <v>61.28220000000001</v>
      </c>
      <c r="I172" s="508">
        <v>78.413700000000034</v>
      </c>
    </row>
    <row r="173" spans="1:9">
      <c r="A173" s="508" t="s">
        <v>969</v>
      </c>
      <c r="B173" s="508"/>
      <c r="C173" s="508"/>
      <c r="D173" s="508">
        <v>30.721699999999998</v>
      </c>
      <c r="E173" s="508">
        <v>32.176699999999997</v>
      </c>
      <c r="F173" s="508">
        <v>26.654800000000002</v>
      </c>
      <c r="G173" s="508">
        <v>51.347900000000003</v>
      </c>
      <c r="H173" s="508">
        <v>36.128999999999998</v>
      </c>
      <c r="I173" s="508">
        <v>36.128999999999998</v>
      </c>
    </row>
    <row r="174" spans="1:9">
      <c r="A174" s="508" t="s">
        <v>970</v>
      </c>
      <c r="B174" s="508"/>
      <c r="C174" s="508"/>
      <c r="D174" s="508">
        <v>47.076999999999998</v>
      </c>
      <c r="E174" s="508">
        <v>51.498899999999999</v>
      </c>
      <c r="F174" s="508">
        <v>27.137799999999999</v>
      </c>
      <c r="G174" s="508">
        <v>55.737900000000003</v>
      </c>
      <c r="H174" s="508">
        <v>53.366199999999999</v>
      </c>
      <c r="I174" s="508">
        <v>53.366199999999999</v>
      </c>
    </row>
    <row r="175" spans="1:9">
      <c r="A175" s="508" t="s">
        <v>971</v>
      </c>
      <c r="B175" s="508"/>
      <c r="C175" s="508"/>
      <c r="D175" s="508">
        <v>9.1616</v>
      </c>
      <c r="E175" s="508">
        <v>10.2704</v>
      </c>
      <c r="F175" s="508">
        <v>11.115600000000001</v>
      </c>
      <c r="G175" s="508">
        <v>12.6004</v>
      </c>
      <c r="H175" s="508">
        <v>11.7361</v>
      </c>
      <c r="I175" s="508">
        <v>14.7361</v>
      </c>
    </row>
    <row r="176" spans="1:9">
      <c r="A176" s="508" t="s">
        <v>972</v>
      </c>
      <c r="B176" s="508"/>
      <c r="C176" s="508"/>
      <c r="D176" s="508"/>
      <c r="E176" s="508"/>
      <c r="F176" s="508"/>
      <c r="G176" s="508"/>
      <c r="H176" s="508"/>
      <c r="I176" s="508"/>
    </row>
    <row r="177" spans="1:9">
      <c r="A177" s="508" t="s">
        <v>973</v>
      </c>
      <c r="B177" s="508"/>
      <c r="C177" s="508"/>
      <c r="D177" s="508">
        <v>9.1616</v>
      </c>
      <c r="E177" s="508">
        <v>10.2704</v>
      </c>
      <c r="F177" s="508">
        <v>11.115600000000001</v>
      </c>
      <c r="G177" s="508">
        <v>12.6004</v>
      </c>
      <c r="H177" s="508">
        <v>11.7361</v>
      </c>
      <c r="I177" s="508">
        <v>14.7361</v>
      </c>
    </row>
    <row r="178" spans="1:9">
      <c r="A178" s="508" t="s">
        <v>974</v>
      </c>
      <c r="B178" s="508"/>
      <c r="C178" s="508"/>
      <c r="D178" s="508"/>
      <c r="E178" s="508"/>
      <c r="F178" s="508"/>
      <c r="G178" s="508"/>
      <c r="H178" s="508"/>
      <c r="I178" s="508"/>
    </row>
    <row r="179" spans="1:9">
      <c r="A179" s="508" t="s">
        <v>975</v>
      </c>
      <c r="B179" s="508"/>
      <c r="C179" s="508"/>
      <c r="D179" s="508"/>
      <c r="E179" s="508"/>
      <c r="F179" s="508"/>
      <c r="G179" s="508"/>
      <c r="H179" s="508"/>
      <c r="I179" s="508"/>
    </row>
    <row r="180" spans="1:9">
      <c r="A180" s="508" t="s">
        <v>976</v>
      </c>
      <c r="B180" s="508"/>
      <c r="C180" s="508"/>
      <c r="D180" s="508"/>
      <c r="E180" s="508"/>
      <c r="F180" s="508"/>
      <c r="G180" s="508"/>
      <c r="H180" s="508"/>
      <c r="I180" s="508"/>
    </row>
    <row r="181" spans="1:9">
      <c r="A181" s="508" t="s">
        <v>977</v>
      </c>
      <c r="B181" s="508"/>
      <c r="C181" s="508"/>
      <c r="D181" s="508"/>
      <c r="E181" s="508"/>
      <c r="F181" s="508"/>
      <c r="G181" s="508"/>
      <c r="H181" s="508"/>
      <c r="I181" s="508"/>
    </row>
    <row r="182" spans="1:9">
      <c r="A182" s="508"/>
      <c r="B182" s="508"/>
      <c r="C182" s="508"/>
      <c r="D182" s="508">
        <v>213.17849999999999</v>
      </c>
      <c r="E182" s="508">
        <v>218.41030000000001</v>
      </c>
      <c r="F182" s="508">
        <v>212.86500000000001</v>
      </c>
      <c r="G182" s="508">
        <v>209.8664</v>
      </c>
      <c r="H182" s="508">
        <v>203.61429999999999</v>
      </c>
      <c r="I182" s="508">
        <v>136.99</v>
      </c>
    </row>
    <row r="183" spans="1:9">
      <c r="A183" s="508"/>
      <c r="B183" s="508"/>
      <c r="C183" s="508"/>
      <c r="D183" s="508"/>
      <c r="E183" s="508"/>
      <c r="F183" s="508"/>
      <c r="G183" s="508"/>
      <c r="H183" s="508"/>
      <c r="I183" s="508"/>
    </row>
    <row r="184" spans="1:9">
      <c r="A184" s="508" t="s">
        <v>978</v>
      </c>
      <c r="B184" s="508"/>
      <c r="C184" s="508"/>
      <c r="D184" s="508">
        <v>213.17849999999999</v>
      </c>
      <c r="E184" s="508">
        <v>218.41030000000001</v>
      </c>
      <c r="F184" s="508">
        <v>212.86500000000001</v>
      </c>
      <c r="G184" s="508">
        <v>209.8664</v>
      </c>
      <c r="H184" s="508">
        <v>203.61429999999999</v>
      </c>
      <c r="I184" s="508">
        <v>136.99</v>
      </c>
    </row>
    <row r="185" spans="1:9">
      <c r="A185" s="508" t="s">
        <v>979</v>
      </c>
      <c r="B185" s="508"/>
      <c r="C185" s="508"/>
      <c r="D185" s="508"/>
      <c r="E185" s="508"/>
      <c r="F185" s="508"/>
      <c r="G185" s="508"/>
      <c r="H185" s="508"/>
      <c r="I185" s="508"/>
    </row>
    <row r="186" spans="1:9">
      <c r="A186" s="508"/>
      <c r="B186" s="508"/>
      <c r="C186" s="508"/>
      <c r="D186" s="508"/>
      <c r="E186" s="508"/>
      <c r="F186" s="508"/>
      <c r="G186" s="508"/>
      <c r="H186" s="508"/>
      <c r="I186" s="508"/>
    </row>
    <row r="187" spans="1:9">
      <c r="A187" s="508" t="s">
        <v>658</v>
      </c>
      <c r="B187" s="508"/>
      <c r="C187" s="508"/>
      <c r="D187" s="508">
        <v>417.12450000000001</v>
      </c>
      <c r="E187" s="508">
        <v>422.54689999999999</v>
      </c>
      <c r="F187" s="508">
        <v>430.11189999999999</v>
      </c>
      <c r="G187" s="508">
        <v>483.68650000000002</v>
      </c>
      <c r="H187" s="508">
        <v>434.59659999999997</v>
      </c>
      <c r="I187" s="508">
        <v>445.320302739726</v>
      </c>
    </row>
    <row r="188" spans="1:9">
      <c r="A188" s="508"/>
      <c r="B188" s="508"/>
      <c r="C188" s="508"/>
      <c r="D188" s="508"/>
      <c r="E188" s="508"/>
      <c r="F188" s="508"/>
      <c r="G188" s="508"/>
      <c r="H188" s="508">
        <v>423.84139999999996</v>
      </c>
      <c r="I188" s="508">
        <v>417.83030273972599</v>
      </c>
    </row>
    <row r="189" spans="1:9">
      <c r="A189" s="508" t="s">
        <v>888</v>
      </c>
      <c r="B189" s="508"/>
      <c r="C189" s="508"/>
      <c r="D189" s="508"/>
      <c r="E189" s="508"/>
      <c r="F189" s="508"/>
      <c r="G189" s="508"/>
      <c r="H189" s="508"/>
      <c r="I189" s="508">
        <v>-6.0110972602739707</v>
      </c>
    </row>
    <row r="190" spans="1:9">
      <c r="A190" s="508" t="s">
        <v>980</v>
      </c>
      <c r="B190" s="508"/>
      <c r="C190" s="508"/>
      <c r="D190" s="1" t="s">
        <v>889</v>
      </c>
      <c r="E190" s="1" t="s">
        <v>890</v>
      </c>
      <c r="F190" s="1" t="s">
        <v>891</v>
      </c>
      <c r="G190" s="1" t="s">
        <v>892</v>
      </c>
      <c r="H190" s="1" t="s">
        <v>893</v>
      </c>
      <c r="I190" s="1" t="s">
        <v>894</v>
      </c>
    </row>
    <row r="191" spans="1:9">
      <c r="A191" s="508" t="s">
        <v>981</v>
      </c>
      <c r="B191" s="508"/>
      <c r="C191" s="508"/>
      <c r="D191" s="508">
        <v>1445.4436000000001</v>
      </c>
      <c r="E191" s="508">
        <v>1449.3187</v>
      </c>
      <c r="F191" s="508">
        <v>1451.3098</v>
      </c>
      <c r="G191" s="508">
        <v>1446.164</v>
      </c>
      <c r="H191" s="508">
        <v>1458.6</v>
      </c>
      <c r="I191" s="508">
        <v>1468.6</v>
      </c>
    </row>
    <row r="192" spans="1:9">
      <c r="A192" s="508" t="s">
        <v>982</v>
      </c>
      <c r="B192" s="508"/>
      <c r="C192" s="508"/>
      <c r="D192" s="508"/>
      <c r="E192" s="508"/>
      <c r="F192" s="508"/>
      <c r="G192" s="508"/>
      <c r="H192" s="508"/>
      <c r="I192" s="508"/>
    </row>
    <row r="193" spans="1:9">
      <c r="A193" s="508" t="s">
        <v>983</v>
      </c>
      <c r="B193" s="508"/>
      <c r="C193" s="508"/>
      <c r="D193" s="508">
        <v>540.82680000000005</v>
      </c>
      <c r="E193" s="508">
        <v>594.10990000000004</v>
      </c>
      <c r="F193" s="508">
        <v>643.13480000000004</v>
      </c>
      <c r="G193" s="508">
        <v>682.76</v>
      </c>
      <c r="H193" s="508">
        <v>729.3</v>
      </c>
      <c r="I193" s="508">
        <v>790.66530649999993</v>
      </c>
    </row>
    <row r="194" spans="1:9">
      <c r="A194" s="508" t="s">
        <v>984</v>
      </c>
      <c r="B194" s="508"/>
      <c r="C194" s="508"/>
      <c r="D194" s="508">
        <v>904.61680000000001</v>
      </c>
      <c r="E194" s="508">
        <v>855.2088</v>
      </c>
      <c r="F194" s="508">
        <v>808.17499999999995</v>
      </c>
      <c r="G194" s="508">
        <v>763.404</v>
      </c>
      <c r="H194" s="508">
        <v>729.3</v>
      </c>
      <c r="I194" s="508">
        <v>677.93469349999998</v>
      </c>
    </row>
    <row r="195" spans="1:9">
      <c r="A195" s="508"/>
      <c r="B195" s="508"/>
      <c r="C195" s="508"/>
      <c r="D195" s="508"/>
      <c r="E195" s="508"/>
      <c r="F195" s="508"/>
      <c r="G195" s="508"/>
      <c r="H195" s="508"/>
      <c r="I195" s="508"/>
    </row>
    <row r="196" spans="1:9">
      <c r="A196" s="508" t="s">
        <v>985</v>
      </c>
      <c r="B196" s="508"/>
      <c r="C196" s="508"/>
      <c r="D196" s="508">
        <v>44.810600000000001</v>
      </c>
      <c r="E196" s="508">
        <v>44.883899999999997</v>
      </c>
      <c r="F196" s="508">
        <v>19.659599999999998</v>
      </c>
      <c r="G196" s="508">
        <v>21.0808</v>
      </c>
      <c r="H196" s="508">
        <v>20.476900000000001</v>
      </c>
      <c r="I196" s="508">
        <v>20.476900000000001</v>
      </c>
    </row>
    <row r="197" spans="1:9">
      <c r="A197" s="508" t="s">
        <v>986</v>
      </c>
      <c r="B197" s="508"/>
      <c r="C197" s="508"/>
      <c r="D197" s="508"/>
      <c r="E197" s="508"/>
      <c r="F197" s="508"/>
      <c r="G197" s="508"/>
      <c r="H197" s="508"/>
      <c r="I197" s="508"/>
    </row>
    <row r="198" spans="1:9">
      <c r="A198" s="508" t="s">
        <v>987</v>
      </c>
      <c r="B198" s="508"/>
      <c r="C198" s="508"/>
      <c r="D198" s="508"/>
      <c r="E198" s="508"/>
      <c r="F198" s="508"/>
      <c r="G198" s="508"/>
      <c r="H198" s="508"/>
      <c r="I198" s="508"/>
    </row>
    <row r="199" spans="1:9">
      <c r="A199" s="508" t="s">
        <v>988</v>
      </c>
      <c r="B199" s="508"/>
      <c r="C199" s="508"/>
      <c r="D199" s="508">
        <v>8.4559999999999995</v>
      </c>
      <c r="E199" s="508">
        <v>8.4559999999999995</v>
      </c>
      <c r="F199" s="508">
        <v>1.1999999999999999E-3</v>
      </c>
      <c r="G199" s="508">
        <v>1.1999999999999999E-3</v>
      </c>
      <c r="H199" s="508">
        <v>1.1999999999999999E-3</v>
      </c>
      <c r="I199" s="508">
        <v>1.1999999999999999E-3</v>
      </c>
    </row>
    <row r="200" spans="1:9">
      <c r="A200" s="508" t="s">
        <v>989</v>
      </c>
      <c r="B200" s="508"/>
      <c r="C200" s="508"/>
      <c r="D200" s="508"/>
      <c r="E200" s="508"/>
      <c r="F200" s="508"/>
      <c r="G200" s="508"/>
      <c r="H200" s="508"/>
      <c r="I200" s="508"/>
    </row>
    <row r="201" spans="1:9">
      <c r="A201" s="508" t="s">
        <v>990</v>
      </c>
      <c r="B201" s="508"/>
      <c r="C201" s="508"/>
      <c r="D201" s="508"/>
      <c r="E201" s="508"/>
      <c r="F201" s="508"/>
      <c r="G201" s="508"/>
      <c r="H201" s="508"/>
      <c r="I201" s="508"/>
    </row>
    <row r="202" spans="1:9">
      <c r="A202" s="508" t="s">
        <v>991</v>
      </c>
      <c r="B202" s="508"/>
      <c r="C202" s="508"/>
      <c r="D202" s="508">
        <v>1.8351</v>
      </c>
      <c r="E202" s="508">
        <v>0.99690000000000001</v>
      </c>
      <c r="F202" s="508">
        <v>0.82950000000000002</v>
      </c>
      <c r="G202" s="508">
        <v>0</v>
      </c>
      <c r="H202" s="508">
        <v>0</v>
      </c>
      <c r="I202" s="508">
        <v>0</v>
      </c>
    </row>
    <row r="203" spans="1:9">
      <c r="A203" s="508" t="s">
        <v>992</v>
      </c>
      <c r="B203" s="508"/>
      <c r="C203" s="508"/>
      <c r="D203" s="508"/>
      <c r="E203" s="508"/>
      <c r="F203" s="508"/>
      <c r="G203" s="508"/>
      <c r="H203" s="508"/>
      <c r="I203" s="508"/>
    </row>
    <row r="204" spans="1:9">
      <c r="A204" s="508" t="s">
        <v>993</v>
      </c>
      <c r="B204" s="508"/>
      <c r="C204" s="508"/>
      <c r="D204" s="508"/>
      <c r="E204" s="508"/>
      <c r="F204" s="508"/>
      <c r="G204" s="508"/>
      <c r="H204" s="508"/>
      <c r="I204" s="508"/>
    </row>
    <row r="205" spans="1:9">
      <c r="A205" s="508" t="s">
        <v>994</v>
      </c>
      <c r="B205" s="508"/>
      <c r="C205" s="508"/>
      <c r="D205" s="508"/>
      <c r="E205" s="508"/>
      <c r="F205" s="508"/>
      <c r="G205" s="508"/>
      <c r="H205" s="508"/>
      <c r="I205" s="508"/>
    </row>
    <row r="206" spans="1:9">
      <c r="A206" s="508" t="s">
        <v>995</v>
      </c>
      <c r="B206" s="508"/>
      <c r="C206" s="508"/>
      <c r="D206" s="508">
        <v>0.9718</v>
      </c>
      <c r="E206" s="508">
        <v>1.6819</v>
      </c>
      <c r="F206" s="508">
        <v>1.3010999999999999</v>
      </c>
      <c r="G206" s="508">
        <v>1.0705</v>
      </c>
      <c r="H206" s="508">
        <v>0.14530000000000001</v>
      </c>
      <c r="I206" s="508">
        <v>0.14530000000000001</v>
      </c>
    </row>
    <row r="207" spans="1:9">
      <c r="A207" s="508" t="s">
        <v>996</v>
      </c>
      <c r="B207" s="508"/>
      <c r="C207" s="508"/>
      <c r="D207" s="508">
        <v>27.047699999999999</v>
      </c>
      <c r="E207" s="508">
        <v>27.249099999999999</v>
      </c>
      <c r="F207" s="508">
        <v>11.027799999999999</v>
      </c>
      <c r="G207" s="508">
        <v>13.5091</v>
      </c>
      <c r="H207" s="508">
        <v>13.830400000000001</v>
      </c>
      <c r="I207" s="508">
        <v>13.830400000000001</v>
      </c>
    </row>
    <row r="208" spans="1:9">
      <c r="A208" s="508" t="s">
        <v>997</v>
      </c>
      <c r="B208" s="508"/>
      <c r="C208" s="508"/>
      <c r="D208" s="508">
        <v>6.5</v>
      </c>
      <c r="E208" s="508">
        <v>6.5</v>
      </c>
      <c r="F208" s="508">
        <v>6.5</v>
      </c>
      <c r="G208" s="508">
        <v>6.5</v>
      </c>
      <c r="H208" s="508">
        <v>6.5</v>
      </c>
      <c r="I208" s="508">
        <v>6.5</v>
      </c>
    </row>
    <row r="209" spans="1:9">
      <c r="A209" s="508" t="s">
        <v>998</v>
      </c>
      <c r="B209" s="508"/>
      <c r="C209" s="508"/>
      <c r="D209" s="508"/>
      <c r="E209" s="508"/>
      <c r="F209" s="508"/>
      <c r="G209" s="508"/>
      <c r="H209" s="508"/>
      <c r="I209" s="508"/>
    </row>
    <row r="210" spans="1:9">
      <c r="A210" s="508" t="s">
        <v>999</v>
      </c>
      <c r="B210" s="508"/>
      <c r="C210" s="508"/>
      <c r="D210" s="508"/>
      <c r="E210" s="508"/>
      <c r="F210" s="508"/>
      <c r="G210" s="508"/>
      <c r="H210" s="508"/>
      <c r="I210" s="508"/>
    </row>
    <row r="211" spans="1:9">
      <c r="A211" s="508" t="s">
        <v>1000</v>
      </c>
      <c r="B211" s="508"/>
      <c r="C211" s="508"/>
      <c r="D211" s="508">
        <v>14.903299999999998</v>
      </c>
      <c r="E211" s="508">
        <v>14.251699999999998</v>
      </c>
      <c r="F211" s="508">
        <v>13.637799999999999</v>
      </c>
      <c r="G211" s="508">
        <v>17.940800000000003</v>
      </c>
      <c r="H211" s="508">
        <v>19.766199999999998</v>
      </c>
      <c r="I211" s="508">
        <v>15.709599999999998</v>
      </c>
    </row>
    <row r="212" spans="1:9">
      <c r="A212" s="508" t="s">
        <v>1001</v>
      </c>
      <c r="B212" s="508"/>
      <c r="C212" s="508"/>
      <c r="D212" s="508"/>
      <c r="E212" s="508"/>
      <c r="F212" s="508"/>
      <c r="G212" s="508"/>
      <c r="H212" s="508"/>
      <c r="I212" s="508"/>
    </row>
    <row r="213" spans="1:9">
      <c r="A213" s="508" t="s">
        <v>1002</v>
      </c>
      <c r="B213" s="508"/>
      <c r="C213" s="508"/>
      <c r="D213" s="508">
        <v>59.713899999999995</v>
      </c>
      <c r="E213" s="508">
        <v>59.135599999999997</v>
      </c>
      <c r="F213" s="508">
        <v>33.297399999999996</v>
      </c>
      <c r="G213" s="508">
        <v>39.021600000000007</v>
      </c>
      <c r="H213" s="508">
        <v>40.243099999999998</v>
      </c>
      <c r="I213" s="508">
        <v>36.186499999999995</v>
      </c>
    </row>
    <row r="214" spans="1:9">
      <c r="A214" s="508" t="s">
        <v>1003</v>
      </c>
      <c r="B214" s="508"/>
      <c r="C214" s="508"/>
      <c r="D214" s="508">
        <v>60.943800000000003</v>
      </c>
      <c r="E214" s="508">
        <v>60.366799999999998</v>
      </c>
      <c r="F214" s="508">
        <v>60.649000000000001</v>
      </c>
      <c r="G214" s="508">
        <v>60.523499999999999</v>
      </c>
      <c r="H214" s="508">
        <v>60.4191</v>
      </c>
      <c r="I214" s="508">
        <v>60.4191</v>
      </c>
    </row>
    <row r="215" spans="1:9">
      <c r="A215" s="508" t="s">
        <v>1004</v>
      </c>
      <c r="B215" s="508"/>
      <c r="C215" s="508"/>
      <c r="D215" s="508">
        <v>119.6859</v>
      </c>
      <c r="E215" s="508">
        <v>117.8205</v>
      </c>
      <c r="F215" s="508">
        <v>92.645299999999992</v>
      </c>
      <c r="G215" s="508">
        <v>98.474600000000009</v>
      </c>
      <c r="H215" s="508">
        <v>100.51689999999999</v>
      </c>
      <c r="I215" s="508">
        <v>96.460299999999989</v>
      </c>
    </row>
    <row r="216" spans="1:9">
      <c r="A216" s="508" t="s">
        <v>1005</v>
      </c>
      <c r="B216" s="508"/>
      <c r="C216" s="508"/>
      <c r="D216" s="508"/>
      <c r="E216" s="508"/>
      <c r="F216" s="508"/>
      <c r="G216" s="508"/>
      <c r="H216" s="508"/>
      <c r="I216" s="508"/>
    </row>
    <row r="217" spans="1:9">
      <c r="A217" s="508" t="s">
        <v>1006</v>
      </c>
      <c r="B217" s="508"/>
      <c r="C217" s="508"/>
      <c r="D217" s="508">
        <v>1442.3990000000001</v>
      </c>
      <c r="E217" s="508">
        <v>1397.2581</v>
      </c>
      <c r="F217" s="508">
        <v>1332.2332999999999</v>
      </c>
      <c r="G217" s="508">
        <v>1346.6356000000001</v>
      </c>
      <c r="H217" s="508">
        <v>1264.5588</v>
      </c>
      <c r="I217" s="508">
        <v>1219.8605962397262</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2:U49"/>
  <sheetViews>
    <sheetView workbookViewId="0">
      <selection activeCell="P16" sqref="P16"/>
    </sheetView>
  </sheetViews>
  <sheetFormatPr defaultRowHeight="14.4"/>
  <cols>
    <col min="2" max="2" width="36.44140625" bestFit="1" customWidth="1"/>
    <col min="3" max="3" width="14.33203125" hidden="1" customWidth="1"/>
    <col min="4" max="5" width="14" hidden="1" customWidth="1"/>
    <col min="6" max="7" width="8.88671875" hidden="1" customWidth="1"/>
    <col min="8" max="10" width="9.33203125" hidden="1" customWidth="1"/>
    <col min="11" max="11" width="10" hidden="1" customWidth="1"/>
    <col min="12" max="12" width="12" hidden="1" customWidth="1"/>
    <col min="13" max="16" width="10.5546875" bestFit="1" customWidth="1"/>
    <col min="17" max="19" width="10.5546875" customWidth="1"/>
  </cols>
  <sheetData>
    <row r="2" spans="2:19" ht="18">
      <c r="B2" s="377" t="s">
        <v>866</v>
      </c>
      <c r="C2" s="377"/>
      <c r="D2" s="377"/>
      <c r="E2" s="377"/>
      <c r="F2" s="378"/>
      <c r="G2" s="378"/>
      <c r="H2" s="378"/>
      <c r="I2" s="378"/>
      <c r="J2" s="378"/>
      <c r="K2" s="378"/>
      <c r="L2" s="378"/>
      <c r="M2" s="378"/>
      <c r="N2" s="378"/>
      <c r="O2" s="378"/>
      <c r="P2" s="378"/>
      <c r="Q2" s="378"/>
      <c r="R2" s="378"/>
      <c r="S2" s="378"/>
    </row>
    <row r="4" spans="2:19">
      <c r="B4" s="1" t="s">
        <v>671</v>
      </c>
      <c r="C4" s="1"/>
      <c r="D4" s="1"/>
      <c r="E4" s="1"/>
      <c r="F4" s="1"/>
      <c r="G4" s="1"/>
      <c r="H4" s="1"/>
      <c r="I4" s="1"/>
      <c r="J4" s="1"/>
      <c r="K4" s="1"/>
      <c r="L4" s="1"/>
      <c r="M4" s="1"/>
      <c r="N4" s="1"/>
      <c r="O4" s="1"/>
      <c r="P4" s="1"/>
      <c r="Q4" s="1"/>
      <c r="R4" s="1"/>
      <c r="S4" s="1"/>
    </row>
    <row r="6" spans="2:19">
      <c r="B6" s="124" t="s">
        <v>694</v>
      </c>
      <c r="C6" s="380">
        <v>2015</v>
      </c>
      <c r="D6" s="380">
        <v>2016</v>
      </c>
      <c r="E6" s="380">
        <v>2017</v>
      </c>
      <c r="F6" s="380">
        <v>2018</v>
      </c>
      <c r="G6" s="380">
        <v>2019</v>
      </c>
      <c r="H6" s="380">
        <f>G6+1</f>
        <v>2020</v>
      </c>
      <c r="I6" s="380">
        <f>H6+1</f>
        <v>2021</v>
      </c>
      <c r="J6" s="380">
        <f>I6+1</f>
        <v>2022</v>
      </c>
      <c r="K6" s="380">
        <f t="shared" ref="K6:R6" si="0">J6+1</f>
        <v>2023</v>
      </c>
      <c r="L6" s="408" t="str">
        <f>'Historical RK P&amp;L'!H6</f>
        <v>FY 2024 Prov.</v>
      </c>
      <c r="M6" s="408">
        <v>2025</v>
      </c>
      <c r="N6" s="408">
        <f t="shared" si="0"/>
        <v>2026</v>
      </c>
      <c r="O6" s="408">
        <f t="shared" si="0"/>
        <v>2027</v>
      </c>
      <c r="P6" s="408">
        <f t="shared" si="0"/>
        <v>2028</v>
      </c>
      <c r="Q6" s="408">
        <f t="shared" si="0"/>
        <v>2029</v>
      </c>
      <c r="R6" s="408">
        <f t="shared" si="0"/>
        <v>2030</v>
      </c>
      <c r="S6" s="463"/>
    </row>
    <row r="7" spans="2:19">
      <c r="B7" s="130" t="s">
        <v>684</v>
      </c>
      <c r="C7" s="130"/>
      <c r="D7" s="130"/>
      <c r="E7" s="130"/>
      <c r="F7" s="122"/>
      <c r="G7" s="122"/>
      <c r="H7" s="122"/>
      <c r="I7" s="122"/>
      <c r="J7" s="122"/>
      <c r="M7" s="4">
        <f>SUM(M8:M10)</f>
        <v>1153.2576599999998</v>
      </c>
      <c r="N7" s="4">
        <f t="shared" ref="N7:R7" si="1">SUM(N8:N10)</f>
        <v>1211.9584748939999</v>
      </c>
      <c r="O7" s="4">
        <f t="shared" si="1"/>
        <v>1273.6471612661044</v>
      </c>
      <c r="P7" s="4">
        <f t="shared" si="1"/>
        <v>1338.4758017745492</v>
      </c>
      <c r="Q7" s="4">
        <f t="shared" si="1"/>
        <v>1406.6042200848735</v>
      </c>
      <c r="R7" s="4">
        <f t="shared" si="1"/>
        <v>1478.2003748871934</v>
      </c>
    </row>
    <row r="8" spans="2:19">
      <c r="B8" s="122" t="str">
        <f>'Historical RK P&amp;L'!B8</f>
        <v>Sale of products</v>
      </c>
      <c r="C8" s="381"/>
      <c r="D8" s="381"/>
      <c r="E8" s="381"/>
      <c r="F8" s="381"/>
      <c r="G8" s="381"/>
      <c r="H8" s="381">
        <f>'Historical RK P&amp;L'!D8</f>
        <v>916.21</v>
      </c>
      <c r="I8" s="381">
        <f>'Historical RK P&amp;L'!E8</f>
        <v>674.21</v>
      </c>
      <c r="J8" s="381">
        <f>'Historical RK P&amp;L'!F8</f>
        <v>1213.6400000000001</v>
      </c>
      <c r="K8" s="381">
        <f>'Historical RK P&amp;L'!G8</f>
        <v>953.43</v>
      </c>
      <c r="L8" s="381">
        <f>(529.28/6)*12</f>
        <v>1058.56</v>
      </c>
      <c r="M8" s="381">
        <f t="shared" ref="M8:R8" si="2">L8*(1+M36)</f>
        <v>1112.4407039999999</v>
      </c>
      <c r="N8" s="381">
        <f t="shared" si="2"/>
        <v>1169.0639358335998</v>
      </c>
      <c r="O8" s="381">
        <f t="shared" si="2"/>
        <v>1228.56929016753</v>
      </c>
      <c r="P8" s="381">
        <f t="shared" si="2"/>
        <v>1291.1034670370573</v>
      </c>
      <c r="Q8" s="381">
        <f t="shared" si="2"/>
        <v>1356.8206335092434</v>
      </c>
      <c r="R8" s="381">
        <f t="shared" si="2"/>
        <v>1425.8828037548637</v>
      </c>
      <c r="S8" s="4"/>
    </row>
    <row r="9" spans="2:19">
      <c r="B9" s="122" t="str">
        <f>'Historical RK P&amp;L'!B10</f>
        <v>Sale of servicas</v>
      </c>
      <c r="C9" s="381"/>
      <c r="D9" s="381"/>
      <c r="E9" s="381"/>
      <c r="F9" s="381"/>
      <c r="G9" s="381"/>
      <c r="H9" s="381">
        <f>'Historical RK P&amp;L'!D10</f>
        <v>16.93</v>
      </c>
      <c r="I9" s="381">
        <f>'Historical RK P&amp;L'!E10</f>
        <v>21.62</v>
      </c>
      <c r="J9" s="381">
        <f>'Historical RK P&amp;L'!F10</f>
        <v>20.190000000000001</v>
      </c>
      <c r="K9" s="381">
        <f>'Historical RK P&amp;L'!G10</f>
        <v>13.79</v>
      </c>
      <c r="L9" s="381">
        <f>(13.42/6)*12</f>
        <v>26.840000000000003</v>
      </c>
      <c r="M9" s="381">
        <f t="shared" ref="M9:R9" si="3">L9*(1+M37)</f>
        <v>28.206156000000004</v>
      </c>
      <c r="N9" s="381">
        <f t="shared" si="3"/>
        <v>29.641849340400004</v>
      </c>
      <c r="O9" s="381">
        <f t="shared" si="3"/>
        <v>31.150619471826364</v>
      </c>
      <c r="P9" s="381">
        <f t="shared" si="3"/>
        <v>32.736186002942326</v>
      </c>
      <c r="Q9" s="381">
        <f t="shared" si="3"/>
        <v>34.402457870492086</v>
      </c>
      <c r="R9" s="381">
        <f t="shared" si="3"/>
        <v>36.153542976100134</v>
      </c>
      <c r="S9" s="4"/>
    </row>
    <row r="10" spans="2:19">
      <c r="B10" s="122" t="str">
        <f>'Historical RK P&amp;L'!B12</f>
        <v>Other operating revenues</v>
      </c>
      <c r="C10" s="381"/>
      <c r="D10" s="381"/>
      <c r="E10" s="381"/>
      <c r="F10" s="381"/>
      <c r="G10" s="381"/>
      <c r="H10" s="381">
        <f>'Historical RK P&amp;L'!D12</f>
        <v>3.8</v>
      </c>
      <c r="I10" s="381">
        <f>'Historical RK P&amp;L'!E12</f>
        <v>1.64</v>
      </c>
      <c r="J10" s="381">
        <f>'Historical RK P&amp;L'!F12</f>
        <v>8.8800000000000008</v>
      </c>
      <c r="K10" s="381">
        <f>'Historical RK P&amp;L'!G12</f>
        <v>16.940000000000001</v>
      </c>
      <c r="L10" s="381">
        <f>(6/6)*12</f>
        <v>12</v>
      </c>
      <c r="M10" s="381">
        <f t="shared" ref="M10:R10" si="4">L10*(1+M38)</f>
        <v>12.610799999999999</v>
      </c>
      <c r="N10" s="381">
        <f t="shared" si="4"/>
        <v>13.252689719999999</v>
      </c>
      <c r="O10" s="381">
        <f t="shared" si="4"/>
        <v>13.927251626747999</v>
      </c>
      <c r="P10" s="381">
        <f t="shared" si="4"/>
        <v>14.636148734549472</v>
      </c>
      <c r="Q10" s="381">
        <f t="shared" si="4"/>
        <v>15.381128705138039</v>
      </c>
      <c r="R10" s="381">
        <f t="shared" si="4"/>
        <v>16.164028156229563</v>
      </c>
      <c r="S10" s="4"/>
    </row>
    <row r="11" spans="2:19">
      <c r="B11" s="122" t="s">
        <v>683</v>
      </c>
      <c r="C11" s="381"/>
      <c r="D11" s="381"/>
      <c r="E11" s="381"/>
      <c r="F11" s="381"/>
      <c r="G11" s="381"/>
      <c r="H11" s="381">
        <f>'Historical RK P&amp;L'!D14</f>
        <v>7.41</v>
      </c>
      <c r="I11" s="381">
        <f>'Historical RK P&amp;L'!E14</f>
        <v>4.6100000000000003</v>
      </c>
      <c r="J11" s="381">
        <f>'Historical RK P&amp;L'!F14</f>
        <v>4.01</v>
      </c>
      <c r="K11" s="381">
        <f>'Historical RK P&amp;L'!G14</f>
        <v>7.74</v>
      </c>
      <c r="L11" s="381">
        <f>(2.23/6)*12</f>
        <v>4.46</v>
      </c>
      <c r="M11" s="381">
        <f t="shared" ref="M11:R11" si="5">L11*(1+M39)</f>
        <v>4.6870139999999996</v>
      </c>
      <c r="N11" s="381">
        <f t="shared" si="5"/>
        <v>4.9255830125999989</v>
      </c>
      <c r="O11" s="381">
        <f t="shared" si="5"/>
        <v>5.1762951879413386</v>
      </c>
      <c r="P11" s="381">
        <f t="shared" si="5"/>
        <v>5.4397686130075522</v>
      </c>
      <c r="Q11" s="381">
        <f t="shared" si="5"/>
        <v>5.7166528354096364</v>
      </c>
      <c r="R11" s="381">
        <f t="shared" si="5"/>
        <v>6.0076304647319869</v>
      </c>
      <c r="S11" s="4"/>
    </row>
    <row r="12" spans="2:19">
      <c r="B12" s="382" t="s">
        <v>673</v>
      </c>
      <c r="C12" s="383"/>
      <c r="D12" s="383"/>
      <c r="E12" s="383"/>
      <c r="F12" s="383"/>
      <c r="G12" s="383"/>
      <c r="H12" s="383">
        <f>SUM(H8:H11)</f>
        <v>944.34999999999991</v>
      </c>
      <c r="I12" s="383">
        <f>SUM(I8:I11)</f>
        <v>702.08</v>
      </c>
      <c r="J12" s="383">
        <f>SUM(J8:J11)</f>
        <v>1246.7200000000003</v>
      </c>
      <c r="K12" s="383">
        <f t="shared" ref="K12:R12" si="6">SUM(K8:K11)</f>
        <v>991.9</v>
      </c>
      <c r="L12" s="383">
        <f t="shared" si="6"/>
        <v>1101.8599999999999</v>
      </c>
      <c r="M12" s="383">
        <f t="shared" si="6"/>
        <v>1157.9446739999998</v>
      </c>
      <c r="N12" s="383">
        <f t="shared" si="6"/>
        <v>1216.8840579066</v>
      </c>
      <c r="O12" s="383">
        <f t="shared" si="6"/>
        <v>1278.8234564540458</v>
      </c>
      <c r="P12" s="383">
        <f t="shared" si="6"/>
        <v>1343.9155703875567</v>
      </c>
      <c r="Q12" s="383">
        <f t="shared" si="6"/>
        <v>1412.3208729202831</v>
      </c>
      <c r="R12" s="383">
        <f t="shared" si="6"/>
        <v>1484.2080053519255</v>
      </c>
      <c r="S12" s="426"/>
    </row>
    <row r="13" spans="2:19">
      <c r="B13" s="130" t="s">
        <v>685</v>
      </c>
      <c r="C13" s="130"/>
      <c r="D13" s="130"/>
      <c r="E13" s="130"/>
      <c r="F13" s="122"/>
      <c r="G13" s="122"/>
      <c r="H13" s="122"/>
      <c r="I13" s="122"/>
      <c r="J13" s="122"/>
      <c r="K13" s="122"/>
      <c r="L13" s="122"/>
      <c r="M13" s="122"/>
      <c r="N13" s="122"/>
      <c r="O13" s="122"/>
      <c r="P13" s="122"/>
      <c r="Q13" s="122"/>
    </row>
    <row r="14" spans="2:19">
      <c r="B14" s="122" t="s">
        <v>686</v>
      </c>
      <c r="C14" s="381"/>
      <c r="D14" s="381"/>
      <c r="E14" s="381"/>
      <c r="F14" s="381"/>
      <c r="G14" s="381"/>
      <c r="H14" s="381">
        <f>'Historical RK P&amp;L'!D17</f>
        <v>528.86</v>
      </c>
      <c r="I14" s="381">
        <f>'Historical RK P&amp;L'!E17</f>
        <v>355.04</v>
      </c>
      <c r="J14" s="381">
        <f>'Historical RK P&amp;L'!F17</f>
        <v>754.91</v>
      </c>
      <c r="K14" s="381">
        <f>'Historical RK P&amp;L'!G17</f>
        <v>613.85</v>
      </c>
      <c r="L14" s="381">
        <f>(388.04/6)*12</f>
        <v>776.07999999999993</v>
      </c>
      <c r="M14" s="381">
        <f t="shared" ref="M14:R14" si="7">M41*M12</f>
        <v>694.76680439999984</v>
      </c>
      <c r="N14" s="381">
        <f t="shared" si="7"/>
        <v>730.13043474396</v>
      </c>
      <c r="O14" s="381">
        <f t="shared" si="7"/>
        <v>767.29407387242748</v>
      </c>
      <c r="P14" s="381">
        <f t="shared" si="7"/>
        <v>806.34934223253401</v>
      </c>
      <c r="Q14" s="381">
        <f t="shared" si="7"/>
        <v>847.39252375216984</v>
      </c>
      <c r="R14" s="381">
        <f t="shared" si="7"/>
        <v>890.52480321115524</v>
      </c>
      <c r="S14" s="4"/>
    </row>
    <row r="15" spans="2:19">
      <c r="B15" s="122" t="str">
        <f>'Historical RK P&amp;L'!B18</f>
        <v>Purchases of stock-in-trade</v>
      </c>
      <c r="C15" s="381"/>
      <c r="D15" s="381"/>
      <c r="E15" s="381"/>
      <c r="F15" s="381"/>
      <c r="G15" s="381"/>
      <c r="H15" s="381">
        <f>'Historical RK P&amp;L'!D18</f>
        <v>3.81</v>
      </c>
      <c r="I15" s="381">
        <f>'Historical RK P&amp;L'!E18</f>
        <v>1.62</v>
      </c>
      <c r="J15" s="381">
        <f>'Historical RK P&amp;L'!F18</f>
        <v>0</v>
      </c>
      <c r="K15" s="381">
        <f>'Historical RK P&amp;L'!G18</f>
        <v>0.32719999999999999</v>
      </c>
      <c r="L15" s="381">
        <f>(2.23/6)*12</f>
        <v>4.46</v>
      </c>
      <c r="M15" s="381">
        <f t="shared" ref="M15:R15" si="8">(2.23/6)*12</f>
        <v>4.46</v>
      </c>
      <c r="N15" s="381">
        <f t="shared" si="8"/>
        <v>4.46</v>
      </c>
      <c r="O15" s="381">
        <f t="shared" si="8"/>
        <v>4.46</v>
      </c>
      <c r="P15" s="381">
        <f t="shared" si="8"/>
        <v>4.46</v>
      </c>
      <c r="Q15" s="381">
        <f t="shared" si="8"/>
        <v>4.46</v>
      </c>
      <c r="R15" s="381">
        <f t="shared" si="8"/>
        <v>4.46</v>
      </c>
      <c r="S15" s="4"/>
    </row>
    <row r="16" spans="2:19">
      <c r="B16" s="122" t="str">
        <f>'Historical RK P&amp;L'!B19</f>
        <v>Changes in inventories</v>
      </c>
      <c r="C16" s="381"/>
      <c r="D16" s="381"/>
      <c r="E16" s="381"/>
      <c r="F16" s="381"/>
      <c r="G16" s="381"/>
      <c r="H16" s="381">
        <f>'Historical RK P&amp;L'!D19</f>
        <v>-5.88</v>
      </c>
      <c r="I16" s="381">
        <f>'Historical RK P&amp;L'!E19</f>
        <v>29.88</v>
      </c>
      <c r="J16" s="381">
        <f>'Historical RK P&amp;L'!F19</f>
        <v>-53.29</v>
      </c>
      <c r="K16" s="381">
        <f>'Historical RK P&amp;L'!G19</f>
        <v>17.59</v>
      </c>
      <c r="L16" s="381">
        <f>(-45.18/6)*12</f>
        <v>-90.36</v>
      </c>
      <c r="M16" s="381">
        <f t="shared" ref="M16:R16" si="9">(-45.18/6)*12</f>
        <v>-90.36</v>
      </c>
      <c r="N16" s="381">
        <f t="shared" si="9"/>
        <v>-90.36</v>
      </c>
      <c r="O16" s="381">
        <f t="shared" si="9"/>
        <v>-90.36</v>
      </c>
      <c r="P16" s="381">
        <f t="shared" si="9"/>
        <v>-90.36</v>
      </c>
      <c r="Q16" s="381">
        <f t="shared" si="9"/>
        <v>-90.36</v>
      </c>
      <c r="R16" s="381">
        <f t="shared" si="9"/>
        <v>-90.36</v>
      </c>
      <c r="S16" s="4"/>
    </row>
    <row r="17" spans="1:19">
      <c r="B17" s="122" t="s">
        <v>687</v>
      </c>
      <c r="C17" s="381"/>
      <c r="D17" s="381"/>
      <c r="E17" s="381"/>
      <c r="F17" s="381"/>
      <c r="G17" s="381"/>
      <c r="H17" s="381">
        <f>'Historical RK P&amp;L'!D20</f>
        <v>77.97</v>
      </c>
      <c r="I17" s="381">
        <f>'Historical RK P&amp;L'!E20</f>
        <v>54.38</v>
      </c>
      <c r="J17" s="381">
        <f>'Historical RK P&amp;L'!F20</f>
        <v>78.39</v>
      </c>
      <c r="K17" s="381">
        <f>'Historical RK P&amp;L'!G20</f>
        <v>79.44</v>
      </c>
      <c r="L17" s="381">
        <f>(47.5/6)*12</f>
        <v>95</v>
      </c>
      <c r="M17" s="381">
        <f t="shared" ref="M17:R17" si="10">M12*M47</f>
        <v>87.710254952635211</v>
      </c>
      <c r="N17" s="381">
        <f t="shared" si="10"/>
        <v>93.391590987630963</v>
      </c>
      <c r="O17" s="381">
        <f t="shared" si="10"/>
        <v>99.424046425355414</v>
      </c>
      <c r="P17" s="381">
        <f t="shared" si="10"/>
        <v>105.82864595879356</v>
      </c>
      <c r="Q17" s="381">
        <f t="shared" si="10"/>
        <v>112.62764491101642</v>
      </c>
      <c r="R17" s="381">
        <f t="shared" si="10"/>
        <v>119.84460004233908</v>
      </c>
      <c r="S17" s="4"/>
    </row>
    <row r="18" spans="1:19">
      <c r="B18" s="122" t="s">
        <v>690</v>
      </c>
      <c r="C18" s="381"/>
      <c r="D18" s="4"/>
      <c r="E18" s="381"/>
      <c r="F18" s="381"/>
      <c r="G18" s="381"/>
      <c r="H18" s="381">
        <f>'Historical RK P&amp;L'!D21</f>
        <v>283.08</v>
      </c>
      <c r="I18" s="381">
        <f>'Historical RK P&amp;L'!E21</f>
        <v>211.05</v>
      </c>
      <c r="J18" s="381">
        <f>'Historical RK P&amp;L'!F21</f>
        <v>363.22</v>
      </c>
      <c r="K18" s="381">
        <f>'Historical RK P&amp;L'!G21</f>
        <v>265.29000000000002</v>
      </c>
      <c r="L18" s="381">
        <f>(158.33/6)*12</f>
        <v>316.66000000000003</v>
      </c>
      <c r="M18" s="381">
        <f t="shared" ref="M18:R18" si="11">M43*M12</f>
        <v>335.00547523716</v>
      </c>
      <c r="N18" s="381">
        <f t="shared" si="11"/>
        <v>352.05725392673151</v>
      </c>
      <c r="O18" s="381">
        <f t="shared" si="11"/>
        <v>369.97696815160208</v>
      </c>
      <c r="P18" s="381">
        <f t="shared" si="11"/>
        <v>388.80879583051865</v>
      </c>
      <c r="Q18" s="381">
        <f t="shared" si="11"/>
        <v>408.59916353829198</v>
      </c>
      <c r="R18" s="381">
        <f t="shared" si="11"/>
        <v>429.39686096239103</v>
      </c>
      <c r="S18" s="4"/>
    </row>
    <row r="19" spans="1:19">
      <c r="B19" s="384" t="s">
        <v>674</v>
      </c>
      <c r="C19" s="385"/>
      <c r="D19" s="385"/>
      <c r="E19" s="385"/>
      <c r="F19" s="385"/>
      <c r="G19" s="385"/>
      <c r="H19" s="385">
        <f>SUM(H14:H18)</f>
        <v>887.83999999999992</v>
      </c>
      <c r="I19" s="385">
        <f>SUM(I14:I18)</f>
        <v>651.97</v>
      </c>
      <c r="J19" s="385">
        <f>SUM(J14:J18)</f>
        <v>1143.23</v>
      </c>
      <c r="K19" s="385">
        <f t="shared" ref="K19:Q19" si="12">SUM(K14:K18)</f>
        <v>976.49720000000002</v>
      </c>
      <c r="L19" s="385">
        <f t="shared" si="12"/>
        <v>1101.8399999999999</v>
      </c>
      <c r="M19" s="385">
        <f>SUM(M14:M18)</f>
        <v>1031.5825345897952</v>
      </c>
      <c r="N19" s="385">
        <f t="shared" si="12"/>
        <v>1089.6792796583225</v>
      </c>
      <c r="O19" s="385">
        <f t="shared" si="12"/>
        <v>1150.795088449385</v>
      </c>
      <c r="P19" s="385">
        <f t="shared" si="12"/>
        <v>1215.0867840218461</v>
      </c>
      <c r="Q19" s="385">
        <f t="shared" si="12"/>
        <v>1282.7193322014782</v>
      </c>
      <c r="R19" s="385">
        <f t="shared" ref="R19" si="13">SUM(R14:R18)</f>
        <v>1353.8662642158854</v>
      </c>
      <c r="S19" s="464"/>
    </row>
    <row r="20" spans="1:19">
      <c r="B20" s="382" t="s">
        <v>675</v>
      </c>
      <c r="C20" s="383"/>
      <c r="D20" s="383"/>
      <c r="E20" s="383"/>
      <c r="F20" s="383"/>
      <c r="G20" s="383"/>
      <c r="H20" s="383">
        <f t="shared" ref="H20:R20" si="14">H12-H19</f>
        <v>56.509999999999991</v>
      </c>
      <c r="I20" s="386">
        <f t="shared" si="14"/>
        <v>50.110000000000014</v>
      </c>
      <c r="J20" s="386">
        <f t="shared" si="14"/>
        <v>103.49000000000024</v>
      </c>
      <c r="K20" s="386">
        <f t="shared" si="14"/>
        <v>15.402799999999957</v>
      </c>
      <c r="L20" s="386">
        <f t="shared" si="14"/>
        <v>1.999999999998181E-2</v>
      </c>
      <c r="M20" s="386">
        <f t="shared" si="14"/>
        <v>126.36213941020469</v>
      </c>
      <c r="N20" s="386">
        <f t="shared" si="14"/>
        <v>127.20477824827753</v>
      </c>
      <c r="O20" s="386">
        <f t="shared" si="14"/>
        <v>128.02836800466071</v>
      </c>
      <c r="P20" s="386">
        <f t="shared" si="14"/>
        <v>128.82878636571058</v>
      </c>
      <c r="Q20" s="386">
        <f t="shared" si="14"/>
        <v>129.60154071880493</v>
      </c>
      <c r="R20" s="386">
        <f t="shared" si="14"/>
        <v>130.34174113604013</v>
      </c>
      <c r="S20" s="465"/>
    </row>
    <row r="21" spans="1:19">
      <c r="B21" s="122" t="s">
        <v>689</v>
      </c>
      <c r="C21" s="381"/>
      <c r="D21" s="381"/>
      <c r="E21" s="381"/>
      <c r="F21" s="381"/>
      <c r="G21" s="381"/>
      <c r="H21" s="381">
        <f>'Historical RK P&amp;L'!D24</f>
        <v>54.01</v>
      </c>
      <c r="I21" s="381">
        <f>'Historical RK P&amp;L'!E24</f>
        <v>50.4</v>
      </c>
      <c r="J21" s="381">
        <f>'Historical RK P&amp;L'!F24</f>
        <v>47.95</v>
      </c>
      <c r="K21" s="381">
        <f>'Historical RK P&amp;L'!G24</f>
        <v>46.65</v>
      </c>
      <c r="L21" s="381">
        <f>'Depreciation Schedule'!E93/10^2</f>
        <v>77.696293951000001</v>
      </c>
      <c r="M21" s="381">
        <f>'Depreciation Schedule'!F93/10^2</f>
        <v>78.129066908552247</v>
      </c>
      <c r="N21" s="381">
        <f>'Depreciation Schedule'!G93/10^2</f>
        <v>81.319413643859818</v>
      </c>
      <c r="O21" s="381">
        <f>'Depreciation Schedule'!H93/10^2</f>
        <v>81.406485989933003</v>
      </c>
      <c r="P21" s="381">
        <f>'Depreciation Schedule'!I93/10^2</f>
        <v>81.406485989933003</v>
      </c>
      <c r="Q21" s="381">
        <f>'Depreciation Schedule'!J93/10^2</f>
        <v>81.406485989933003</v>
      </c>
      <c r="R21" s="381">
        <f>'Depreciation Schedule'!K93/10^2</f>
        <v>81.406485989933003</v>
      </c>
      <c r="S21" s="4"/>
    </row>
    <row r="22" spans="1:19">
      <c r="B22" s="382" t="s">
        <v>676</v>
      </c>
      <c r="C22" s="383"/>
      <c r="D22" s="383"/>
      <c r="E22" s="383"/>
      <c r="F22" s="383"/>
      <c r="G22" s="386"/>
      <c r="H22" s="386">
        <f t="shared" ref="H22:Q22" si="15">H20-H21</f>
        <v>2.4999999999999929</v>
      </c>
      <c r="I22" s="386">
        <f t="shared" si="15"/>
        <v>-0.28999999999998494</v>
      </c>
      <c r="J22" s="386">
        <f t="shared" si="15"/>
        <v>55.540000000000234</v>
      </c>
      <c r="K22" s="386">
        <f t="shared" si="15"/>
        <v>-31.247200000000042</v>
      </c>
      <c r="L22" s="386">
        <f t="shared" si="15"/>
        <v>-77.676293951000019</v>
      </c>
      <c r="M22" s="386">
        <f>M20-M21</f>
        <v>48.233072501652444</v>
      </c>
      <c r="N22" s="386">
        <f t="shared" ref="N22:O22" si="16">N20-N21</f>
        <v>45.885364604417717</v>
      </c>
      <c r="O22" s="386">
        <f t="shared" si="16"/>
        <v>46.621882014727703</v>
      </c>
      <c r="P22" s="386">
        <f t="shared" si="15"/>
        <v>47.422300375777581</v>
      </c>
      <c r="Q22" s="386">
        <f t="shared" si="15"/>
        <v>48.195054728871924</v>
      </c>
      <c r="R22" s="386">
        <f t="shared" ref="R22" si="17">R20-R21</f>
        <v>48.935255146107124</v>
      </c>
      <c r="S22" s="465"/>
    </row>
    <row r="23" spans="1:19">
      <c r="A23" s="118"/>
      <c r="B23" s="122" t="s">
        <v>688</v>
      </c>
      <c r="C23" s="381"/>
      <c r="D23" s="381"/>
      <c r="E23" s="381"/>
      <c r="F23" s="381"/>
      <c r="G23" s="381"/>
      <c r="H23" s="381">
        <f>'Historical RK P&amp;L'!D26</f>
        <v>37.79</v>
      </c>
      <c r="I23" s="381">
        <f>'Historical RK P&amp;L'!E26</f>
        <v>30.91</v>
      </c>
      <c r="J23" s="381">
        <f>'Historical RK P&amp;L'!F26</f>
        <v>28.22</v>
      </c>
      <c r="K23" s="381">
        <f>'Historical RK P&amp;L'!G26</f>
        <v>22.84</v>
      </c>
      <c r="L23" s="381">
        <f>(11.79/6)*12</f>
        <v>23.58</v>
      </c>
      <c r="M23" s="381">
        <f>'Debt Schedule'!D14+'Debt Schedule'!D20+'Debt Schedule'!D26+'Debt Schedule'!D32</f>
        <v>17.408219630000001</v>
      </c>
      <c r="N23" s="381">
        <f>'Debt Schedule'!E14+'Debt Schedule'!E20+'Debt Schedule'!E26+'Debt Schedule'!E32</f>
        <v>14.272064682857144</v>
      </c>
      <c r="O23" s="381">
        <f>'Debt Schedule'!F14+'Debt Schedule'!F20+'Debt Schedule'!F26+'Debt Schedule'!F32</f>
        <v>14.266316735714286</v>
      </c>
      <c r="P23" s="381">
        <f>'Debt Schedule'!G14+'Debt Schedule'!G20+'Debt Schedule'!G26+'Debt Schedule'!G32</f>
        <v>14.260568788571428</v>
      </c>
      <c r="Q23" s="381">
        <f>'Debt Schedule'!H14+'Debt Schedule'!H20+'Debt Schedule'!H26+'Debt Schedule'!H32</f>
        <v>14.254820841428572</v>
      </c>
      <c r="R23" s="381">
        <f>'Debt Schedule'!I14+'Debt Schedule'!I20+'Debt Schedule'!I26+'Debt Schedule'!I32</f>
        <v>14.249072894285714</v>
      </c>
      <c r="S23" s="4"/>
    </row>
    <row r="24" spans="1:19">
      <c r="B24" s="382" t="s">
        <v>691</v>
      </c>
      <c r="C24" s="386"/>
      <c r="D24" s="386"/>
      <c r="E24" s="386"/>
      <c r="F24" s="386"/>
      <c r="G24" s="387"/>
      <c r="H24" s="386">
        <f t="shared" ref="H24:R24" si="18">H22-H23</f>
        <v>-35.290000000000006</v>
      </c>
      <c r="I24" s="386">
        <f t="shared" si="18"/>
        <v>-31.199999999999985</v>
      </c>
      <c r="J24" s="386">
        <f t="shared" si="18"/>
        <v>27.320000000000235</v>
      </c>
      <c r="K24" s="386">
        <f t="shared" si="18"/>
        <v>-54.087200000000038</v>
      </c>
      <c r="L24" s="386">
        <f t="shared" si="18"/>
        <v>-101.25629395100002</v>
      </c>
      <c r="M24" s="386">
        <f t="shared" si="18"/>
        <v>30.824852871652443</v>
      </c>
      <c r="N24" s="386">
        <f t="shared" si="18"/>
        <v>31.613299921560575</v>
      </c>
      <c r="O24" s="386">
        <f t="shared" si="18"/>
        <v>32.355565279013419</v>
      </c>
      <c r="P24" s="386">
        <f t="shared" si="18"/>
        <v>33.161731587206155</v>
      </c>
      <c r="Q24" s="386">
        <f t="shared" si="18"/>
        <v>33.940233887443355</v>
      </c>
      <c r="R24" s="386">
        <f t="shared" si="18"/>
        <v>34.686182251821407</v>
      </c>
      <c r="S24" s="465"/>
    </row>
    <row r="25" spans="1:19">
      <c r="B25" s="122" t="s">
        <v>678</v>
      </c>
      <c r="C25" s="122"/>
      <c r="D25" s="122"/>
      <c r="E25" s="122"/>
      <c r="F25" s="122"/>
      <c r="G25" s="122"/>
      <c r="H25" s="456">
        <v>0.33379999999999999</v>
      </c>
      <c r="I25" s="122"/>
      <c r="J25" s="122"/>
      <c r="K25" s="122"/>
      <c r="L25" s="122"/>
      <c r="M25" s="122"/>
      <c r="N25" s="122"/>
      <c r="O25" s="122"/>
      <c r="P25" s="122"/>
      <c r="Q25" s="122"/>
      <c r="R25" s="122"/>
    </row>
    <row r="26" spans="1:19">
      <c r="B26" s="122" t="s">
        <v>874</v>
      </c>
      <c r="C26" s="122"/>
      <c r="D26" s="122"/>
      <c r="E26" s="122"/>
      <c r="F26" s="128"/>
      <c r="G26" s="128"/>
      <c r="H26" s="128">
        <f>'Historical RK P&amp;L'!D29</f>
        <v>0</v>
      </c>
      <c r="I26" s="128">
        <f>'Historical RK P&amp;L'!E29</f>
        <v>0.41</v>
      </c>
      <c r="J26" s="128">
        <f>'Historical RK P&amp;L'!F29</f>
        <v>0</v>
      </c>
      <c r="K26" s="128">
        <f>'Historical RK P&amp;L'!G29</f>
        <v>0.22</v>
      </c>
      <c r="L26" s="122">
        <v>0</v>
      </c>
      <c r="M26" s="381">
        <f>M24*$H$25</f>
        <v>10.289335888557584</v>
      </c>
      <c r="N26" s="381">
        <f t="shared" ref="N26:R26" si="19">N24*$H$25</f>
        <v>10.55251951381692</v>
      </c>
      <c r="O26" s="381">
        <f t="shared" si="19"/>
        <v>10.800287690134679</v>
      </c>
      <c r="P26" s="381">
        <f t="shared" si="19"/>
        <v>11.069386003809415</v>
      </c>
      <c r="Q26" s="381">
        <f t="shared" si="19"/>
        <v>11.329250071628591</v>
      </c>
      <c r="R26" s="381">
        <f t="shared" si="19"/>
        <v>11.578247635657986</v>
      </c>
    </row>
    <row r="27" spans="1:19">
      <c r="B27" s="382" t="s">
        <v>692</v>
      </c>
      <c r="C27" s="386"/>
      <c r="D27" s="386"/>
      <c r="E27" s="386"/>
      <c r="F27" s="386"/>
      <c r="G27" s="386"/>
      <c r="H27" s="386">
        <f>H24-H26</f>
        <v>-35.290000000000006</v>
      </c>
      <c r="I27" s="386">
        <f t="shared" ref="I27:K27" si="20">I24-I26</f>
        <v>-31.609999999999985</v>
      </c>
      <c r="J27" s="386">
        <f t="shared" si="20"/>
        <v>27.320000000000235</v>
      </c>
      <c r="K27" s="386">
        <f t="shared" si="20"/>
        <v>-54.307200000000037</v>
      </c>
      <c r="L27" s="470">
        <f>L24-L26</f>
        <v>-101.25629395100002</v>
      </c>
      <c r="M27" s="470">
        <f t="shared" ref="M27:R27" si="21">M24-M26</f>
        <v>20.535516983094858</v>
      </c>
      <c r="N27" s="470">
        <f t="shared" si="21"/>
        <v>21.060780407743657</v>
      </c>
      <c r="O27" s="470">
        <f t="shared" si="21"/>
        <v>21.555277588878738</v>
      </c>
      <c r="P27" s="470">
        <f t="shared" si="21"/>
        <v>22.092345583396742</v>
      </c>
      <c r="Q27" s="470">
        <f t="shared" si="21"/>
        <v>22.610983815814762</v>
      </c>
      <c r="R27" s="470">
        <f t="shared" si="21"/>
        <v>23.107934616163419</v>
      </c>
      <c r="S27" s="465"/>
    </row>
    <row r="28" spans="1:19">
      <c r="B28" s="125" t="s">
        <v>693</v>
      </c>
      <c r="C28" s="388"/>
      <c r="D28" s="406"/>
      <c r="E28" s="388"/>
      <c r="F28" s="388"/>
      <c r="G28" s="388"/>
      <c r="H28" s="388">
        <f>-92005560/10^7</f>
        <v>-9.2005560000000006</v>
      </c>
      <c r="I28" s="388">
        <f>-162744762/10^7</f>
        <v>-16.274476199999999</v>
      </c>
      <c r="J28" s="388">
        <f>-98455299.1730331/10^7</f>
        <v>-9.8455299173033097</v>
      </c>
      <c r="K28" s="388">
        <f>K27</f>
        <v>-54.307200000000037</v>
      </c>
      <c r="L28" s="388">
        <f t="shared" ref="L28:Q28" si="22">L27</f>
        <v>-101.25629395100002</v>
      </c>
      <c r="M28" s="388">
        <f t="shared" si="22"/>
        <v>20.535516983094858</v>
      </c>
      <c r="N28" s="388">
        <f t="shared" si="22"/>
        <v>21.060780407743657</v>
      </c>
      <c r="O28" s="388">
        <f t="shared" si="22"/>
        <v>21.555277588878738</v>
      </c>
      <c r="P28" s="388">
        <f t="shared" si="22"/>
        <v>22.092345583396742</v>
      </c>
      <c r="Q28" s="388">
        <f t="shared" si="22"/>
        <v>22.610983815814762</v>
      </c>
      <c r="R28" s="388">
        <f>R27</f>
        <v>23.107934616163419</v>
      </c>
      <c r="S28" s="466"/>
    </row>
    <row r="29" spans="1:19">
      <c r="B29" s="389" t="s">
        <v>679</v>
      </c>
      <c r="C29" s="390"/>
      <c r="D29" s="390"/>
      <c r="E29" s="390"/>
      <c r="F29" s="390"/>
      <c r="G29" s="390"/>
      <c r="H29" s="390">
        <f t="shared" ref="H29:Q29" si="23">H20/H12</f>
        <v>5.9840101657224545E-2</v>
      </c>
      <c r="I29" s="390">
        <f t="shared" si="23"/>
        <v>7.1373632634457632E-2</v>
      </c>
      <c r="J29" s="390">
        <f t="shared" si="23"/>
        <v>8.3009817761807159E-2</v>
      </c>
      <c r="K29" s="390">
        <f t="shared" si="23"/>
        <v>1.5528581510232843E-2</v>
      </c>
      <c r="L29" s="390">
        <f t="shared" si="23"/>
        <v>1.8151126277369007E-5</v>
      </c>
      <c r="M29" s="390">
        <f t="shared" si="23"/>
        <v>0.10912623223499943</v>
      </c>
      <c r="N29" s="390">
        <f t="shared" si="23"/>
        <v>0.10453319477872636</v>
      </c>
      <c r="O29" s="390">
        <f t="shared" si="23"/>
        <v>0.10011418492405592</v>
      </c>
      <c r="P29" s="390">
        <f t="shared" si="23"/>
        <v>9.5860773700656723E-2</v>
      </c>
      <c r="Q29" s="390">
        <f t="shared" si="23"/>
        <v>9.1764940392635649E-2</v>
      </c>
      <c r="R29" s="390">
        <f t="shared" ref="R29" si="24">R20/R12</f>
        <v>8.7819052764867928E-2</v>
      </c>
      <c r="S29" s="467"/>
    </row>
    <row r="30" spans="1:19">
      <c r="B30" s="389" t="s">
        <v>680</v>
      </c>
      <c r="C30" s="390"/>
      <c r="D30" s="390"/>
      <c r="E30" s="390"/>
      <c r="F30" s="390"/>
      <c r="G30" s="390"/>
      <c r="H30" s="390">
        <f t="shared" ref="H30:Q30" si="25">H22/H12</f>
        <v>2.647323555884993E-3</v>
      </c>
      <c r="I30" s="390">
        <f t="shared" si="25"/>
        <v>-4.1305834092978712E-4</v>
      </c>
      <c r="J30" s="390">
        <f t="shared" si="25"/>
        <v>4.4548896303901617E-2</v>
      </c>
      <c r="K30" s="390">
        <f t="shared" si="25"/>
        <v>-3.1502369190442629E-2</v>
      </c>
      <c r="L30" s="390">
        <f t="shared" si="25"/>
        <v>-7.0495611013195889E-2</v>
      </c>
      <c r="M30" s="390">
        <f t="shared" si="25"/>
        <v>4.1654038905879931E-2</v>
      </c>
      <c r="N30" s="390">
        <f t="shared" si="25"/>
        <v>3.7707260857171632E-2</v>
      </c>
      <c r="O30" s="390">
        <f t="shared" si="25"/>
        <v>3.645685554126607E-2</v>
      </c>
      <c r="P30" s="390">
        <f t="shared" si="25"/>
        <v>3.5286666380464654E-2</v>
      </c>
      <c r="Q30" s="390">
        <f t="shared" si="25"/>
        <v>3.4124720276361903E-2</v>
      </c>
      <c r="R30" s="390">
        <f t="shared" ref="R30" si="26">R22/R12</f>
        <v>3.2970617979185421E-2</v>
      </c>
      <c r="S30" s="467"/>
    </row>
    <row r="31" spans="1:19">
      <c r="B31" s="389" t="s">
        <v>681</v>
      </c>
      <c r="C31" s="390"/>
      <c r="D31" s="390"/>
      <c r="E31" s="390"/>
      <c r="F31" s="390"/>
      <c r="G31" s="390"/>
      <c r="H31" s="390">
        <f t="shared" ref="H31:Q31" si="27">H27/H12</f>
        <v>-3.7369619314872676E-2</v>
      </c>
      <c r="I31" s="390">
        <f t="shared" si="27"/>
        <v>-4.5023359161349114E-2</v>
      </c>
      <c r="J31" s="390">
        <f t="shared" si="27"/>
        <v>2.1913501026694229E-2</v>
      </c>
      <c r="K31" s="390">
        <f t="shared" si="27"/>
        <v>-5.4750680512148438E-2</v>
      </c>
      <c r="L31" s="390">
        <f t="shared" si="27"/>
        <v>-9.1895788894233416E-2</v>
      </c>
      <c r="M31" s="390">
        <f t="shared" si="27"/>
        <v>1.7734454369185915E-2</v>
      </c>
      <c r="N31" s="390">
        <f t="shared" si="27"/>
        <v>1.730713807194945E-2</v>
      </c>
      <c r="O31" s="390">
        <f t="shared" si="27"/>
        <v>1.6855553814009449E-2</v>
      </c>
      <c r="P31" s="390">
        <f t="shared" si="27"/>
        <v>1.6438789809560567E-2</v>
      </c>
      <c r="Q31" s="390">
        <f t="shared" si="27"/>
        <v>1.6009806446506448E-2</v>
      </c>
      <c r="R31" s="390">
        <f t="shared" ref="R31" si="28">R27/R12</f>
        <v>1.5569202249845175E-2</v>
      </c>
      <c r="S31" s="467"/>
    </row>
    <row r="32" spans="1:19">
      <c r="B32" s="389" t="s">
        <v>682</v>
      </c>
      <c r="C32" s="389"/>
      <c r="D32" s="390"/>
      <c r="E32" s="390"/>
      <c r="F32" s="390"/>
      <c r="G32" s="390"/>
      <c r="H32" s="390"/>
      <c r="I32" s="390">
        <f t="shared" ref="I32:Q32" si="29">I12/H12-1</f>
        <v>-0.25654683115370347</v>
      </c>
      <c r="J32" s="390">
        <f t="shared" si="29"/>
        <v>0.7757520510483138</v>
      </c>
      <c r="K32" s="390">
        <f t="shared" si="29"/>
        <v>-0.20439232546201247</v>
      </c>
      <c r="L32" s="390">
        <f t="shared" si="29"/>
        <v>0.11085794939005944</v>
      </c>
      <c r="M32" s="390">
        <f t="shared" si="29"/>
        <v>5.0899999999999945E-2</v>
      </c>
      <c r="N32" s="390">
        <f t="shared" si="29"/>
        <v>5.0900000000000167E-2</v>
      </c>
      <c r="O32" s="390">
        <f t="shared" si="29"/>
        <v>5.0899999999999945E-2</v>
      </c>
      <c r="P32" s="390">
        <f t="shared" si="29"/>
        <v>5.0899999999999945E-2</v>
      </c>
      <c r="Q32" s="390">
        <f t="shared" si="29"/>
        <v>5.0899999999999723E-2</v>
      </c>
      <c r="R32" s="390">
        <f t="shared" ref="R32" si="30">R12/Q12-1</f>
        <v>5.0899999999999945E-2</v>
      </c>
      <c r="S32" s="467"/>
    </row>
    <row r="34" spans="2:21">
      <c r="C34" s="380">
        <v>2015</v>
      </c>
      <c r="D34" s="380">
        <v>2016</v>
      </c>
      <c r="E34" s="380">
        <v>2017</v>
      </c>
      <c r="F34" s="380">
        <v>2018</v>
      </c>
      <c r="G34" s="380">
        <v>2019</v>
      </c>
      <c r="H34" s="380">
        <f>G34+1</f>
        <v>2020</v>
      </c>
      <c r="I34" s="380">
        <f>H34+1</f>
        <v>2021</v>
      </c>
      <c r="J34" s="380">
        <f>I34+1</f>
        <v>2022</v>
      </c>
      <c r="K34" s="380">
        <f t="shared" ref="K34:R34" si="31">J34+1</f>
        <v>2023</v>
      </c>
      <c r="L34" s="380">
        <f t="shared" si="31"/>
        <v>2024</v>
      </c>
      <c r="M34" s="380">
        <f t="shared" si="31"/>
        <v>2025</v>
      </c>
      <c r="N34" s="380">
        <f t="shared" si="31"/>
        <v>2026</v>
      </c>
      <c r="O34" s="380">
        <f t="shared" si="31"/>
        <v>2027</v>
      </c>
      <c r="P34" s="380">
        <f t="shared" si="31"/>
        <v>2028</v>
      </c>
      <c r="Q34" s="380">
        <f t="shared" si="31"/>
        <v>2029</v>
      </c>
      <c r="R34" s="380">
        <f t="shared" si="31"/>
        <v>2030</v>
      </c>
      <c r="S34" s="468"/>
      <c r="T34" t="s">
        <v>860</v>
      </c>
    </row>
    <row r="35" spans="2:21">
      <c r="B35" s="130" t="s">
        <v>684</v>
      </c>
      <c r="K35" s="4"/>
      <c r="T35" t="s">
        <v>875</v>
      </c>
    </row>
    <row r="36" spans="2:21">
      <c r="B36" s="122" t="str">
        <f>B8</f>
        <v>Sale of products</v>
      </c>
      <c r="D36" s="407"/>
      <c r="E36" s="407"/>
      <c r="F36" s="407"/>
      <c r="G36" s="407"/>
      <c r="H36" s="407"/>
      <c r="I36" s="407">
        <f t="shared" ref="I36:K39" si="32">I8/H8-1</f>
        <v>-0.26413158555353033</v>
      </c>
      <c r="J36" s="407">
        <f t="shared" si="32"/>
        <v>0.80009195947850076</v>
      </c>
      <c r="K36" s="407">
        <f t="shared" si="32"/>
        <v>-0.21440460103490333</v>
      </c>
      <c r="L36" s="405">
        <v>5.0900000000000001E-2</v>
      </c>
      <c r="M36" s="405">
        <f>L36</f>
        <v>5.0900000000000001E-2</v>
      </c>
      <c r="N36" s="405">
        <f>M36</f>
        <v>5.0900000000000001E-2</v>
      </c>
      <c r="O36" s="405">
        <f t="shared" ref="O36:R39" si="33">N36</f>
        <v>5.0900000000000001E-2</v>
      </c>
      <c r="P36" s="405">
        <f t="shared" si="33"/>
        <v>5.0900000000000001E-2</v>
      </c>
      <c r="Q36" s="405">
        <f t="shared" si="33"/>
        <v>5.0900000000000001E-2</v>
      </c>
      <c r="R36" s="405">
        <f t="shared" si="33"/>
        <v>5.0900000000000001E-2</v>
      </c>
      <c r="S36" s="405"/>
      <c r="T36" s="410"/>
    </row>
    <row r="37" spans="2:21">
      <c r="B37" s="122" t="str">
        <f t="shared" ref="B37:B38" si="34">B9</f>
        <v>Sale of servicas</v>
      </c>
      <c r="D37" s="407"/>
      <c r="E37" s="407"/>
      <c r="F37" s="407"/>
      <c r="G37" s="407"/>
      <c r="H37" s="407"/>
      <c r="I37" s="407">
        <f t="shared" si="32"/>
        <v>0.27702303603071488</v>
      </c>
      <c r="J37" s="407">
        <f t="shared" si="32"/>
        <v>-6.6142460684551319E-2</v>
      </c>
      <c r="K37" s="407">
        <f t="shared" si="32"/>
        <v>-0.31698860822189212</v>
      </c>
      <c r="L37" s="405">
        <v>5.0900000000000001E-2</v>
      </c>
      <c r="M37" s="405">
        <f t="shared" ref="M37:M39" si="35">L37</f>
        <v>5.0900000000000001E-2</v>
      </c>
      <c r="N37" s="405">
        <f t="shared" ref="N37:N39" si="36">M37</f>
        <v>5.0900000000000001E-2</v>
      </c>
      <c r="O37" s="405">
        <f t="shared" si="33"/>
        <v>5.0900000000000001E-2</v>
      </c>
      <c r="P37" s="405">
        <f t="shared" si="33"/>
        <v>5.0900000000000001E-2</v>
      </c>
      <c r="Q37" s="405">
        <f t="shared" si="33"/>
        <v>5.0900000000000001E-2</v>
      </c>
      <c r="R37" s="405">
        <f t="shared" si="33"/>
        <v>5.0900000000000001E-2</v>
      </c>
      <c r="S37" s="405"/>
      <c r="T37" s="410"/>
    </row>
    <row r="38" spans="2:21">
      <c r="B38" s="122" t="str">
        <f t="shared" si="34"/>
        <v>Other operating revenues</v>
      </c>
      <c r="D38" s="407"/>
      <c r="E38" s="407"/>
      <c r="F38" s="407"/>
      <c r="G38" s="407"/>
      <c r="H38" s="407"/>
      <c r="I38" s="407">
        <f t="shared" si="32"/>
        <v>-0.56842105263157894</v>
      </c>
      <c r="J38" s="407">
        <f t="shared" si="32"/>
        <v>4.4146341463414638</v>
      </c>
      <c r="K38" s="407">
        <f t="shared" si="32"/>
        <v>0.9076576576576576</v>
      </c>
      <c r="L38" s="405">
        <v>5.0900000000000001E-2</v>
      </c>
      <c r="M38" s="405">
        <f t="shared" si="35"/>
        <v>5.0900000000000001E-2</v>
      </c>
      <c r="N38" s="405">
        <f t="shared" si="36"/>
        <v>5.0900000000000001E-2</v>
      </c>
      <c r="O38" s="405">
        <f t="shared" si="33"/>
        <v>5.0900000000000001E-2</v>
      </c>
      <c r="P38" s="405">
        <f t="shared" si="33"/>
        <v>5.0900000000000001E-2</v>
      </c>
      <c r="Q38" s="405">
        <f t="shared" si="33"/>
        <v>5.0900000000000001E-2</v>
      </c>
      <c r="R38" s="405">
        <f t="shared" si="33"/>
        <v>5.0900000000000001E-2</v>
      </c>
      <c r="S38" s="405"/>
      <c r="T38" s="410"/>
    </row>
    <row r="39" spans="2:21">
      <c r="B39" s="122" t="s">
        <v>683</v>
      </c>
      <c r="D39" s="407"/>
      <c r="E39" s="407"/>
      <c r="F39" s="407"/>
      <c r="G39" s="407"/>
      <c r="H39" s="407"/>
      <c r="I39" s="407">
        <f t="shared" si="32"/>
        <v>-0.37786774628879893</v>
      </c>
      <c r="J39" s="407">
        <f t="shared" si="32"/>
        <v>-0.13015184381778755</v>
      </c>
      <c r="K39" s="407">
        <f t="shared" si="32"/>
        <v>0.93017456359102257</v>
      </c>
      <c r="L39" s="405">
        <v>5.0900000000000001E-2</v>
      </c>
      <c r="M39" s="405">
        <f t="shared" si="35"/>
        <v>5.0900000000000001E-2</v>
      </c>
      <c r="N39" s="405">
        <f t="shared" si="36"/>
        <v>5.0900000000000001E-2</v>
      </c>
      <c r="O39" s="405">
        <f t="shared" si="33"/>
        <v>5.0900000000000001E-2</v>
      </c>
      <c r="P39" s="405">
        <f t="shared" si="33"/>
        <v>5.0900000000000001E-2</v>
      </c>
      <c r="Q39" s="405">
        <f t="shared" si="33"/>
        <v>5.0900000000000001E-2</v>
      </c>
      <c r="R39" s="405">
        <f t="shared" si="33"/>
        <v>5.0900000000000001E-2</v>
      </c>
      <c r="T39" s="405"/>
      <c r="U39" t="s">
        <v>715</v>
      </c>
    </row>
    <row r="40" spans="2:21">
      <c r="B40" s="130" t="s">
        <v>685</v>
      </c>
      <c r="K40" s="462"/>
    </row>
    <row r="41" spans="2:21">
      <c r="B41" s="122" t="s">
        <v>686</v>
      </c>
      <c r="C41" s="151"/>
      <c r="D41" s="151"/>
      <c r="E41" s="151"/>
      <c r="F41" s="151"/>
      <c r="G41" s="151"/>
      <c r="H41" s="151">
        <f>H14/H12</f>
        <v>0.56002541430613662</v>
      </c>
      <c r="I41" s="151">
        <f>I14/I12</f>
        <v>0.50569735642661806</v>
      </c>
      <c r="J41" s="151">
        <f>J14/J12</f>
        <v>0.60551687628336737</v>
      </c>
      <c r="K41" s="151">
        <f>K14/K12</f>
        <v>0.61886278858755928</v>
      </c>
      <c r="L41" s="151">
        <v>0.65</v>
      </c>
      <c r="M41" s="118">
        <v>0.6</v>
      </c>
      <c r="N41" s="118">
        <f t="shared" ref="N41:R41" si="37">M41</f>
        <v>0.6</v>
      </c>
      <c r="O41" s="118">
        <f t="shared" si="37"/>
        <v>0.6</v>
      </c>
      <c r="P41" s="118">
        <f t="shared" si="37"/>
        <v>0.6</v>
      </c>
      <c r="Q41" s="118">
        <f t="shared" si="37"/>
        <v>0.6</v>
      </c>
      <c r="R41" s="118">
        <f t="shared" si="37"/>
        <v>0.6</v>
      </c>
      <c r="S41" s="469" t="s">
        <v>861</v>
      </c>
      <c r="T41" s="118">
        <f>AVERAGE(H41:K41)</f>
        <v>0.5725256089009203</v>
      </c>
    </row>
    <row r="42" spans="2:21">
      <c r="B42" s="122"/>
      <c r="C42" s="151"/>
      <c r="D42" s="151"/>
      <c r="E42" s="151"/>
      <c r="F42" s="151"/>
      <c r="G42" s="151"/>
      <c r="H42" s="151"/>
      <c r="I42" s="151"/>
      <c r="J42" s="151"/>
      <c r="K42" s="462"/>
      <c r="L42" s="118"/>
      <c r="M42" s="118"/>
      <c r="N42" s="118"/>
      <c r="O42" s="118"/>
      <c r="P42" s="118"/>
      <c r="Q42" s="118"/>
      <c r="R42" s="118"/>
      <c r="S42" s="118"/>
    </row>
    <row r="43" spans="2:21">
      <c r="B43" s="122" t="s">
        <v>690</v>
      </c>
      <c r="C43" s="151"/>
      <c r="D43" s="151"/>
      <c r="E43" s="151"/>
      <c r="F43" s="151"/>
      <c r="G43" s="151"/>
      <c r="H43" s="151">
        <f>H18/H12</f>
        <v>0.29976174087997037</v>
      </c>
      <c r="I43" s="151">
        <f>I18/I12</f>
        <v>0.30060676845943485</v>
      </c>
      <c r="J43" s="151">
        <f>J18/J12</f>
        <v>0.29134047741273095</v>
      </c>
      <c r="K43" s="151">
        <f>K18/K12</f>
        <v>0.26745639681419503</v>
      </c>
      <c r="L43" s="151">
        <f>L18/L12</f>
        <v>0.28738678234984488</v>
      </c>
      <c r="M43" s="118">
        <f>AVERAGE(H43:L43)</f>
        <v>0.28931043318323518</v>
      </c>
      <c r="N43" s="118">
        <f t="shared" ref="N43:R43" si="38">M43</f>
        <v>0.28931043318323518</v>
      </c>
      <c r="O43" s="118">
        <f t="shared" si="38"/>
        <v>0.28931043318323518</v>
      </c>
      <c r="P43" s="118">
        <f t="shared" si="38"/>
        <v>0.28931043318323518</v>
      </c>
      <c r="Q43" s="118">
        <f t="shared" si="38"/>
        <v>0.28931043318323518</v>
      </c>
      <c r="R43" s="118">
        <f t="shared" si="38"/>
        <v>0.28931043318323518</v>
      </c>
      <c r="S43" s="118"/>
    </row>
    <row r="45" spans="2:21">
      <c r="B45" t="s">
        <v>687</v>
      </c>
      <c r="H45" s="4">
        <f>H17</f>
        <v>77.97</v>
      </c>
      <c r="I45" s="4">
        <f t="shared" ref="I45:K45" si="39">I17</f>
        <v>54.38</v>
      </c>
      <c r="J45" s="4">
        <f t="shared" si="39"/>
        <v>78.39</v>
      </c>
      <c r="K45" s="4">
        <f t="shared" si="39"/>
        <v>79.44</v>
      </c>
      <c r="L45" s="4">
        <f>L12*L47</f>
        <v>83.46203725629006</v>
      </c>
      <c r="M45" s="4">
        <f t="shared" ref="M45:R45" si="40">M12*M47</f>
        <v>87.710254952635211</v>
      </c>
      <c r="N45" s="4">
        <f t="shared" si="40"/>
        <v>93.391590987630963</v>
      </c>
      <c r="O45" s="4">
        <f t="shared" si="40"/>
        <v>99.424046425355414</v>
      </c>
      <c r="P45" s="4">
        <f t="shared" si="40"/>
        <v>105.82864595879356</v>
      </c>
      <c r="Q45" s="4">
        <f t="shared" si="40"/>
        <v>112.62764491101642</v>
      </c>
      <c r="R45" s="4">
        <f t="shared" si="40"/>
        <v>119.84460004233908</v>
      </c>
    </row>
    <row r="46" spans="2:21">
      <c r="I46" s="407">
        <f>I45/H45-1</f>
        <v>-0.30255226369116317</v>
      </c>
      <c r="J46" s="407">
        <f t="shared" ref="J46:K46" si="41">J45/I45-1</f>
        <v>0.44152261860978292</v>
      </c>
      <c r="K46" s="407">
        <f t="shared" si="41"/>
        <v>1.3394565633371602E-2</v>
      </c>
    </row>
    <row r="47" spans="2:21">
      <c r="B47" t="s">
        <v>796</v>
      </c>
      <c r="H47" s="151">
        <f>H45/H12</f>
        <v>8.2564727060941395E-2</v>
      </c>
      <c r="I47" s="151">
        <f t="shared" ref="I47:J47" si="42">I45/I12</f>
        <v>7.7455560619872382E-2</v>
      </c>
      <c r="J47" s="151">
        <f t="shared" si="42"/>
        <v>6.287698921971252E-2</v>
      </c>
      <c r="K47" s="151">
        <f>K45/K12</f>
        <v>8.0088718620828711E-2</v>
      </c>
      <c r="L47" s="151">
        <f>AVERAGE(H47:K47)</f>
        <v>7.5746498880338756E-2</v>
      </c>
      <c r="M47" s="118">
        <f>AVERAGE(H47:L47)</f>
        <v>7.5746498880338756E-2</v>
      </c>
      <c r="N47" s="151">
        <f t="shared" ref="N47:R47" si="43">M47+0.1%</f>
        <v>7.6746498880338757E-2</v>
      </c>
      <c r="O47" s="151">
        <f t="shared" si="43"/>
        <v>7.7746498880338757E-2</v>
      </c>
      <c r="P47" s="151">
        <f t="shared" si="43"/>
        <v>7.8746498880338758E-2</v>
      </c>
      <c r="Q47" s="151">
        <f t="shared" si="43"/>
        <v>7.9746498880338759E-2</v>
      </c>
      <c r="R47" s="151">
        <f t="shared" si="43"/>
        <v>8.074649888033876E-2</v>
      </c>
    </row>
    <row r="49" spans="2:11">
      <c r="B49" t="s">
        <v>674</v>
      </c>
      <c r="H49" s="4">
        <f>H19</f>
        <v>887.83999999999992</v>
      </c>
      <c r="I49" s="4">
        <f t="shared" ref="I49:K49" si="44">I19</f>
        <v>651.97</v>
      </c>
      <c r="J49" s="4">
        <f t="shared" si="44"/>
        <v>1143.23</v>
      </c>
      <c r="K49" s="4">
        <f t="shared" si="44"/>
        <v>976.49720000000002</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B2:Q74"/>
  <sheetViews>
    <sheetView workbookViewId="0">
      <pane xSplit="2" ySplit="6" topLeftCell="C7" activePane="bottomRight" state="frozen"/>
      <selection pane="topRight" activeCell="C1" sqref="C1"/>
      <selection pane="bottomLeft" activeCell="A7" sqref="A7"/>
      <selection pane="bottomRight" activeCell="K17" sqref="K17"/>
    </sheetView>
  </sheetViews>
  <sheetFormatPr defaultRowHeight="14.4"/>
  <cols>
    <col min="2" max="2" width="25.33203125" customWidth="1"/>
    <col min="3" max="3" width="5.33203125" customWidth="1"/>
    <col min="4" max="4" width="14.109375" customWidth="1"/>
    <col min="5" max="5" width="19.33203125" customWidth="1"/>
    <col min="6" max="10" width="11.6640625" customWidth="1"/>
    <col min="11" max="16" width="10.5546875" bestFit="1" customWidth="1"/>
    <col min="17" max="17" width="0" hidden="1" customWidth="1"/>
  </cols>
  <sheetData>
    <row r="2" spans="2:17" ht="18">
      <c r="B2" s="377" t="s">
        <v>672</v>
      </c>
      <c r="C2" s="377"/>
      <c r="D2" s="377"/>
      <c r="E2" s="377"/>
      <c r="F2" s="378"/>
      <c r="G2" s="378"/>
      <c r="H2" s="378"/>
      <c r="I2" s="378"/>
      <c r="J2" s="378"/>
      <c r="K2" s="378"/>
      <c r="L2" s="378"/>
      <c r="M2" s="378"/>
      <c r="N2" s="378"/>
      <c r="O2" s="378"/>
      <c r="P2" s="378"/>
      <c r="Q2" s="378"/>
    </row>
    <row r="4" spans="2:17">
      <c r="B4" s="1" t="s">
        <v>671</v>
      </c>
      <c r="C4" s="1"/>
      <c r="D4" s="1"/>
      <c r="E4" s="1"/>
      <c r="F4" s="1"/>
      <c r="G4" s="1"/>
      <c r="H4" s="1"/>
      <c r="I4" s="1"/>
      <c r="J4" s="1"/>
      <c r="K4" s="1"/>
      <c r="L4" s="1"/>
      <c r="M4" s="1"/>
      <c r="N4" s="1"/>
      <c r="O4" s="1"/>
      <c r="P4" s="1"/>
      <c r="Q4" s="1"/>
    </row>
    <row r="6" spans="2:17">
      <c r="B6" s="124" t="s">
        <v>694</v>
      </c>
      <c r="C6" s="380">
        <v>2015</v>
      </c>
      <c r="D6" s="380">
        <v>2016</v>
      </c>
      <c r="E6" s="380">
        <v>2017</v>
      </c>
      <c r="F6" s="380">
        <v>2018</v>
      </c>
      <c r="G6" s="380">
        <v>2019</v>
      </c>
      <c r="H6" s="380">
        <f>G6+1</f>
        <v>2020</v>
      </c>
      <c r="I6" s="380">
        <f>H6+1</f>
        <v>2021</v>
      </c>
      <c r="J6" s="380">
        <f>I6+1</f>
        <v>2022</v>
      </c>
      <c r="K6" s="408">
        <f t="shared" ref="K6:Q6" si="0">J6+1</f>
        <v>2023</v>
      </c>
      <c r="L6" s="408">
        <f t="shared" si="0"/>
        <v>2024</v>
      </c>
      <c r="M6" s="408">
        <f t="shared" si="0"/>
        <v>2025</v>
      </c>
      <c r="N6" s="408">
        <f t="shared" si="0"/>
        <v>2026</v>
      </c>
      <c r="O6" s="408">
        <f t="shared" si="0"/>
        <v>2027</v>
      </c>
      <c r="P6" s="408">
        <f t="shared" si="0"/>
        <v>2028</v>
      </c>
      <c r="Q6" s="408">
        <f t="shared" si="0"/>
        <v>2029</v>
      </c>
    </row>
    <row r="7" spans="2:17">
      <c r="B7" t="s">
        <v>722</v>
      </c>
    </row>
    <row r="8" spans="2:17">
      <c r="B8" t="s">
        <v>723</v>
      </c>
    </row>
    <row r="9" spans="2:17">
      <c r="B9" t="s">
        <v>724</v>
      </c>
      <c r="E9" s="4">
        <f>1341688323/10^7</f>
        <v>134.16883229999999</v>
      </c>
      <c r="F9" s="4">
        <f>2336424162/10^7</f>
        <v>233.64241620000001</v>
      </c>
      <c r="G9" s="4">
        <f>2244649563/10^7</f>
        <v>224.46495630000001</v>
      </c>
      <c r="H9" s="4">
        <f>2155373107/10^7</f>
        <v>215.53731070000001</v>
      </c>
      <c r="I9" s="4">
        <f>2070425726/10^7</f>
        <v>207.0425726</v>
      </c>
      <c r="J9" s="4">
        <f>1985421949/10^7</f>
        <v>198.5421949</v>
      </c>
      <c r="K9" s="4">
        <f>Schedule!K34</f>
        <v>725.38</v>
      </c>
      <c r="L9" s="4">
        <f ca="1">Schedule!L34</f>
        <v>681.54883152209106</v>
      </c>
      <c r="M9" s="4">
        <f ca="1">Schedule!M34</f>
        <v>640.36616635298424</v>
      </c>
      <c r="N9" s="4">
        <f ca="1">Schedule!N34</f>
        <v>601.67196838092786</v>
      </c>
      <c r="O9" s="4">
        <f ca="1">Schedule!O34</f>
        <v>565.31587169430907</v>
      </c>
      <c r="P9" s="4">
        <f ca="1">Schedule!P34</f>
        <v>531.15659625871785</v>
      </c>
      <c r="Q9" s="4">
        <f ca="1">Schedule!Q34</f>
        <v>499.06139890178974</v>
      </c>
    </row>
    <row r="10" spans="2:17">
      <c r="B10" t="s">
        <v>725</v>
      </c>
      <c r="E10" s="4">
        <f>3446852601/10^7</f>
        <v>344.68526009999999</v>
      </c>
    </row>
    <row r="11" spans="2:17">
      <c r="B11" t="s">
        <v>726</v>
      </c>
    </row>
    <row r="12" spans="2:17">
      <c r="B12" t="s">
        <v>727</v>
      </c>
      <c r="E12" s="4">
        <f>839954226/10^7</f>
        <v>83.995422599999998</v>
      </c>
      <c r="F12" s="4">
        <f>188962420/10^7</f>
        <v>18.896242000000001</v>
      </c>
      <c r="G12" s="4">
        <f>188962420/10^7</f>
        <v>18.896242000000001</v>
      </c>
      <c r="H12" s="4">
        <f>188962420/10^7</f>
        <v>18.896242000000001</v>
      </c>
      <c r="I12" s="4">
        <f>188962420/10^7</f>
        <v>18.896242000000001</v>
      </c>
      <c r="J12" s="4">
        <f>188962420/10^7</f>
        <v>18.896242000000001</v>
      </c>
      <c r="K12" s="4">
        <f>J12</f>
        <v>18.896242000000001</v>
      </c>
      <c r="L12" s="4">
        <f>K12</f>
        <v>18.896242000000001</v>
      </c>
      <c r="M12" s="4">
        <f t="shared" ref="M12:Q12" si="1">L12</f>
        <v>18.896242000000001</v>
      </c>
      <c r="N12" s="4">
        <f t="shared" si="1"/>
        <v>18.896242000000001</v>
      </c>
      <c r="O12" s="4">
        <f t="shared" si="1"/>
        <v>18.896242000000001</v>
      </c>
      <c r="P12" s="4">
        <f t="shared" si="1"/>
        <v>18.896242000000001</v>
      </c>
      <c r="Q12" s="4">
        <f t="shared" si="1"/>
        <v>18.896242000000001</v>
      </c>
    </row>
    <row r="13" spans="2:17">
      <c r="B13" t="s">
        <v>762</v>
      </c>
      <c r="E13" s="4">
        <f>1190862090/10^7</f>
        <v>119.086209</v>
      </c>
      <c r="F13" s="4">
        <f>54498341/10^7</f>
        <v>5.4498341000000003</v>
      </c>
      <c r="G13" s="4">
        <f>44053263/10^7</f>
        <v>4.4053262999999996</v>
      </c>
      <c r="H13" s="4">
        <f>45855971/10^7</f>
        <v>4.5855971000000002</v>
      </c>
      <c r="I13" s="4">
        <f>49111280/10^7</f>
        <v>4.9111279999999997</v>
      </c>
      <c r="J13" s="4">
        <f>26876530/10^7</f>
        <v>2.6876530000000001</v>
      </c>
      <c r="K13" s="4" t="e">
        <f ca="1">Schedule!K48</f>
        <v>#DIV/0!</v>
      </c>
      <c r="L13" s="4" t="e">
        <f ca="1">Schedule!L48</f>
        <v>#DIV/0!</v>
      </c>
      <c r="M13" s="4" t="e">
        <f ca="1">Schedule!M48</f>
        <v>#DIV/0!</v>
      </c>
      <c r="N13" s="4" t="e">
        <f ca="1">Schedule!N48</f>
        <v>#DIV/0!</v>
      </c>
      <c r="O13" s="4" t="e">
        <f ca="1">Schedule!O48</f>
        <v>#DIV/0!</v>
      </c>
      <c r="P13" s="4" t="e">
        <f ca="1">Schedule!P48</f>
        <v>#DIV/0!</v>
      </c>
      <c r="Q13" s="4" t="e">
        <f ca="1">Schedule!Q48</f>
        <v>#DIV/0!</v>
      </c>
    </row>
    <row r="14" spans="2:17">
      <c r="B14" t="s">
        <v>728</v>
      </c>
      <c r="E14" s="4">
        <f>24134151/10^7</f>
        <v>2.4134150999999999</v>
      </c>
      <c r="F14" s="4">
        <f>15214145/10^7</f>
        <v>1.5214144999999999</v>
      </c>
      <c r="G14" s="4">
        <f>67463877/10^7</f>
        <v>6.7463876999999997</v>
      </c>
      <c r="H14" s="4">
        <f>51513053/10^7</f>
        <v>5.1513052999999998</v>
      </c>
      <c r="I14" s="4">
        <f>67626504/10^7</f>
        <v>6.7626504000000001</v>
      </c>
      <c r="J14" s="4">
        <f>62961698/10^7</f>
        <v>6.2961698000000004</v>
      </c>
      <c r="K14" s="4">
        <f>J14</f>
        <v>6.2961698000000004</v>
      </c>
      <c r="L14" s="4">
        <f t="shared" ref="L14:Q14" si="2">K14</f>
        <v>6.2961698000000004</v>
      </c>
      <c r="M14" s="4">
        <f t="shared" si="2"/>
        <v>6.2961698000000004</v>
      </c>
      <c r="N14" s="4">
        <f t="shared" si="2"/>
        <v>6.2961698000000004</v>
      </c>
      <c r="O14" s="4">
        <f t="shared" si="2"/>
        <v>6.2961698000000004</v>
      </c>
      <c r="P14" s="4">
        <f t="shared" si="2"/>
        <v>6.2961698000000004</v>
      </c>
      <c r="Q14" s="4">
        <f t="shared" si="2"/>
        <v>6.2961698000000004</v>
      </c>
    </row>
    <row r="15" spans="2:17">
      <c r="B15" s="425" t="s">
        <v>8</v>
      </c>
      <c r="C15" s="425"/>
      <c r="D15" s="425"/>
      <c r="E15" s="426">
        <f t="shared" ref="E15:Q15" si="3">SUM(E9:E14)</f>
        <v>684.34913909999989</v>
      </c>
      <c r="F15" s="426">
        <f t="shared" si="3"/>
        <v>259.50990680000001</v>
      </c>
      <c r="G15" s="426">
        <f t="shared" si="3"/>
        <v>254.51291230000004</v>
      </c>
      <c r="H15" s="426">
        <f t="shared" si="3"/>
        <v>244.1704551</v>
      </c>
      <c r="I15" s="426">
        <f t="shared" si="3"/>
        <v>237.612593</v>
      </c>
      <c r="J15" s="426">
        <f t="shared" si="3"/>
        <v>226.42225970000001</v>
      </c>
      <c r="K15" s="426" t="e">
        <f t="shared" ca="1" si="3"/>
        <v>#DIV/0!</v>
      </c>
      <c r="L15" s="426" t="e">
        <f t="shared" ca="1" si="3"/>
        <v>#DIV/0!</v>
      </c>
      <c r="M15" s="426" t="e">
        <f t="shared" ca="1" si="3"/>
        <v>#DIV/0!</v>
      </c>
      <c r="N15" s="426" t="e">
        <f t="shared" ca="1" si="3"/>
        <v>#DIV/0!</v>
      </c>
      <c r="O15" s="426" t="e">
        <f t="shared" ca="1" si="3"/>
        <v>#DIV/0!</v>
      </c>
      <c r="P15" s="426" t="e">
        <f t="shared" ca="1" si="3"/>
        <v>#DIV/0!</v>
      </c>
      <c r="Q15" s="415" t="e">
        <f t="shared" ca="1" si="3"/>
        <v>#DIV/0!</v>
      </c>
    </row>
    <row r="16" spans="2:17">
      <c r="B16" t="s">
        <v>729</v>
      </c>
      <c r="E16" s="4"/>
      <c r="F16" s="4"/>
      <c r="G16" s="4"/>
      <c r="H16" s="4"/>
      <c r="I16" s="4"/>
      <c r="J16" s="4"/>
    </row>
    <row r="17" spans="2:17">
      <c r="B17" t="s">
        <v>730</v>
      </c>
      <c r="D17" s="4">
        <f>11698683/10^7</f>
        <v>1.1698683000000001</v>
      </c>
      <c r="E17" s="4">
        <f>10295805/10^7</f>
        <v>1.0295805</v>
      </c>
      <c r="F17" s="4">
        <f>11465347/10^7</f>
        <v>1.1465346999999999</v>
      </c>
      <c r="G17" s="4">
        <f>14087627/10^7</f>
        <v>1.4087627</v>
      </c>
      <c r="H17" s="4">
        <f>15290358/10^7</f>
        <v>1.5290357999999999</v>
      </c>
      <c r="I17" s="4">
        <f>9600012/10^7</f>
        <v>0.9600012</v>
      </c>
      <c r="J17" s="4">
        <f>6547330/10^7</f>
        <v>0.65473300000000001</v>
      </c>
      <c r="K17" s="4">
        <f>Schedule!K9</f>
        <v>162.51</v>
      </c>
      <c r="L17" s="4">
        <f>Schedule!L9</f>
        <v>198.56970954906825</v>
      </c>
      <c r="M17" s="4">
        <f>Schedule!M9</f>
        <v>177.76471826878966</v>
      </c>
      <c r="N17" s="4">
        <f>Schedule!N9</f>
        <v>186.81294242867111</v>
      </c>
      <c r="O17" s="4">
        <f>Schedule!O9</f>
        <v>196.32172119829045</v>
      </c>
      <c r="P17" s="4">
        <f>Schedule!P9</f>
        <v>206.31449680728343</v>
      </c>
      <c r="Q17" s="4">
        <f>Schedule!Q9</f>
        <v>216.8159046947741</v>
      </c>
    </row>
    <row r="18" spans="2:17">
      <c r="B18" t="s">
        <v>731</v>
      </c>
      <c r="D18" s="4"/>
      <c r="E18" s="4"/>
      <c r="F18" s="4"/>
      <c r="G18" s="4"/>
      <c r="H18" s="4"/>
      <c r="I18" s="4"/>
      <c r="J18" s="4"/>
    </row>
    <row r="19" spans="2:17">
      <c r="B19" t="s">
        <v>732</v>
      </c>
      <c r="D19" s="4">
        <f>222345459/10^7</f>
        <v>22.234545900000001</v>
      </c>
      <c r="E19" s="4">
        <f>108963403/10^7</f>
        <v>10.8963403</v>
      </c>
      <c r="F19" s="4">
        <f>103213822/10^7</f>
        <v>10.3213822</v>
      </c>
      <c r="G19" s="4">
        <f>118850860/10^7</f>
        <v>11.885085999999999</v>
      </c>
      <c r="H19" s="4">
        <f>85748152/10^7</f>
        <v>8.5748151999999997</v>
      </c>
      <c r="I19" s="4">
        <f>48494425/10^7</f>
        <v>4.8494425000000003</v>
      </c>
      <c r="J19" s="4">
        <f>38586623/10^7</f>
        <v>3.8586623000000002</v>
      </c>
      <c r="K19" s="4">
        <f>Schedule!K8</f>
        <v>57.85</v>
      </c>
      <c r="L19" s="4">
        <f>Schedule!L8</f>
        <v>102.69498539194468</v>
      </c>
      <c r="M19" s="4">
        <f>Schedule!M8</f>
        <v>107.92216014839465</v>
      </c>
      <c r="N19" s="4">
        <f>Schedule!N8</f>
        <v>113.41539809994796</v>
      </c>
      <c r="O19" s="4">
        <f>Schedule!O8</f>
        <v>119.18824186323529</v>
      </c>
      <c r="P19" s="4">
        <f>Schedule!P8</f>
        <v>125.25492337407398</v>
      </c>
      <c r="Q19" s="4">
        <f>Schedule!Q8</f>
        <v>131.63039897381432</v>
      </c>
    </row>
    <row r="20" spans="2:17">
      <c r="B20" t="s">
        <v>733</v>
      </c>
      <c r="E20" s="4">
        <f>13452813/10^7</f>
        <v>1.3452812999999999</v>
      </c>
      <c r="F20" s="4">
        <f>-11339986/10^7</f>
        <v>-1.1339986</v>
      </c>
      <c r="G20" s="4">
        <f>50477595/10^7</f>
        <v>5.0477594999999997</v>
      </c>
      <c r="H20" s="4">
        <f>12033627/10^7</f>
        <v>1.2033627</v>
      </c>
      <c r="I20" s="4">
        <f>1876205/10^7</f>
        <v>0.1876205</v>
      </c>
      <c r="J20" s="4">
        <f>21318936/10^7</f>
        <v>2.1318936000000002</v>
      </c>
      <c r="K20" s="4" t="e">
        <f ca="1">'Cash flow'!K34</f>
        <v>#DIV/0!</v>
      </c>
      <c r="L20" s="4" t="e">
        <f ca="1">'Cash flow'!L34</f>
        <v>#DIV/0!</v>
      </c>
      <c r="M20" s="4" t="e">
        <f ca="1">'Cash flow'!M34</f>
        <v>#DIV/0!</v>
      </c>
      <c r="N20" s="4" t="e">
        <f ca="1">'Cash flow'!N34</f>
        <v>#DIV/0!</v>
      </c>
      <c r="O20" s="4" t="e">
        <f ca="1">'Cash flow'!O34</f>
        <v>#DIV/0!</v>
      </c>
      <c r="P20" s="4" t="e">
        <f ca="1">'Cash flow'!P34</f>
        <v>#DIV/0!</v>
      </c>
      <c r="Q20" s="4" t="e">
        <f ca="1">'Cash flow'!Q34</f>
        <v>#DIV/0!</v>
      </c>
    </row>
    <row r="21" spans="2:17">
      <c r="B21" t="s">
        <v>734</v>
      </c>
      <c r="E21" s="4"/>
      <c r="F21" s="4"/>
      <c r="G21" s="4"/>
      <c r="H21" s="4"/>
      <c r="I21" s="4"/>
      <c r="J21" s="4"/>
    </row>
    <row r="22" spans="2:17">
      <c r="B22" t="s">
        <v>763</v>
      </c>
      <c r="E22" s="4"/>
      <c r="F22" s="4"/>
      <c r="G22" s="4"/>
      <c r="H22" s="4"/>
      <c r="I22" s="4"/>
      <c r="J22" s="4"/>
    </row>
    <row r="23" spans="2:17">
      <c r="B23" t="s">
        <v>735</v>
      </c>
      <c r="E23" s="4"/>
      <c r="F23" s="4"/>
      <c r="G23" s="4"/>
      <c r="H23" s="4"/>
      <c r="I23" s="4"/>
      <c r="J23" s="4"/>
    </row>
    <row r="24" spans="2:17">
      <c r="B24" t="s">
        <v>736</v>
      </c>
      <c r="E24" s="4"/>
      <c r="F24" s="4"/>
      <c r="G24" s="4"/>
      <c r="H24" s="4"/>
      <c r="I24" s="4"/>
      <c r="J24" s="4"/>
    </row>
    <row r="25" spans="2:17">
      <c r="B25" t="s">
        <v>737</v>
      </c>
      <c r="E25" s="4">
        <f>69454566/10^7</f>
        <v>6.9454566</v>
      </c>
      <c r="F25" s="4">
        <f>35742492/10^7</f>
        <v>3.5742492000000001</v>
      </c>
      <c r="G25" s="4">
        <f>37994681/10^7</f>
        <v>3.7994680999999999</v>
      </c>
      <c r="H25" s="4">
        <f>59892281/10^7</f>
        <v>5.9892281000000001</v>
      </c>
      <c r="I25" s="4">
        <f>42833135/10^7</f>
        <v>4.2833135000000002</v>
      </c>
      <c r="J25" s="4">
        <f>56239172/10^7</f>
        <v>5.6239172000000002</v>
      </c>
      <c r="K25" s="4">
        <f>J25</f>
        <v>5.6239172000000002</v>
      </c>
      <c r="L25" s="4">
        <f t="shared" ref="L25:Q25" si="4">K25</f>
        <v>5.6239172000000002</v>
      </c>
      <c r="M25" s="4">
        <f t="shared" si="4"/>
        <v>5.6239172000000002</v>
      </c>
      <c r="N25" s="4">
        <f t="shared" si="4"/>
        <v>5.6239172000000002</v>
      </c>
      <c r="O25" s="4">
        <f t="shared" si="4"/>
        <v>5.6239172000000002</v>
      </c>
      <c r="P25" s="4">
        <f t="shared" si="4"/>
        <v>5.6239172000000002</v>
      </c>
      <c r="Q25" s="4">
        <f t="shared" si="4"/>
        <v>5.6239172000000002</v>
      </c>
    </row>
    <row r="26" spans="2:17">
      <c r="B26" t="s">
        <v>738</v>
      </c>
      <c r="E26" s="4"/>
      <c r="F26" s="4"/>
      <c r="G26" s="4"/>
      <c r="H26" s="4"/>
      <c r="I26" s="4"/>
      <c r="J26" s="4"/>
    </row>
    <row r="27" spans="2:17">
      <c r="B27" s="425" t="s">
        <v>5</v>
      </c>
      <c r="C27" s="425"/>
      <c r="D27" s="425"/>
      <c r="E27" s="426">
        <f t="shared" ref="E27:Q27" si="5">SUM(E17:E26)</f>
        <v>20.2166587</v>
      </c>
      <c r="F27" s="426">
        <f t="shared" si="5"/>
        <v>13.908167500000001</v>
      </c>
      <c r="G27" s="426">
        <f t="shared" si="5"/>
        <v>22.141076299999998</v>
      </c>
      <c r="H27" s="426">
        <f t="shared" si="5"/>
        <v>17.296441799999997</v>
      </c>
      <c r="I27" s="426">
        <f t="shared" si="5"/>
        <v>10.280377700000001</v>
      </c>
      <c r="J27" s="426">
        <f t="shared" si="5"/>
        <v>12.269206100000002</v>
      </c>
      <c r="K27" s="426" t="e">
        <f t="shared" ca="1" si="5"/>
        <v>#DIV/0!</v>
      </c>
      <c r="L27" s="426" t="e">
        <f t="shared" ca="1" si="5"/>
        <v>#DIV/0!</v>
      </c>
      <c r="M27" s="426" t="e">
        <f t="shared" ca="1" si="5"/>
        <v>#DIV/0!</v>
      </c>
      <c r="N27" s="426" t="e">
        <f t="shared" ca="1" si="5"/>
        <v>#DIV/0!</v>
      </c>
      <c r="O27" s="426" t="e">
        <f t="shared" ca="1" si="5"/>
        <v>#DIV/0!</v>
      </c>
      <c r="P27" s="426" t="e">
        <f t="shared" ca="1" si="5"/>
        <v>#DIV/0!</v>
      </c>
      <c r="Q27" s="415" t="e">
        <f t="shared" ca="1" si="5"/>
        <v>#DIV/0!</v>
      </c>
    </row>
    <row r="28" spans="2:17">
      <c r="E28" s="4"/>
      <c r="F28" s="4"/>
      <c r="G28" s="4"/>
      <c r="H28" s="4"/>
      <c r="I28" s="4"/>
      <c r="J28" s="4"/>
      <c r="K28" s="4"/>
      <c r="L28" s="4"/>
      <c r="M28" s="4"/>
      <c r="N28" s="4"/>
      <c r="O28" s="4"/>
      <c r="P28" s="4"/>
      <c r="Q28" s="4"/>
    </row>
    <row r="29" spans="2:17">
      <c r="B29" s="425" t="s">
        <v>739</v>
      </c>
      <c r="C29" s="425"/>
      <c r="D29" s="425"/>
      <c r="E29" s="426">
        <f t="shared" ref="E29:Q29" si="6">E15+E27</f>
        <v>704.56579779999993</v>
      </c>
      <c r="F29" s="426">
        <f t="shared" si="6"/>
        <v>273.4180743</v>
      </c>
      <c r="G29" s="426">
        <f t="shared" si="6"/>
        <v>276.65398860000005</v>
      </c>
      <c r="H29" s="426">
        <f t="shared" si="6"/>
        <v>261.46689689999999</v>
      </c>
      <c r="I29" s="426">
        <f t="shared" si="6"/>
        <v>247.89297070000001</v>
      </c>
      <c r="J29" s="426">
        <f t="shared" si="6"/>
        <v>238.6914658</v>
      </c>
      <c r="K29" s="426" t="e">
        <f t="shared" ca="1" si="6"/>
        <v>#DIV/0!</v>
      </c>
      <c r="L29" s="426" t="e">
        <f t="shared" ca="1" si="6"/>
        <v>#DIV/0!</v>
      </c>
      <c r="M29" s="426" t="e">
        <f t="shared" ca="1" si="6"/>
        <v>#DIV/0!</v>
      </c>
      <c r="N29" s="426" t="e">
        <f t="shared" ca="1" si="6"/>
        <v>#DIV/0!</v>
      </c>
      <c r="O29" s="426" t="e">
        <f t="shared" ca="1" si="6"/>
        <v>#DIV/0!</v>
      </c>
      <c r="P29" s="426" t="e">
        <f t="shared" ca="1" si="6"/>
        <v>#DIV/0!</v>
      </c>
      <c r="Q29" s="415" t="e">
        <f t="shared" ca="1" si="6"/>
        <v>#DIV/0!</v>
      </c>
    </row>
    <row r="30" spans="2:17">
      <c r="E30" s="4"/>
      <c r="F30" s="4"/>
      <c r="G30" s="4"/>
      <c r="H30" s="4"/>
      <c r="I30" s="4"/>
      <c r="J30" s="4"/>
    </row>
    <row r="31" spans="2:17">
      <c r="B31" t="s">
        <v>740</v>
      </c>
      <c r="E31" s="4"/>
      <c r="F31" s="4"/>
      <c r="G31" s="4"/>
      <c r="H31" s="4"/>
      <c r="I31" s="4"/>
      <c r="J31" s="4"/>
    </row>
    <row r="32" spans="2:17">
      <c r="B32" t="s">
        <v>741</v>
      </c>
      <c r="E32" s="4"/>
      <c r="F32" s="4"/>
      <c r="G32" s="4"/>
      <c r="H32" s="4"/>
      <c r="I32" s="4"/>
      <c r="J32" s="4"/>
    </row>
    <row r="33" spans="2:17">
      <c r="B33" t="s">
        <v>742</v>
      </c>
      <c r="E33" s="4">
        <f>424052240/10^7</f>
        <v>42.405223999999997</v>
      </c>
      <c r="F33" s="4">
        <f>424052240/10^7</f>
        <v>42.405223999999997</v>
      </c>
      <c r="G33" s="4">
        <f t="shared" ref="G33:J33" si="7">424052240/10^7</f>
        <v>42.405223999999997</v>
      </c>
      <c r="H33" s="4">
        <f t="shared" si="7"/>
        <v>42.405223999999997</v>
      </c>
      <c r="I33" s="4">
        <f t="shared" si="7"/>
        <v>42.405223999999997</v>
      </c>
      <c r="J33" s="4">
        <f t="shared" si="7"/>
        <v>42.405223999999997</v>
      </c>
      <c r="K33" s="4">
        <f>J33</f>
        <v>42.405223999999997</v>
      </c>
      <c r="L33" s="4">
        <f t="shared" ref="L33:Q33" si="8">K33</f>
        <v>42.405223999999997</v>
      </c>
      <c r="M33" s="4">
        <f t="shared" si="8"/>
        <v>42.405223999999997</v>
      </c>
      <c r="N33" s="4">
        <f t="shared" si="8"/>
        <v>42.405223999999997</v>
      </c>
      <c r="O33" s="4">
        <f t="shared" si="8"/>
        <v>42.405223999999997</v>
      </c>
      <c r="P33" s="4">
        <f t="shared" si="8"/>
        <v>42.405223999999997</v>
      </c>
      <c r="Q33" s="4">
        <f t="shared" si="8"/>
        <v>42.405223999999997</v>
      </c>
    </row>
    <row r="34" spans="2:17">
      <c r="B34" t="s">
        <v>743</v>
      </c>
      <c r="E34" s="4"/>
      <c r="F34" s="4"/>
      <c r="G34" s="4"/>
      <c r="H34" s="4"/>
      <c r="I34" s="4"/>
      <c r="J34" s="4"/>
      <c r="K34" s="4"/>
      <c r="L34" s="4"/>
      <c r="M34" s="4"/>
      <c r="N34" s="4"/>
      <c r="O34" s="4"/>
      <c r="P34" s="4"/>
      <c r="Q34" s="4"/>
    </row>
    <row r="35" spans="2:17">
      <c r="B35" t="s">
        <v>816</v>
      </c>
      <c r="E35" s="4">
        <f>E37-E36</f>
        <v>181.5164096</v>
      </c>
      <c r="F35" s="4">
        <f t="shared" ref="F35:J35" si="9">F37-F36</f>
        <v>181.51640960000003</v>
      </c>
      <c r="G35" s="4">
        <f t="shared" si="9"/>
        <v>181.51640959999997</v>
      </c>
      <c r="H35" s="4">
        <f t="shared" si="9"/>
        <v>181.50553869999999</v>
      </c>
      <c r="I35" s="4">
        <f t="shared" si="9"/>
        <v>181.51640960000003</v>
      </c>
      <c r="J35" s="4">
        <f t="shared" si="9"/>
        <v>181.516409031303</v>
      </c>
      <c r="K35" s="4">
        <f t="shared" ref="K35" si="10">K37-K36</f>
        <v>181.73640903130303</v>
      </c>
      <c r="L35" s="4">
        <f t="shared" ref="L35" si="11">L37-L36</f>
        <v>181.73640903130297</v>
      </c>
      <c r="M35" s="4">
        <f t="shared" ref="M35" si="12">M37-M36</f>
        <v>192.02574491986047</v>
      </c>
      <c r="N35" s="4">
        <f t="shared" ref="N35" si="13">N37-N36</f>
        <v>202.57826443367742</v>
      </c>
      <c r="O35" s="4">
        <f t="shared" ref="O35" si="14">O37-O36</f>
        <v>213.37855212381209</v>
      </c>
      <c r="P35" s="4">
        <f t="shared" ref="P35" si="15">P37-P36</f>
        <v>224.44793812762146</v>
      </c>
      <c r="Q35" s="4"/>
    </row>
    <row r="36" spans="2:17">
      <c r="B36" t="s">
        <v>814</v>
      </c>
      <c r="E36" s="413">
        <f>-1434142214/10^7</f>
        <v>-143.4142214</v>
      </c>
      <c r="F36" s="413">
        <f>-5820429546/10^7</f>
        <v>-582.04295460000003</v>
      </c>
      <c r="G36" s="413">
        <f>-5945326967/10^7</f>
        <v>-594.53269669999997</v>
      </c>
      <c r="H36" s="4">
        <f>-6037223818/10^7</f>
        <v>-603.72238179999999</v>
      </c>
      <c r="I36" s="4">
        <f>-6199967391/10^7</f>
        <v>-619.99673910000001</v>
      </c>
      <c r="J36" s="4">
        <f>-6298422690.31303/10^7</f>
        <v>-629.84226903130298</v>
      </c>
      <c r="K36" s="4">
        <f>J36+'Projection RK P&amp;L'!K27</f>
        <v>-684.14946903130306</v>
      </c>
      <c r="L36" s="4">
        <f>K36+'Projection RK P&amp;L'!L27</f>
        <v>-785.40576298230303</v>
      </c>
      <c r="M36" s="4">
        <f>L36+'Projection RK P&amp;L'!M27</f>
        <v>-764.87024599920812</v>
      </c>
      <c r="N36" s="4">
        <f>M36+'Projection RK P&amp;L'!N27</f>
        <v>-743.80946559146446</v>
      </c>
      <c r="O36" s="4">
        <f>N36+'Projection RK P&amp;L'!O27</f>
        <v>-722.25418800258569</v>
      </c>
      <c r="P36" s="4">
        <f>O36+'Projection RK P&amp;L'!P27</f>
        <v>-700.16184241918893</v>
      </c>
      <c r="Q36" s="4">
        <f>P37</f>
        <v>-475.71390429156747</v>
      </c>
    </row>
    <row r="37" spans="2:17">
      <c r="B37" t="s">
        <v>815</v>
      </c>
      <c r="E37" s="4">
        <f>381021882/10^7</f>
        <v>38.102188200000001</v>
      </c>
      <c r="F37" s="4">
        <f>-4005265450/10^7</f>
        <v>-400.526545</v>
      </c>
      <c r="G37" s="4">
        <f>-4130162871/10^7</f>
        <v>-413.0162871</v>
      </c>
      <c r="H37" s="4">
        <f>-4222168431/10^7</f>
        <v>-422.21684310000001</v>
      </c>
      <c r="I37" s="4">
        <f>-4384803295/10^7</f>
        <v>-438.48032949999998</v>
      </c>
      <c r="J37" s="4">
        <f>-4483258600/10^7</f>
        <v>-448.32585999999998</v>
      </c>
      <c r="K37" s="4">
        <f>J37+'Projection RK P&amp;L'!K24</f>
        <v>-502.41306000000003</v>
      </c>
      <c r="L37" s="4">
        <f>K37+'Projection RK P&amp;L'!L24</f>
        <v>-603.66935395100006</v>
      </c>
      <c r="M37" s="4">
        <f>L37+'Projection RK P&amp;L'!M24</f>
        <v>-572.84450107934765</v>
      </c>
      <c r="N37" s="4">
        <f>M37+'Projection RK P&amp;L'!N24</f>
        <v>-541.23120115778704</v>
      </c>
      <c r="O37" s="4">
        <f>N37+'Projection RK P&amp;L'!O24</f>
        <v>-508.87563587877361</v>
      </c>
      <c r="P37" s="4">
        <f>O37+'Projection RK P&amp;L'!P24</f>
        <v>-475.71390429156747</v>
      </c>
      <c r="Q37" s="4"/>
    </row>
    <row r="38" spans="2:17">
      <c r="B38" s="425" t="s">
        <v>744</v>
      </c>
      <c r="C38" s="425"/>
      <c r="D38" s="425"/>
      <c r="E38" s="426">
        <f>SUM(E33,E37)</f>
        <v>80.507412200000005</v>
      </c>
      <c r="F38" s="426">
        <f t="shared" ref="F38:P38" si="16">SUM(F33,F37)</f>
        <v>-358.12132100000002</v>
      </c>
      <c r="G38" s="426">
        <f t="shared" si="16"/>
        <v>-370.61106310000002</v>
      </c>
      <c r="H38" s="426">
        <f t="shared" si="16"/>
        <v>-379.81161910000003</v>
      </c>
      <c r="I38" s="426">
        <f t="shared" si="16"/>
        <v>-396.07510550000001</v>
      </c>
      <c r="J38" s="426">
        <f t="shared" si="16"/>
        <v>-405.920636</v>
      </c>
      <c r="K38" s="426">
        <f t="shared" si="16"/>
        <v>-460.00783600000005</v>
      </c>
      <c r="L38" s="426">
        <f t="shared" si="16"/>
        <v>-561.26412995100009</v>
      </c>
      <c r="M38" s="426">
        <f t="shared" si="16"/>
        <v>-530.43927707934768</v>
      </c>
      <c r="N38" s="426">
        <f t="shared" si="16"/>
        <v>-498.82597715778707</v>
      </c>
      <c r="O38" s="426">
        <f t="shared" si="16"/>
        <v>-466.47041187877363</v>
      </c>
      <c r="P38" s="426">
        <f t="shared" si="16"/>
        <v>-433.3086802915675</v>
      </c>
      <c r="Q38" s="415">
        <f t="shared" ref="Q38" si="17">SUM(Q33:Q36)</f>
        <v>-433.3086802915675</v>
      </c>
    </row>
    <row r="39" spans="2:17">
      <c r="E39" s="4"/>
      <c r="F39" s="4"/>
      <c r="G39" s="4"/>
      <c r="H39" s="4"/>
      <c r="I39" s="4"/>
      <c r="J39" s="4"/>
    </row>
    <row r="40" spans="2:17">
      <c r="B40" t="s">
        <v>44</v>
      </c>
      <c r="E40" s="4"/>
      <c r="F40" s="4"/>
      <c r="G40" s="4"/>
      <c r="H40" s="4"/>
      <c r="I40" s="4"/>
      <c r="J40" s="4"/>
    </row>
    <row r="41" spans="2:17">
      <c r="B41" t="s">
        <v>745</v>
      </c>
      <c r="E41" s="4"/>
      <c r="F41" s="4"/>
      <c r="G41" s="4"/>
      <c r="H41" s="4"/>
      <c r="I41" s="4"/>
      <c r="J41" s="4"/>
    </row>
    <row r="42" spans="2:17">
      <c r="B42" t="s">
        <v>746</v>
      </c>
      <c r="E42" s="4"/>
      <c r="F42" s="4"/>
      <c r="G42" s="4"/>
      <c r="H42" s="4"/>
      <c r="I42" s="4"/>
      <c r="J42" s="4"/>
    </row>
    <row r="43" spans="2:17">
      <c r="B43" t="s">
        <v>747</v>
      </c>
      <c r="E43" s="4">
        <f>3431870763/10^7</f>
        <v>343.1870763</v>
      </c>
      <c r="F43" s="4">
        <f>3825805826/10^7</f>
        <v>382.58058260000001</v>
      </c>
      <c r="G43" s="4">
        <f>3817215926/10^7</f>
        <v>381.72159260000001</v>
      </c>
      <c r="H43" s="4">
        <f>3817302288/10^7</f>
        <v>381.73022880000002</v>
      </c>
      <c r="I43" s="4">
        <f>3817302288/10^7</f>
        <v>381.73022880000002</v>
      </c>
      <c r="J43" s="4">
        <f>3817302287/10^7</f>
        <v>381.7302287</v>
      </c>
      <c r="K43" s="4">
        <f>J43</f>
        <v>381.7302287</v>
      </c>
      <c r="L43" s="4">
        <f t="shared" ref="L43:Q43" si="18">K43</f>
        <v>381.7302287</v>
      </c>
      <c r="M43" s="4">
        <f t="shared" si="18"/>
        <v>381.7302287</v>
      </c>
      <c r="N43" s="4">
        <f t="shared" si="18"/>
        <v>381.7302287</v>
      </c>
      <c r="O43" s="4">
        <f t="shared" si="18"/>
        <v>381.7302287</v>
      </c>
      <c r="P43" s="4">
        <f t="shared" si="18"/>
        <v>381.7302287</v>
      </c>
      <c r="Q43" s="417">
        <f t="shared" si="18"/>
        <v>381.7302287</v>
      </c>
    </row>
    <row r="44" spans="2:17">
      <c r="B44" t="s">
        <v>748</v>
      </c>
      <c r="E44" s="4"/>
      <c r="F44" s="4"/>
      <c r="G44" s="4"/>
      <c r="H44" s="4"/>
      <c r="I44" s="4"/>
      <c r="J44" s="4"/>
    </row>
    <row r="45" spans="2:17">
      <c r="B45" t="s">
        <v>749</v>
      </c>
      <c r="E45" s="4"/>
      <c r="F45" s="4"/>
      <c r="G45" s="4"/>
      <c r="H45" s="4"/>
      <c r="I45" s="4"/>
      <c r="J45" s="4"/>
    </row>
    <row r="46" spans="2:17">
      <c r="B46" t="s">
        <v>750</v>
      </c>
      <c r="E46" s="4">
        <f>178488911/10^7</f>
        <v>17.848891099999999</v>
      </c>
      <c r="F46" s="4">
        <f>277356495/10^7</f>
        <v>27.735649500000001</v>
      </c>
      <c r="G46" s="4">
        <f>302951139/10^7</f>
        <v>30.2951139</v>
      </c>
      <c r="H46" s="4">
        <f>322498439/10^7</f>
        <v>32.249843900000002</v>
      </c>
      <c r="I46" s="4">
        <f>283939089/10^7</f>
        <v>28.3939089</v>
      </c>
      <c r="J46" s="4">
        <f>292167827/10^7</f>
        <v>29.2167827</v>
      </c>
      <c r="K46" s="4">
        <f>J46</f>
        <v>29.2167827</v>
      </c>
      <c r="L46" s="4">
        <f t="shared" ref="L46:Q46" si="19">K46</f>
        <v>29.2167827</v>
      </c>
      <c r="M46" s="4">
        <f t="shared" si="19"/>
        <v>29.2167827</v>
      </c>
      <c r="N46" s="4">
        <f t="shared" si="19"/>
        <v>29.2167827</v>
      </c>
      <c r="O46" s="4">
        <f t="shared" si="19"/>
        <v>29.2167827</v>
      </c>
      <c r="P46" s="4">
        <f t="shared" si="19"/>
        <v>29.2167827</v>
      </c>
      <c r="Q46" s="4">
        <f t="shared" si="19"/>
        <v>29.2167827</v>
      </c>
    </row>
    <row r="47" spans="2:17">
      <c r="B47" t="s">
        <v>751</v>
      </c>
      <c r="E47" s="4">
        <f>9942731/10^7</f>
        <v>0.99427310000000002</v>
      </c>
      <c r="F47" s="4">
        <f>9504388/10^7</f>
        <v>0.95043880000000003</v>
      </c>
      <c r="G47" s="4">
        <f>26342990/10^7</f>
        <v>2.6342989999999999</v>
      </c>
      <c r="H47" s="4">
        <f>10108455/10^7</f>
        <v>1.0108455000000001</v>
      </c>
      <c r="I47" s="4">
        <f>4145153/10^7</f>
        <v>0.41451529999999998</v>
      </c>
      <c r="J47" s="4">
        <f>15891790/10^7</f>
        <v>1.5891789999999999</v>
      </c>
      <c r="K47" s="4">
        <f>J47</f>
        <v>1.5891789999999999</v>
      </c>
      <c r="L47" s="4">
        <f t="shared" ref="L47:Q47" si="20">K47</f>
        <v>1.5891789999999999</v>
      </c>
      <c r="M47" s="4">
        <f t="shared" si="20"/>
        <v>1.5891789999999999</v>
      </c>
      <c r="N47" s="4">
        <f t="shared" si="20"/>
        <v>1.5891789999999999</v>
      </c>
      <c r="O47" s="4">
        <f t="shared" si="20"/>
        <v>1.5891789999999999</v>
      </c>
      <c r="P47" s="4">
        <f t="shared" si="20"/>
        <v>1.5891789999999999</v>
      </c>
      <c r="Q47" s="4">
        <f t="shared" si="20"/>
        <v>1.5891789999999999</v>
      </c>
    </row>
    <row r="48" spans="2:17">
      <c r="B48" s="425" t="s">
        <v>759</v>
      </c>
      <c r="C48" s="425"/>
      <c r="D48" s="425"/>
      <c r="E48" s="426">
        <f>SUM(E43:E47)</f>
        <v>362.03024049999999</v>
      </c>
      <c r="F48" s="426">
        <f>SUM(F43:F47)</f>
        <v>411.26667090000001</v>
      </c>
      <c r="G48" s="426">
        <f t="shared" ref="G48:H48" si="21">SUM(G43:G47)</f>
        <v>414.6510055</v>
      </c>
      <c r="H48" s="426">
        <f t="shared" si="21"/>
        <v>414.99091820000007</v>
      </c>
      <c r="I48" s="426">
        <f t="shared" ref="I48" si="22">SUM(I43:I47)</f>
        <v>410.53865300000001</v>
      </c>
      <c r="J48" s="426">
        <f t="shared" ref="J48" si="23">SUM(J43:J47)</f>
        <v>412.53619040000001</v>
      </c>
      <c r="K48" s="426">
        <f t="shared" ref="K48" si="24">SUM(K43:K47)</f>
        <v>412.53619040000001</v>
      </c>
      <c r="L48" s="426">
        <f t="shared" ref="L48" si="25">SUM(L43:L47)</f>
        <v>412.53619040000001</v>
      </c>
      <c r="M48" s="426">
        <f t="shared" ref="M48" si="26">SUM(M43:M47)</f>
        <v>412.53619040000001</v>
      </c>
      <c r="N48" s="426">
        <f t="shared" ref="N48" si="27">SUM(N43:N47)</f>
        <v>412.53619040000001</v>
      </c>
      <c r="O48" s="426">
        <f t="shared" ref="O48" si="28">SUM(O43:O47)</f>
        <v>412.53619040000001</v>
      </c>
      <c r="P48" s="426">
        <f t="shared" ref="P48" si="29">SUM(P43:P47)</f>
        <v>412.53619040000001</v>
      </c>
      <c r="Q48" s="415">
        <f t="shared" ref="Q48" si="30">SUM(Q43:Q47)</f>
        <v>412.53619040000001</v>
      </c>
    </row>
    <row r="49" spans="2:17">
      <c r="B49" t="s">
        <v>752</v>
      </c>
      <c r="E49" s="4"/>
      <c r="F49" s="4"/>
      <c r="G49" s="4"/>
      <c r="H49" s="4"/>
      <c r="I49" s="4"/>
      <c r="J49" s="4"/>
    </row>
    <row r="50" spans="2:17">
      <c r="B50" t="s">
        <v>746</v>
      </c>
      <c r="E50" s="4"/>
      <c r="F50" s="4"/>
      <c r="G50" s="4"/>
      <c r="H50" s="4"/>
      <c r="I50" s="4"/>
      <c r="J50" s="4"/>
    </row>
    <row r="51" spans="2:17">
      <c r="B51" t="s">
        <v>747</v>
      </c>
      <c r="E51" s="4">
        <f>33006154/10^7</f>
        <v>3.3006153999999999</v>
      </c>
      <c r="F51" s="4">
        <f>41277009/10^7</f>
        <v>4.1277008999999998</v>
      </c>
      <c r="G51" s="4">
        <f>9329184/10^7</f>
        <v>0.93291840000000004</v>
      </c>
      <c r="H51" s="4">
        <f>10519783/10^7</f>
        <v>1.0519783</v>
      </c>
      <c r="I51" s="4">
        <f>10519357/10^7</f>
        <v>1.0519357</v>
      </c>
      <c r="J51" s="4">
        <f>10613391/10^7</f>
        <v>1.0613391000000001</v>
      </c>
      <c r="K51" s="4">
        <f>J51</f>
        <v>1.0613391000000001</v>
      </c>
      <c r="L51" s="4">
        <f t="shared" ref="L51:Q51" si="31">K51</f>
        <v>1.0613391000000001</v>
      </c>
      <c r="M51" s="4">
        <f t="shared" si="31"/>
        <v>1.0613391000000001</v>
      </c>
      <c r="N51" s="4">
        <f t="shared" si="31"/>
        <v>1.0613391000000001</v>
      </c>
      <c r="O51" s="4">
        <f t="shared" si="31"/>
        <v>1.0613391000000001</v>
      </c>
      <c r="P51" s="4">
        <f t="shared" si="31"/>
        <v>1.0613391000000001</v>
      </c>
      <c r="Q51" s="417">
        <f t="shared" si="31"/>
        <v>1.0613391000000001</v>
      </c>
    </row>
    <row r="52" spans="2:17">
      <c r="B52" t="s">
        <v>753</v>
      </c>
      <c r="D52" s="4">
        <f>166784329/10^7</f>
        <v>16.678432900000001</v>
      </c>
      <c r="E52" s="4">
        <f>172222064/10^7</f>
        <v>17.222206400000001</v>
      </c>
      <c r="F52" s="4">
        <f>190650100/10^7</f>
        <v>19.065010000000001</v>
      </c>
      <c r="G52" s="4">
        <f>246504959/10^7</f>
        <v>24.650495899999999</v>
      </c>
      <c r="H52" s="4">
        <f>219227329/10^7</f>
        <v>21.9227329</v>
      </c>
      <c r="I52" s="4">
        <f>257332112/10^7</f>
        <v>25.7332112</v>
      </c>
      <c r="J52" s="4">
        <f>176375119/10^7</f>
        <v>17.6375119</v>
      </c>
      <c r="K52" s="4">
        <f>Schedule!K10</f>
        <v>147.56</v>
      </c>
      <c r="L52" s="4">
        <f>Schedule!L10</f>
        <v>217.76824828325275</v>
      </c>
      <c r="M52" s="4">
        <f>Schedule!M10</f>
        <v>194.95174461336626</v>
      </c>
      <c r="N52" s="4">
        <f>Schedule!N10</f>
        <v>204.87478841418664</v>
      </c>
      <c r="O52" s="4">
        <f>Schedule!O10</f>
        <v>215.30291514446873</v>
      </c>
      <c r="P52" s="4">
        <f>Schedule!P10</f>
        <v>226.26183352532217</v>
      </c>
      <c r="Q52" s="4">
        <f>Schedule!Q10</f>
        <v>237.77856085176103</v>
      </c>
    </row>
    <row r="53" spans="2:17">
      <c r="B53" t="s">
        <v>754</v>
      </c>
      <c r="E53" s="4"/>
      <c r="F53" s="4"/>
      <c r="G53" s="4"/>
      <c r="H53" s="4"/>
      <c r="I53" s="4"/>
      <c r="J53" s="4"/>
    </row>
    <row r="54" spans="2:17">
      <c r="B54" t="s">
        <v>755</v>
      </c>
      <c r="E54" s="4"/>
      <c r="F54" s="4"/>
      <c r="G54" s="4"/>
      <c r="H54" s="4"/>
      <c r="I54" s="4"/>
      <c r="J54" s="4"/>
    </row>
    <row r="55" spans="2:17">
      <c r="B55" t="s">
        <v>756</v>
      </c>
      <c r="E55" s="4">
        <f>134709899/10^7</f>
        <v>13.470989899999999</v>
      </c>
      <c r="F55" s="4">
        <f>128350234/10^7</f>
        <v>12.835023400000001</v>
      </c>
      <c r="G55" s="4">
        <f>176483318/10^7</f>
        <v>17.648331800000001</v>
      </c>
      <c r="H55" s="4">
        <f>196187808/10^7</f>
        <v>19.6187808</v>
      </c>
      <c r="I55" s="4">
        <f>194929152/10^7</f>
        <v>19.492915199999999</v>
      </c>
      <c r="J55" s="4">
        <f>185893758/10^7</f>
        <v>18.589375799999999</v>
      </c>
      <c r="K55" s="4">
        <f>J55</f>
        <v>18.589375799999999</v>
      </c>
      <c r="L55" s="4">
        <f>J55</f>
        <v>18.589375799999999</v>
      </c>
      <c r="M55" s="4">
        <f>J55</f>
        <v>18.589375799999999</v>
      </c>
      <c r="N55" s="4">
        <f>J55</f>
        <v>18.589375799999999</v>
      </c>
      <c r="O55" s="4">
        <f>J55</f>
        <v>18.589375799999999</v>
      </c>
      <c r="P55" s="4">
        <f>J55</f>
        <v>18.589375799999999</v>
      </c>
      <c r="Q55" s="4">
        <f t="shared" ref="Q55" si="32">P55</f>
        <v>18.589375799999999</v>
      </c>
    </row>
    <row r="56" spans="2:17">
      <c r="B56" t="s">
        <v>757</v>
      </c>
      <c r="E56" s="4">
        <f>1377599/10^7</f>
        <v>0.13775989999999999</v>
      </c>
      <c r="F56" s="4">
        <f>1377599/10^7</f>
        <v>0.13775989999999999</v>
      </c>
      <c r="G56" s="4">
        <v>0</v>
      </c>
      <c r="H56" s="4">
        <v>0</v>
      </c>
      <c r="I56" s="4">
        <v>0</v>
      </c>
      <c r="J56" s="4">
        <v>0</v>
      </c>
      <c r="K56" s="4">
        <v>0</v>
      </c>
      <c r="L56" s="4">
        <v>0</v>
      </c>
      <c r="M56" s="4">
        <v>0</v>
      </c>
      <c r="N56" s="4">
        <v>0</v>
      </c>
      <c r="O56" s="4">
        <v>0</v>
      </c>
      <c r="P56" s="4">
        <v>0</v>
      </c>
    </row>
    <row r="57" spans="2:17">
      <c r="B57" t="s">
        <v>758</v>
      </c>
      <c r="E57" s="4">
        <f>2278965733/10^7</f>
        <v>227.8965733</v>
      </c>
      <c r="F57" s="4">
        <f>1841072300/10^7</f>
        <v>184.10722999999999</v>
      </c>
      <c r="G57" s="4">
        <f>1893823001/10^7</f>
        <v>189.38230010000001</v>
      </c>
      <c r="H57" s="4">
        <f>1836941058/10^7</f>
        <v>183.69410579999999</v>
      </c>
      <c r="I57" s="4">
        <f>1871513615/10^7</f>
        <v>187.15136150000001</v>
      </c>
      <c r="J57" s="4">
        <f>1947876846/10^7</f>
        <v>194.78768460000001</v>
      </c>
      <c r="K57" s="4">
        <f>J57</f>
        <v>194.78768460000001</v>
      </c>
      <c r="L57" s="4">
        <f t="shared" ref="L57:Q57" si="33">K57</f>
        <v>194.78768460000001</v>
      </c>
      <c r="M57" s="4">
        <f t="shared" si="33"/>
        <v>194.78768460000001</v>
      </c>
      <c r="N57" s="4">
        <f t="shared" si="33"/>
        <v>194.78768460000001</v>
      </c>
      <c r="O57" s="4">
        <f t="shared" si="33"/>
        <v>194.78768460000001</v>
      </c>
      <c r="P57" s="4">
        <f t="shared" si="33"/>
        <v>194.78768460000001</v>
      </c>
      <c r="Q57" s="4">
        <f t="shared" si="33"/>
        <v>194.78768460000001</v>
      </c>
    </row>
    <row r="58" spans="2:17">
      <c r="E58" s="4"/>
      <c r="F58" s="4"/>
      <c r="G58" s="4"/>
      <c r="H58" s="4"/>
      <c r="I58" s="4"/>
      <c r="J58" s="4"/>
    </row>
    <row r="59" spans="2:17">
      <c r="B59" s="425" t="s">
        <v>761</v>
      </c>
      <c r="C59" s="425"/>
      <c r="D59" s="425"/>
      <c r="E59" s="426">
        <f>SUM(E51:E57)</f>
        <v>262.02814490000003</v>
      </c>
      <c r="F59" s="426">
        <f>SUM(F51:F57)</f>
        <v>220.2727242</v>
      </c>
      <c r="G59" s="426">
        <f t="shared" ref="G59:H59" si="34">SUM(G51:G57)</f>
        <v>232.61404620000002</v>
      </c>
      <c r="H59" s="426">
        <f t="shared" si="34"/>
        <v>226.28759779999999</v>
      </c>
      <c r="I59" s="426">
        <f t="shared" ref="I59:J59" si="35">SUM(I51:I57)</f>
        <v>233.42942360000001</v>
      </c>
      <c r="J59" s="426">
        <f t="shared" si="35"/>
        <v>232.0759114</v>
      </c>
      <c r="K59" s="426">
        <f t="shared" ref="K59:Q59" si="36">SUM(K51:K57)</f>
        <v>361.9983995</v>
      </c>
      <c r="L59" s="426">
        <f t="shared" si="36"/>
        <v>432.20664778325272</v>
      </c>
      <c r="M59" s="426">
        <f t="shared" si="36"/>
        <v>409.39014411336626</v>
      </c>
      <c r="N59" s="426">
        <f t="shared" si="36"/>
        <v>419.31318791418664</v>
      </c>
      <c r="O59" s="426">
        <f t="shared" si="36"/>
        <v>429.74131464446873</v>
      </c>
      <c r="P59" s="426">
        <f t="shared" si="36"/>
        <v>440.70023302532218</v>
      </c>
      <c r="Q59" s="415">
        <f t="shared" si="36"/>
        <v>452.21696035176103</v>
      </c>
    </row>
    <row r="60" spans="2:17">
      <c r="B60" s="425" t="s">
        <v>760</v>
      </c>
      <c r="C60" s="425"/>
      <c r="D60" s="425"/>
      <c r="E60" s="426">
        <f>E38+E48+E59</f>
        <v>704.5657976</v>
      </c>
      <c r="F60" s="426">
        <f>F38+F48+F59</f>
        <v>273.41807410000001</v>
      </c>
      <c r="G60" s="426">
        <f t="shared" ref="G60:H60" si="37">G38+G48+G59</f>
        <v>276.65398859999999</v>
      </c>
      <c r="H60" s="426">
        <f t="shared" si="37"/>
        <v>261.46689690000005</v>
      </c>
      <c r="I60" s="426">
        <f t="shared" ref="I60" si="38">I38+I48+I59</f>
        <v>247.89297110000001</v>
      </c>
      <c r="J60" s="426">
        <f t="shared" ref="J60" si="39">J38+J48+J59</f>
        <v>238.6914658</v>
      </c>
      <c r="K60" s="426">
        <f t="shared" ref="K60" si="40">K38+K48+K59</f>
        <v>314.52675389999996</v>
      </c>
      <c r="L60" s="426">
        <f t="shared" ref="L60" si="41">L38+L48+L59</f>
        <v>283.47870823225264</v>
      </c>
      <c r="M60" s="426">
        <f t="shared" ref="M60" si="42">M38+M48+M59</f>
        <v>291.4870574340186</v>
      </c>
      <c r="N60" s="426">
        <f t="shared" ref="N60" si="43">N38+N48+N59</f>
        <v>333.02340115639959</v>
      </c>
      <c r="O60" s="426">
        <f t="shared" ref="O60" si="44">O38+O48+O59</f>
        <v>375.80709316569511</v>
      </c>
      <c r="P60" s="426">
        <f t="shared" ref="P60" si="45">P38+P48+P59</f>
        <v>419.92774313375469</v>
      </c>
      <c r="Q60" s="415">
        <f t="shared" ref="Q60" si="46">Q38+Q48+Q59</f>
        <v>431.44447046019354</v>
      </c>
    </row>
    <row r="62" spans="2:17">
      <c r="B62" s="431" t="s">
        <v>803</v>
      </c>
      <c r="C62" s="431"/>
      <c r="D62" s="431"/>
      <c r="E62" s="432">
        <f>E29-E60</f>
        <v>1.9999993128294591E-7</v>
      </c>
      <c r="F62" s="432">
        <f t="shared" ref="F62:Q62" si="47">F29-F60</f>
        <v>1.9999998812636477E-7</v>
      </c>
      <c r="G62" s="432">
        <f t="shared" si="47"/>
        <v>0</v>
      </c>
      <c r="H62" s="432">
        <f t="shared" si="47"/>
        <v>0</v>
      </c>
      <c r="I62" s="432">
        <f t="shared" si="47"/>
        <v>-4.0000000467443897E-7</v>
      </c>
      <c r="J62" s="432">
        <f t="shared" si="47"/>
        <v>0</v>
      </c>
      <c r="K62" s="432" t="e">
        <f t="shared" ca="1" si="47"/>
        <v>#DIV/0!</v>
      </c>
      <c r="L62" s="432" t="e">
        <f t="shared" ca="1" si="47"/>
        <v>#DIV/0!</v>
      </c>
      <c r="M62" s="432" t="e">
        <f t="shared" ca="1" si="47"/>
        <v>#DIV/0!</v>
      </c>
      <c r="N62" s="432" t="e">
        <f t="shared" ca="1" si="47"/>
        <v>#DIV/0!</v>
      </c>
      <c r="O62" s="432" t="e">
        <f t="shared" ca="1" si="47"/>
        <v>#DIV/0!</v>
      </c>
      <c r="P62" s="432" t="e">
        <f t="shared" ca="1" si="47"/>
        <v>#DIV/0!</v>
      </c>
      <c r="Q62" s="4" t="e">
        <f t="shared" ca="1" si="47"/>
        <v>#DIV/0!</v>
      </c>
    </row>
    <row r="63" spans="2:17">
      <c r="L63" s="151"/>
      <c r="M63" s="151"/>
      <c r="N63" s="151"/>
      <c r="O63" s="151"/>
      <c r="P63" s="151"/>
    </row>
    <row r="65" spans="2:16">
      <c r="K65" s="151"/>
      <c r="L65" s="151"/>
      <c r="M65" s="151"/>
      <c r="N65" s="151"/>
      <c r="O65" s="151"/>
      <c r="P65" s="151"/>
    </row>
    <row r="66" spans="2:16">
      <c r="E66" s="151"/>
      <c r="F66" s="151"/>
      <c r="G66" s="151"/>
      <c r="H66" s="151"/>
      <c r="I66" s="151"/>
      <c r="J66" s="151"/>
      <c r="K66" s="118"/>
      <c r="L66" s="118"/>
      <c r="M66" s="118"/>
      <c r="N66" s="118"/>
      <c r="O66" s="118"/>
      <c r="P66" s="118"/>
    </row>
    <row r="67" spans="2:16">
      <c r="K67" s="4"/>
      <c r="L67" s="4"/>
      <c r="M67" s="4"/>
      <c r="N67" s="4"/>
      <c r="O67" s="4"/>
      <c r="P67" s="4"/>
    </row>
    <row r="69" spans="2:16">
      <c r="B69" t="s">
        <v>818</v>
      </c>
      <c r="F69" s="4"/>
    </row>
    <row r="70" spans="2:16">
      <c r="B70" s="425" t="s">
        <v>5</v>
      </c>
      <c r="E70" s="4">
        <f>E17+E19</f>
        <v>11.9259208</v>
      </c>
      <c r="F70" s="4">
        <f t="shared" ref="F70:P70" si="48">F17+F19</f>
        <v>11.467916900000001</v>
      </c>
      <c r="G70" s="4">
        <f t="shared" si="48"/>
        <v>13.2938487</v>
      </c>
      <c r="H70" s="4">
        <f t="shared" si="48"/>
        <v>10.103850999999999</v>
      </c>
      <c r="I70" s="4">
        <f t="shared" si="48"/>
        <v>5.8094437000000001</v>
      </c>
      <c r="J70" s="4">
        <f t="shared" si="48"/>
        <v>4.5133953</v>
      </c>
      <c r="K70" s="4">
        <f t="shared" si="48"/>
        <v>220.35999999999999</v>
      </c>
      <c r="L70" s="4">
        <f t="shared" si="48"/>
        <v>301.26469494101292</v>
      </c>
      <c r="M70" s="4">
        <f t="shared" si="48"/>
        <v>285.68687841718429</v>
      </c>
      <c r="N70" s="4">
        <f t="shared" si="48"/>
        <v>300.22834052861907</v>
      </c>
      <c r="O70" s="4">
        <f t="shared" si="48"/>
        <v>315.50996306152575</v>
      </c>
      <c r="P70" s="4">
        <f t="shared" si="48"/>
        <v>331.56942018135743</v>
      </c>
    </row>
    <row r="71" spans="2:16">
      <c r="B71" s="3" t="s">
        <v>761</v>
      </c>
      <c r="E71" s="4">
        <f>E52+E55+E56</f>
        <v>30.830956199999999</v>
      </c>
      <c r="F71" s="4">
        <f t="shared" ref="F71:P71" si="49">F52+F55+F56</f>
        <v>32.037793300000004</v>
      </c>
      <c r="G71" s="4">
        <f t="shared" si="49"/>
        <v>42.298827700000004</v>
      </c>
      <c r="H71" s="4">
        <f t="shared" si="49"/>
        <v>41.541513699999996</v>
      </c>
      <c r="I71" s="4">
        <f t="shared" si="49"/>
        <v>45.226126399999998</v>
      </c>
      <c r="J71" s="4">
        <f t="shared" si="49"/>
        <v>36.226887699999999</v>
      </c>
      <c r="K71" s="4">
        <f t="shared" si="49"/>
        <v>166.1493758</v>
      </c>
      <c r="L71" s="4">
        <f t="shared" si="49"/>
        <v>236.35762408325274</v>
      </c>
      <c r="M71" s="4">
        <f t="shared" si="49"/>
        <v>213.54112041336626</v>
      </c>
      <c r="N71" s="4">
        <f t="shared" si="49"/>
        <v>223.46416421418664</v>
      </c>
      <c r="O71" s="4">
        <f t="shared" si="49"/>
        <v>233.89229094446873</v>
      </c>
      <c r="P71" s="4">
        <f t="shared" si="49"/>
        <v>244.85120932532217</v>
      </c>
    </row>
    <row r="73" spans="2:16">
      <c r="D73" t="s">
        <v>845</v>
      </c>
      <c r="E73" s="4">
        <f>E70-E71</f>
        <v>-18.905035399999999</v>
      </c>
      <c r="F73" s="4">
        <f t="shared" ref="F73:P73" si="50">F70-F71</f>
        <v>-20.569876400000005</v>
      </c>
      <c r="G73" s="4">
        <f t="shared" si="50"/>
        <v>-29.004979000000006</v>
      </c>
      <c r="H73" s="4">
        <f t="shared" si="50"/>
        <v>-31.437662699999997</v>
      </c>
      <c r="I73" s="4">
        <f t="shared" si="50"/>
        <v>-39.416682699999996</v>
      </c>
      <c r="J73" s="4">
        <f t="shared" si="50"/>
        <v>-31.7134924</v>
      </c>
      <c r="K73" s="4">
        <f t="shared" si="50"/>
        <v>54.210624199999984</v>
      </c>
      <c r="L73" s="4">
        <f t="shared" si="50"/>
        <v>64.907070857760175</v>
      </c>
      <c r="M73" s="4">
        <f t="shared" si="50"/>
        <v>72.145758003818031</v>
      </c>
      <c r="N73" s="4">
        <f t="shared" si="50"/>
        <v>76.764176314432433</v>
      </c>
      <c r="O73" s="4">
        <f t="shared" si="50"/>
        <v>81.617672117057026</v>
      </c>
      <c r="P73" s="4">
        <f t="shared" si="50"/>
        <v>86.718210856035256</v>
      </c>
    </row>
    <row r="74" spans="2:16">
      <c r="D74" t="s">
        <v>846</v>
      </c>
      <c r="F74" s="4">
        <f>F73-E73</f>
        <v>-1.6648410000000062</v>
      </c>
      <c r="G74" s="4">
        <f t="shared" ref="G74:P74" si="51">G73-F73</f>
        <v>-8.4351026000000005</v>
      </c>
      <c r="H74" s="4">
        <f t="shared" si="51"/>
        <v>-2.4326836999999912</v>
      </c>
      <c r="I74" s="4">
        <f t="shared" si="51"/>
        <v>-7.9790199999999984</v>
      </c>
      <c r="J74" s="4">
        <f t="shared" si="51"/>
        <v>7.7031902999999957</v>
      </c>
      <c r="K74" s="4">
        <f t="shared" si="51"/>
        <v>85.924116599999991</v>
      </c>
      <c r="L74" s="4">
        <f t="shared" si="51"/>
        <v>10.696446657760191</v>
      </c>
      <c r="M74" s="4">
        <f t="shared" si="51"/>
        <v>7.2386871460578561</v>
      </c>
      <c r="N74" s="4">
        <f t="shared" si="51"/>
        <v>4.6184183106144019</v>
      </c>
      <c r="O74" s="4">
        <f t="shared" si="51"/>
        <v>4.8534958026245931</v>
      </c>
      <c r="P74" s="4">
        <f t="shared" si="51"/>
        <v>5.10053873897823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B2:Q39"/>
  <sheetViews>
    <sheetView workbookViewId="0">
      <selection activeCell="J10" sqref="J10:J12"/>
    </sheetView>
  </sheetViews>
  <sheetFormatPr defaultRowHeight="14.4"/>
  <cols>
    <col min="2" max="2" width="17.88671875" customWidth="1"/>
    <col min="4" max="4" width="10.6640625" hidden="1" customWidth="1"/>
    <col min="5" max="5" width="0" hidden="1" customWidth="1"/>
    <col min="6" max="6" width="11" hidden="1" customWidth="1"/>
    <col min="7" max="8" width="11.33203125" hidden="1" customWidth="1"/>
    <col min="9" max="9" width="10.33203125" hidden="1" customWidth="1"/>
    <col min="10" max="10" width="10.33203125" bestFit="1" customWidth="1"/>
    <col min="17" max="17" width="0" hidden="1" customWidth="1"/>
  </cols>
  <sheetData>
    <row r="2" spans="2:17" ht="18">
      <c r="B2" s="377" t="s">
        <v>672</v>
      </c>
      <c r="C2" s="377"/>
      <c r="D2" s="377"/>
      <c r="E2" s="377"/>
      <c r="F2" s="378"/>
      <c r="G2" s="378"/>
      <c r="H2" s="378"/>
      <c r="I2" s="378"/>
      <c r="J2" s="378"/>
      <c r="K2" s="378"/>
      <c r="L2" s="378"/>
      <c r="M2" s="378"/>
      <c r="N2" s="378"/>
      <c r="O2" s="378"/>
      <c r="P2" s="378"/>
      <c r="Q2" s="378"/>
    </row>
    <row r="4" spans="2:17">
      <c r="B4" s="1" t="s">
        <v>671</v>
      </c>
      <c r="C4" s="1"/>
      <c r="D4" s="1"/>
      <c r="E4" s="1"/>
      <c r="F4" s="1"/>
      <c r="G4" s="1"/>
      <c r="H4" s="1"/>
      <c r="I4" s="1"/>
      <c r="J4" s="1"/>
      <c r="K4" s="1"/>
      <c r="L4" s="1"/>
      <c r="M4" s="1"/>
      <c r="N4" s="1"/>
      <c r="O4" s="1"/>
      <c r="P4" s="1"/>
      <c r="Q4" s="1"/>
    </row>
    <row r="6" spans="2:17">
      <c r="B6" s="124" t="s">
        <v>694</v>
      </c>
      <c r="C6" s="380">
        <v>2015</v>
      </c>
      <c r="D6" s="380">
        <v>2016</v>
      </c>
      <c r="E6" s="380">
        <v>2017</v>
      </c>
      <c r="F6" s="380">
        <v>2018</v>
      </c>
      <c r="G6" s="380">
        <v>2019</v>
      </c>
      <c r="H6" s="380">
        <f>G6+1</f>
        <v>2020</v>
      </c>
      <c r="I6" s="380">
        <f>H6+1</f>
        <v>2021</v>
      </c>
      <c r="J6" s="380">
        <f>I6+1</f>
        <v>2022</v>
      </c>
      <c r="K6" s="408">
        <f t="shared" ref="K6:Q6" si="0">J6+1</f>
        <v>2023</v>
      </c>
      <c r="L6" s="408">
        <f t="shared" si="0"/>
        <v>2024</v>
      </c>
      <c r="M6" s="408">
        <f t="shared" si="0"/>
        <v>2025</v>
      </c>
      <c r="N6" s="408">
        <f t="shared" si="0"/>
        <v>2026</v>
      </c>
      <c r="O6" s="408">
        <f t="shared" si="0"/>
        <v>2027</v>
      </c>
      <c r="P6" s="408">
        <f t="shared" si="0"/>
        <v>2028</v>
      </c>
      <c r="Q6" s="408">
        <f t="shared" si="0"/>
        <v>2029</v>
      </c>
    </row>
    <row r="8" spans="2:17">
      <c r="B8" t="s">
        <v>779</v>
      </c>
      <c r="E8" s="4">
        <f>'Projection RK P&amp;L'!E27</f>
        <v>0</v>
      </c>
      <c r="F8" s="4">
        <f>'Projection RK P&amp;L'!F27</f>
        <v>0</v>
      </c>
      <c r="G8" s="4">
        <f>'Projection RK P&amp;L'!G27</f>
        <v>0</v>
      </c>
      <c r="H8" s="4">
        <f>'Projection RK P&amp;L'!H27</f>
        <v>-35.290000000000006</v>
      </c>
      <c r="I8" s="4">
        <f>'Projection RK P&amp;L'!I27</f>
        <v>-31.609999999999985</v>
      </c>
      <c r="J8" s="4">
        <f>'Projection RK P&amp;L'!J27</f>
        <v>27.320000000000235</v>
      </c>
      <c r="K8" s="4">
        <f>'Projection RK P&amp;L'!K27</f>
        <v>-54.307200000000037</v>
      </c>
      <c r="L8" s="4">
        <f>'Projection RK P&amp;L'!L27</f>
        <v>-101.25629395100002</v>
      </c>
      <c r="M8" s="4">
        <f>'Projection RK P&amp;L'!M27</f>
        <v>20.535516983094858</v>
      </c>
      <c r="N8" s="4">
        <f>'Projection RK P&amp;L'!N27</f>
        <v>21.060780407743657</v>
      </c>
      <c r="O8" s="4">
        <f>'Projection RK P&amp;L'!O27</f>
        <v>21.555277588878738</v>
      </c>
      <c r="P8" s="4">
        <f>'Projection RK P&amp;L'!P27</f>
        <v>22.092345583396742</v>
      </c>
      <c r="Q8" s="4">
        <f>'Projection RK P&amp;L'!Q27</f>
        <v>22.610983815814762</v>
      </c>
    </row>
    <row r="9" spans="2:17">
      <c r="B9" t="s">
        <v>799</v>
      </c>
      <c r="E9" s="4">
        <f>'Projection RK P&amp;L'!E21</f>
        <v>0</v>
      </c>
      <c r="F9" s="4">
        <f>'Projection RK P&amp;L'!F21</f>
        <v>0</v>
      </c>
      <c r="G9" s="4">
        <f>'Projection RK P&amp;L'!G21</f>
        <v>0</v>
      </c>
      <c r="H9" s="4">
        <f>'Projection RK P&amp;L'!H21</f>
        <v>54.01</v>
      </c>
      <c r="I9" s="4">
        <f>'Projection RK P&amp;L'!I21</f>
        <v>50.4</v>
      </c>
      <c r="J9" s="4">
        <f>'Projection RK P&amp;L'!J21</f>
        <v>47.95</v>
      </c>
      <c r="K9" s="4">
        <f>'Projection RK P&amp;L'!K21</f>
        <v>46.65</v>
      </c>
      <c r="L9" s="4">
        <f>'Projection RK P&amp;L'!L21</f>
        <v>77.696293951000001</v>
      </c>
      <c r="M9" s="4">
        <f>'Projection RK P&amp;L'!M21</f>
        <v>78.129066908552247</v>
      </c>
      <c r="N9" s="4">
        <f>'Projection RK P&amp;L'!N21</f>
        <v>81.319413643859818</v>
      </c>
      <c r="O9" s="4">
        <f>'Projection RK P&amp;L'!O21</f>
        <v>81.406485989933003</v>
      </c>
      <c r="P9" s="4">
        <f>'Projection RK P&amp;L'!P21</f>
        <v>81.406485989933003</v>
      </c>
      <c r="Q9" s="4">
        <f>'Projection RK P&amp;L'!Q21</f>
        <v>81.406485989933003</v>
      </c>
    </row>
    <row r="10" spans="2:17">
      <c r="B10" t="s">
        <v>780</v>
      </c>
      <c r="J10" s="4">
        <f>-(BS!J19-BS!I19)</f>
        <v>0.99078020000000011</v>
      </c>
      <c r="K10" s="4">
        <f>-(BS!K19-BS!J19)</f>
        <v>-53.991337700000003</v>
      </c>
      <c r="L10" s="4">
        <f>-(BS!L19-BS!K19)</f>
        <v>-44.844985391944682</v>
      </c>
      <c r="M10" s="4">
        <f>-(BS!M19-BS!L19)</f>
        <v>-5.2271747564499691</v>
      </c>
      <c r="N10" s="4">
        <f>-(BS!N19-BS!M19)</f>
        <v>-5.4932379515533114</v>
      </c>
      <c r="O10" s="4">
        <f>-(BS!O19-BS!N19)</f>
        <v>-5.7728437632873266</v>
      </c>
      <c r="P10" s="4">
        <f>-(BS!P19-BS!O19)</f>
        <v>-6.0666815108386913</v>
      </c>
      <c r="Q10" s="4">
        <f>-(BS!Q19-BS!P19)</f>
        <v>-6.3754755997403407</v>
      </c>
    </row>
    <row r="11" spans="2:17">
      <c r="B11" t="s">
        <v>781</v>
      </c>
      <c r="J11" s="413">
        <f>-(BS!J17-BS!I17)</f>
        <v>0.30526819999999999</v>
      </c>
      <c r="K11" s="413">
        <f>-(BS!K17-BS!J17)</f>
        <v>-161.855267</v>
      </c>
      <c r="L11" s="413">
        <f>-(BS!L17-BS!K17)</f>
        <v>-36.059709549068259</v>
      </c>
      <c r="M11" s="413">
        <f>-(BS!M17-BS!L17)</f>
        <v>20.804991280278585</v>
      </c>
      <c r="N11" s="413">
        <f>-(BS!N17-BS!M17)</f>
        <v>-9.0482241598814426</v>
      </c>
      <c r="O11" s="413">
        <f>-(BS!O17-BS!N17)</f>
        <v>-9.5087787696193402</v>
      </c>
      <c r="P11" s="413">
        <f>-(BS!P17-BS!O17)</f>
        <v>-9.9927756089929858</v>
      </c>
      <c r="Q11" s="413">
        <f>-(BS!Q17-BS!P17)</f>
        <v>-10.501407887490672</v>
      </c>
    </row>
    <row r="12" spans="2:17">
      <c r="B12" t="s">
        <v>782</v>
      </c>
      <c r="J12" s="4">
        <f>-(BS!J25-BS!I25)</f>
        <v>-1.3406037</v>
      </c>
      <c r="K12" s="4">
        <f>-(BS!K25-BS!J25)</f>
        <v>0</v>
      </c>
      <c r="L12" s="4">
        <f>-(BS!L25-BS!K25)</f>
        <v>0</v>
      </c>
      <c r="M12" s="4">
        <f>-(BS!M25-BS!L25)</f>
        <v>0</v>
      </c>
      <c r="N12" s="4">
        <f>-(BS!N25-BS!M25)</f>
        <v>0</v>
      </c>
      <c r="O12" s="4">
        <f>-(BS!O25-BS!N25)</f>
        <v>0</v>
      </c>
      <c r="P12" s="4">
        <f>-(BS!P25-BS!O25)</f>
        <v>0</v>
      </c>
      <c r="Q12" s="4">
        <f>-(BS!Q25-BS!P25)</f>
        <v>0</v>
      </c>
    </row>
    <row r="13" spans="2:17">
      <c r="B13" t="s">
        <v>783</v>
      </c>
      <c r="J13" s="4">
        <f>BS!J52-BS!I52</f>
        <v>-8.0956992999999997</v>
      </c>
      <c r="K13" s="4">
        <f>BS!K52-BS!J52</f>
        <v>129.92248810000001</v>
      </c>
      <c r="L13" s="4">
        <f>BS!L52-BS!K52</f>
        <v>70.208248283252743</v>
      </c>
      <c r="M13" s="4">
        <f>BS!M52-BS!L52</f>
        <v>-22.816503669886487</v>
      </c>
      <c r="N13" s="4">
        <f>BS!N52-BS!M52</f>
        <v>9.9230438008203805</v>
      </c>
      <c r="O13" s="4">
        <f>BS!O52-BS!N52</f>
        <v>10.428126730282088</v>
      </c>
      <c r="P13" s="4">
        <f>BS!P52-BS!O52</f>
        <v>10.958918380853447</v>
      </c>
      <c r="Q13" s="4">
        <f>BS!Q52-BS!P52</f>
        <v>11.516727326438854</v>
      </c>
    </row>
    <row r="14" spans="2:17">
      <c r="B14" t="s">
        <v>784</v>
      </c>
      <c r="J14" s="4">
        <f>BS!K57-BS!J57</f>
        <v>0</v>
      </c>
      <c r="K14" s="4">
        <f>BS!L57-BS!K57</f>
        <v>0</v>
      </c>
      <c r="L14" s="4">
        <f>BS!M57-BS!L57</f>
        <v>0</v>
      </c>
      <c r="M14" s="4">
        <f>BS!N57-BS!M57</f>
        <v>0</v>
      </c>
      <c r="N14" s="4">
        <f>BS!O57-BS!N57</f>
        <v>0</v>
      </c>
      <c r="O14" s="4">
        <f>BS!P57-BS!O57</f>
        <v>0</v>
      </c>
      <c r="P14" s="4">
        <f>BS!Q57-BS!P57</f>
        <v>0</v>
      </c>
      <c r="Q14" s="4">
        <f>BS!R57-BS!Q57</f>
        <v>-194.78768460000001</v>
      </c>
    </row>
    <row r="15" spans="2:17">
      <c r="B15" t="s">
        <v>677</v>
      </c>
      <c r="D15" s="4">
        <f>-185567359/10^7</f>
        <v>-18.5567359</v>
      </c>
      <c r="E15" s="4">
        <f>79790375/10^7</f>
        <v>7.9790374999999996</v>
      </c>
      <c r="F15" s="4">
        <f>4265965709/10^7</f>
        <v>426.59657090000002</v>
      </c>
      <c r="G15">
        <v>0</v>
      </c>
      <c r="H15">
        <v>0</v>
      </c>
      <c r="I15">
        <v>0</v>
      </c>
      <c r="J15">
        <v>0</v>
      </c>
      <c r="K15">
        <v>0</v>
      </c>
      <c r="L15">
        <v>0</v>
      </c>
      <c r="M15">
        <v>0</v>
      </c>
      <c r="N15">
        <v>0</v>
      </c>
      <c r="O15">
        <v>0</v>
      </c>
      <c r="P15">
        <v>0</v>
      </c>
      <c r="Q15">
        <v>0</v>
      </c>
    </row>
    <row r="16" spans="2:17">
      <c r="B16" s="3" t="s">
        <v>785</v>
      </c>
      <c r="C16" s="3"/>
      <c r="D16" s="3"/>
      <c r="E16" s="415">
        <f t="shared" ref="E16:Q16" si="1">SUM(E8:E15)</f>
        <v>7.9790374999999996</v>
      </c>
      <c r="F16" s="415">
        <f t="shared" si="1"/>
        <v>426.59657090000002</v>
      </c>
      <c r="G16" s="415">
        <f t="shared" si="1"/>
        <v>0</v>
      </c>
      <c r="H16" s="415">
        <f t="shared" si="1"/>
        <v>18.719999999999992</v>
      </c>
      <c r="I16" s="415">
        <f t="shared" si="1"/>
        <v>18.790000000000013</v>
      </c>
      <c r="J16" s="415">
        <f t="shared" si="1"/>
        <v>67.129745400000246</v>
      </c>
      <c r="K16" s="415">
        <f t="shared" si="1"/>
        <v>-93.581316600000036</v>
      </c>
      <c r="L16" s="415">
        <f t="shared" si="1"/>
        <v>-34.256446657760222</v>
      </c>
      <c r="M16" s="415">
        <f t="shared" si="1"/>
        <v>91.425896745589242</v>
      </c>
      <c r="N16" s="415">
        <f t="shared" si="1"/>
        <v>97.761775740989094</v>
      </c>
      <c r="O16" s="415">
        <f t="shared" si="1"/>
        <v>98.108267776187162</v>
      </c>
      <c r="P16" s="415">
        <f t="shared" si="1"/>
        <v>98.398292834351508</v>
      </c>
      <c r="Q16" s="415">
        <f t="shared" si="1"/>
        <v>-96.130370955044398</v>
      </c>
    </row>
    <row r="18" spans="2:17">
      <c r="B18" t="s">
        <v>786</v>
      </c>
      <c r="F18" s="4">
        <f>-Schedule!F37</f>
        <v>0</v>
      </c>
      <c r="G18" s="4">
        <f>-Schedule!G37</f>
        <v>0</v>
      </c>
      <c r="H18" s="4">
        <f>-Schedule!H37</f>
        <v>-3.8750999999999749</v>
      </c>
      <c r="I18" s="4">
        <f>-Schedule!I37</f>
        <v>-1.9910999999999603</v>
      </c>
      <c r="J18" s="4">
        <f>-Schedule!J37</f>
        <v>5.1458000000000084</v>
      </c>
      <c r="K18" s="4">
        <f>-Schedule!K37</f>
        <v>-12.435999999999922</v>
      </c>
      <c r="L18" s="4">
        <f>-Schedule!L37</f>
        <v>0</v>
      </c>
      <c r="M18" s="4">
        <f>-Schedule!M37</f>
        <v>0</v>
      </c>
      <c r="N18" s="4">
        <f>-Schedule!N37</f>
        <v>0</v>
      </c>
      <c r="O18" s="4">
        <f>-Schedule!O37</f>
        <v>0</v>
      </c>
      <c r="P18" s="4">
        <f>-Schedule!P37</f>
        <v>0</v>
      </c>
      <c r="Q18" s="4">
        <f>-Schedule!Q37</f>
        <v>0</v>
      </c>
    </row>
    <row r="19" spans="2:17">
      <c r="B19" t="s">
        <v>800</v>
      </c>
      <c r="E19" s="4">
        <f>-29899870/10^7</f>
        <v>-2.9899870000000002</v>
      </c>
      <c r="F19" s="4">
        <f>-400612200/10^7</f>
        <v>-40.061219999999999</v>
      </c>
      <c r="G19" s="4"/>
      <c r="H19" s="4"/>
      <c r="I19" s="4"/>
    </row>
    <row r="20" spans="2:17">
      <c r="B20" t="s">
        <v>801</v>
      </c>
      <c r="E20" s="4"/>
      <c r="F20" s="4"/>
      <c r="K20" s="4"/>
      <c r="L20" s="4"/>
      <c r="M20" s="4"/>
      <c r="N20" s="4"/>
      <c r="O20" s="4"/>
      <c r="P20" s="4"/>
      <c r="Q20" s="4"/>
    </row>
    <row r="21" spans="2:17">
      <c r="B21" t="s">
        <v>802</v>
      </c>
      <c r="E21" s="4"/>
      <c r="F21" s="4"/>
      <c r="G21" s="4">
        <f>-(BS!G13-BS!F13)</f>
        <v>1.0445078000000008</v>
      </c>
      <c r="H21" s="4">
        <f>-(BS!H13-BS!G13)</f>
        <v>-0.18027080000000062</v>
      </c>
      <c r="I21" s="4">
        <f>-(BS!I13-BS!H13)</f>
        <v>-0.32553089999999951</v>
      </c>
      <c r="J21" s="4">
        <f>-(BS!J13-BS!I13)</f>
        <v>2.2234749999999996</v>
      </c>
      <c r="K21" s="4" t="e">
        <f ca="1">-(BS!K13-BS!J13)</f>
        <v>#DIV/0!</v>
      </c>
      <c r="L21" s="4" t="e">
        <f ca="1">-(BS!L13-BS!K13)</f>
        <v>#DIV/0!</v>
      </c>
      <c r="M21" s="4" t="e">
        <f ca="1">-(BS!M13-BS!L13)</f>
        <v>#DIV/0!</v>
      </c>
      <c r="N21" s="4" t="e">
        <f ca="1">-(BS!N13-BS!M13)</f>
        <v>#DIV/0!</v>
      </c>
      <c r="O21" s="4" t="e">
        <f ca="1">-(BS!O13-BS!N13)</f>
        <v>#DIV/0!</v>
      </c>
      <c r="P21" s="4" t="e">
        <f ca="1">-(BS!P13-BS!O13)</f>
        <v>#DIV/0!</v>
      </c>
      <c r="Q21" s="4" t="e">
        <f ca="1">-(BS!Q13-BS!P13)</f>
        <v>#DIV/0!</v>
      </c>
    </row>
    <row r="24" spans="2:17">
      <c r="B24" s="3" t="s">
        <v>787</v>
      </c>
      <c r="C24" s="3"/>
      <c r="D24" s="3"/>
      <c r="E24" s="3"/>
      <c r="F24" s="415">
        <f t="shared" ref="F24:Q24" si="2">SUM(F18:F23)</f>
        <v>-40.061219999999999</v>
      </c>
      <c r="G24" s="415">
        <f t="shared" si="2"/>
        <v>1.0445078000000008</v>
      </c>
      <c r="H24" s="414">
        <f t="shared" si="2"/>
        <v>-4.0553707999999755</v>
      </c>
      <c r="I24" s="415">
        <f t="shared" si="2"/>
        <v>-2.3166308999999599</v>
      </c>
      <c r="J24" s="415">
        <f t="shared" si="2"/>
        <v>7.369275000000008</v>
      </c>
      <c r="K24" s="415" t="e">
        <f t="shared" ca="1" si="2"/>
        <v>#DIV/0!</v>
      </c>
      <c r="L24" s="415" t="e">
        <f t="shared" ca="1" si="2"/>
        <v>#DIV/0!</v>
      </c>
      <c r="M24" s="415" t="e">
        <f t="shared" ca="1" si="2"/>
        <v>#DIV/0!</v>
      </c>
      <c r="N24" s="415" t="e">
        <f t="shared" ca="1" si="2"/>
        <v>#DIV/0!</v>
      </c>
      <c r="O24" s="415" t="e">
        <f t="shared" ca="1" si="2"/>
        <v>#DIV/0!</v>
      </c>
      <c r="P24" s="415" t="e">
        <f t="shared" ca="1" si="2"/>
        <v>#DIV/0!</v>
      </c>
      <c r="Q24" s="415" t="e">
        <f t="shared" ca="1" si="2"/>
        <v>#DIV/0!</v>
      </c>
    </row>
    <row r="26" spans="2:17">
      <c r="B26" t="s">
        <v>788</v>
      </c>
    </row>
    <row r="27" spans="2:17">
      <c r="B27" t="s">
        <v>789</v>
      </c>
    </row>
    <row r="28" spans="2:17">
      <c r="B28" t="s">
        <v>790</v>
      </c>
    </row>
    <row r="29" spans="2:17">
      <c r="B29" t="s">
        <v>791</v>
      </c>
    </row>
    <row r="30" spans="2:17">
      <c r="B30" s="3" t="s">
        <v>792</v>
      </c>
      <c r="F30" s="3">
        <f ca="1">SUM(F26:F30)</f>
        <v>0</v>
      </c>
      <c r="G30" s="3">
        <f t="shared" ref="G30:Q30" ca="1" si="3">SUM(G26:G30)</f>
        <v>0</v>
      </c>
      <c r="H30" s="3">
        <f t="shared" ca="1" si="3"/>
        <v>0</v>
      </c>
      <c r="I30" s="3">
        <f t="shared" ca="1" si="3"/>
        <v>0</v>
      </c>
      <c r="J30" s="3">
        <f t="shared" ca="1" si="3"/>
        <v>0</v>
      </c>
      <c r="K30" s="3">
        <f t="shared" ca="1" si="3"/>
        <v>0</v>
      </c>
      <c r="L30" s="3">
        <f t="shared" ca="1" si="3"/>
        <v>0</v>
      </c>
      <c r="M30" s="3">
        <f t="shared" ca="1" si="3"/>
        <v>0</v>
      </c>
      <c r="N30" s="3">
        <f t="shared" ca="1" si="3"/>
        <v>0</v>
      </c>
      <c r="O30" s="3">
        <f t="shared" ca="1" si="3"/>
        <v>0</v>
      </c>
      <c r="P30" s="3">
        <f t="shared" ca="1" si="3"/>
        <v>0</v>
      </c>
      <c r="Q30" s="3">
        <f t="shared" ca="1" si="3"/>
        <v>0</v>
      </c>
    </row>
    <row r="32" spans="2:17">
      <c r="B32" t="s">
        <v>793</v>
      </c>
      <c r="F32" s="4"/>
      <c r="G32" s="4"/>
      <c r="H32" s="4"/>
      <c r="I32" s="4"/>
      <c r="J32" s="4"/>
      <c r="K32" s="4" t="e">
        <f t="shared" ref="K32:Q32" ca="1" si="4">K30+K24+K16</f>
        <v>#DIV/0!</v>
      </c>
      <c r="L32" s="4" t="e">
        <f t="shared" ca="1" si="4"/>
        <v>#DIV/0!</v>
      </c>
      <c r="M32" s="4" t="e">
        <f t="shared" ca="1" si="4"/>
        <v>#DIV/0!</v>
      </c>
      <c r="N32" s="4" t="e">
        <f t="shared" ca="1" si="4"/>
        <v>#DIV/0!</v>
      </c>
      <c r="O32" s="4" t="e">
        <f t="shared" ca="1" si="4"/>
        <v>#DIV/0!</v>
      </c>
      <c r="P32" s="4" t="e">
        <f t="shared" ca="1" si="4"/>
        <v>#DIV/0!</v>
      </c>
      <c r="Q32" s="4" t="e">
        <f t="shared" ca="1" si="4"/>
        <v>#DIV/0!</v>
      </c>
    </row>
    <row r="33" spans="2:17">
      <c r="B33" t="s">
        <v>794</v>
      </c>
      <c r="F33" s="4"/>
      <c r="G33" s="4"/>
      <c r="H33" s="4"/>
      <c r="I33" s="4"/>
      <c r="J33" s="4"/>
      <c r="K33" s="4">
        <f>'Cash flow'!J34</f>
        <v>2.1318936000000002</v>
      </c>
      <c r="L33" s="4" t="e">
        <f ca="1">'Cash flow'!K34</f>
        <v>#DIV/0!</v>
      </c>
      <c r="M33" s="4" t="e">
        <f ca="1">'Cash flow'!L34</f>
        <v>#DIV/0!</v>
      </c>
      <c r="N33" s="4" t="e">
        <f ca="1">'Cash flow'!M34</f>
        <v>#DIV/0!</v>
      </c>
      <c r="O33" s="4" t="e">
        <f ca="1">'Cash flow'!N34</f>
        <v>#DIV/0!</v>
      </c>
      <c r="P33" s="4" t="e">
        <f ca="1">'Cash flow'!O34</f>
        <v>#DIV/0!</v>
      </c>
      <c r="Q33" s="4" t="e">
        <f ca="1">'Cash flow'!P34</f>
        <v>#DIV/0!</v>
      </c>
    </row>
    <row r="34" spans="2:17">
      <c r="B34" s="3" t="s">
        <v>795</v>
      </c>
      <c r="E34" s="4"/>
      <c r="F34" s="4"/>
      <c r="G34" s="4"/>
      <c r="H34" s="4"/>
      <c r="I34" s="4"/>
      <c r="J34" s="4">
        <f>21318936/10^7</f>
        <v>2.1318936000000002</v>
      </c>
      <c r="K34" s="4" t="e">
        <f t="shared" ref="K34:Q34" ca="1" si="5">K32+K33</f>
        <v>#DIV/0!</v>
      </c>
      <c r="L34" s="4" t="e">
        <f t="shared" ca="1" si="5"/>
        <v>#DIV/0!</v>
      </c>
      <c r="M34" s="4" t="e">
        <f t="shared" ca="1" si="5"/>
        <v>#DIV/0!</v>
      </c>
      <c r="N34" s="4" t="e">
        <f t="shared" ca="1" si="5"/>
        <v>#DIV/0!</v>
      </c>
      <c r="O34" s="4" t="e">
        <f t="shared" ca="1" si="5"/>
        <v>#DIV/0!</v>
      </c>
      <c r="P34" s="4" t="e">
        <f t="shared" ca="1" si="5"/>
        <v>#DIV/0!</v>
      </c>
      <c r="Q34" s="4" t="e">
        <f t="shared" ca="1" si="5"/>
        <v>#DIV/0!</v>
      </c>
    </row>
    <row r="39" spans="2:17">
      <c r="D39" s="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sheetPr>
  <dimension ref="A2:U55"/>
  <sheetViews>
    <sheetView tabSelected="1" topLeftCell="K1" zoomScale="85" zoomScaleNormal="85" workbookViewId="0">
      <selection activeCell="N3" sqref="N3"/>
    </sheetView>
  </sheetViews>
  <sheetFormatPr defaultColWidth="8" defaultRowHeight="15.6"/>
  <cols>
    <col min="1" max="1" width="8" style="620" hidden="1" customWidth="1"/>
    <col min="2" max="2" width="68.44140625" style="620" hidden="1" customWidth="1"/>
    <col min="3" max="3" width="16.44140625" style="620" hidden="1" customWidth="1"/>
    <col min="4" max="9" width="9.88671875" style="620" hidden="1" customWidth="1"/>
    <col min="10" max="10" width="0" style="620" hidden="1" customWidth="1"/>
    <col min="11" max="13" width="8" style="620"/>
    <col min="14" max="14" width="35.5546875" style="620" customWidth="1"/>
    <col min="15" max="15" width="12.21875" style="620" customWidth="1"/>
    <col min="16" max="16" width="11.77734375" style="620" customWidth="1"/>
    <col min="17" max="19" width="9" style="620" bestFit="1" customWidth="1"/>
    <col min="20" max="20" width="11.109375" style="620" bestFit="1" customWidth="1"/>
    <col min="21" max="257" width="8" style="620"/>
    <col min="258" max="258" width="68.44140625" style="620" bestFit="1" customWidth="1"/>
    <col min="259" max="259" width="9.109375" style="620" bestFit="1" customWidth="1"/>
    <col min="260" max="265" width="9.88671875" style="620" customWidth="1"/>
    <col min="266" max="513" width="8" style="620"/>
    <col min="514" max="514" width="68.44140625" style="620" bestFit="1" customWidth="1"/>
    <col min="515" max="515" width="9.109375" style="620" bestFit="1" customWidth="1"/>
    <col min="516" max="521" width="9.88671875" style="620" customWidth="1"/>
    <col min="522" max="769" width="8" style="620"/>
    <col min="770" max="770" width="68.44140625" style="620" bestFit="1" customWidth="1"/>
    <col min="771" max="771" width="9.109375" style="620" bestFit="1" customWidth="1"/>
    <col min="772" max="777" width="9.88671875" style="620" customWidth="1"/>
    <col min="778" max="1025" width="8" style="620"/>
    <col min="1026" max="1026" width="68.44140625" style="620" bestFit="1" customWidth="1"/>
    <col min="1027" max="1027" width="9.109375" style="620" bestFit="1" customWidth="1"/>
    <col min="1028" max="1033" width="9.88671875" style="620" customWidth="1"/>
    <col min="1034" max="1281" width="8" style="620"/>
    <col min="1282" max="1282" width="68.44140625" style="620" bestFit="1" customWidth="1"/>
    <col min="1283" max="1283" width="9.109375" style="620" bestFit="1" customWidth="1"/>
    <col min="1284" max="1289" width="9.88671875" style="620" customWidth="1"/>
    <col min="1290" max="1537" width="8" style="620"/>
    <col min="1538" max="1538" width="68.44140625" style="620" bestFit="1" customWidth="1"/>
    <col min="1539" max="1539" width="9.109375" style="620" bestFit="1" customWidth="1"/>
    <col min="1540" max="1545" width="9.88671875" style="620" customWidth="1"/>
    <col min="1546" max="1793" width="8" style="620"/>
    <col min="1794" max="1794" width="68.44140625" style="620" bestFit="1" customWidth="1"/>
    <col min="1795" max="1795" width="9.109375" style="620" bestFit="1" customWidth="1"/>
    <col min="1796" max="1801" width="9.88671875" style="620" customWidth="1"/>
    <col min="1802" max="2049" width="8" style="620"/>
    <col min="2050" max="2050" width="68.44140625" style="620" bestFit="1" customWidth="1"/>
    <col min="2051" max="2051" width="9.109375" style="620" bestFit="1" customWidth="1"/>
    <col min="2052" max="2057" width="9.88671875" style="620" customWidth="1"/>
    <col min="2058" max="2305" width="8" style="620"/>
    <col min="2306" max="2306" width="68.44140625" style="620" bestFit="1" customWidth="1"/>
    <col min="2307" max="2307" width="9.109375" style="620" bestFit="1" customWidth="1"/>
    <col min="2308" max="2313" width="9.88671875" style="620" customWidth="1"/>
    <col min="2314" max="2561" width="8" style="620"/>
    <col min="2562" max="2562" width="68.44140625" style="620" bestFit="1" customWidth="1"/>
    <col min="2563" max="2563" width="9.109375" style="620" bestFit="1" customWidth="1"/>
    <col min="2564" max="2569" width="9.88671875" style="620" customWidth="1"/>
    <col min="2570" max="2817" width="8" style="620"/>
    <col min="2818" max="2818" width="68.44140625" style="620" bestFit="1" customWidth="1"/>
    <col min="2819" max="2819" width="9.109375" style="620" bestFit="1" customWidth="1"/>
    <col min="2820" max="2825" width="9.88671875" style="620" customWidth="1"/>
    <col min="2826" max="3073" width="8" style="620"/>
    <col min="3074" max="3074" width="68.44140625" style="620" bestFit="1" customWidth="1"/>
    <col min="3075" max="3075" width="9.109375" style="620" bestFit="1" customWidth="1"/>
    <col min="3076" max="3081" width="9.88671875" style="620" customWidth="1"/>
    <col min="3082" max="3329" width="8" style="620"/>
    <col min="3330" max="3330" width="68.44140625" style="620" bestFit="1" customWidth="1"/>
    <col min="3331" max="3331" width="9.109375" style="620" bestFit="1" customWidth="1"/>
    <col min="3332" max="3337" width="9.88671875" style="620" customWidth="1"/>
    <col min="3338" max="3585" width="8" style="620"/>
    <col min="3586" max="3586" width="68.44140625" style="620" bestFit="1" customWidth="1"/>
    <col min="3587" max="3587" width="9.109375" style="620" bestFit="1" customWidth="1"/>
    <col min="3588" max="3593" width="9.88671875" style="620" customWidth="1"/>
    <col min="3594" max="3841" width="8" style="620"/>
    <col min="3842" max="3842" width="68.44140625" style="620" bestFit="1" customWidth="1"/>
    <col min="3843" max="3843" width="9.109375" style="620" bestFit="1" customWidth="1"/>
    <col min="3844" max="3849" width="9.88671875" style="620" customWidth="1"/>
    <col min="3850" max="4097" width="8" style="620"/>
    <col min="4098" max="4098" width="68.44140625" style="620" bestFit="1" customWidth="1"/>
    <col min="4099" max="4099" width="9.109375" style="620" bestFit="1" customWidth="1"/>
    <col min="4100" max="4105" width="9.88671875" style="620" customWidth="1"/>
    <col min="4106" max="4353" width="8" style="620"/>
    <col min="4354" max="4354" width="68.44140625" style="620" bestFit="1" customWidth="1"/>
    <col min="4355" max="4355" width="9.109375" style="620" bestFit="1" customWidth="1"/>
    <col min="4356" max="4361" width="9.88671875" style="620" customWidth="1"/>
    <col min="4362" max="4609" width="8" style="620"/>
    <col min="4610" max="4610" width="68.44140625" style="620" bestFit="1" customWidth="1"/>
    <col min="4611" max="4611" width="9.109375" style="620" bestFit="1" customWidth="1"/>
    <col min="4612" max="4617" width="9.88671875" style="620" customWidth="1"/>
    <col min="4618" max="4865" width="8" style="620"/>
    <col min="4866" max="4866" width="68.44140625" style="620" bestFit="1" customWidth="1"/>
    <col min="4867" max="4867" width="9.109375" style="620" bestFit="1" customWidth="1"/>
    <col min="4868" max="4873" width="9.88671875" style="620" customWidth="1"/>
    <col min="4874" max="5121" width="8" style="620"/>
    <col min="5122" max="5122" width="68.44140625" style="620" bestFit="1" customWidth="1"/>
    <col min="5123" max="5123" width="9.109375" style="620" bestFit="1" customWidth="1"/>
    <col min="5124" max="5129" width="9.88671875" style="620" customWidth="1"/>
    <col min="5130" max="5377" width="8" style="620"/>
    <col min="5378" max="5378" width="68.44140625" style="620" bestFit="1" customWidth="1"/>
    <col min="5379" max="5379" width="9.109375" style="620" bestFit="1" customWidth="1"/>
    <col min="5380" max="5385" width="9.88671875" style="620" customWidth="1"/>
    <col min="5386" max="5633" width="8" style="620"/>
    <col min="5634" max="5634" width="68.44140625" style="620" bestFit="1" customWidth="1"/>
    <col min="5635" max="5635" width="9.109375" style="620" bestFit="1" customWidth="1"/>
    <col min="5636" max="5641" width="9.88671875" style="620" customWidth="1"/>
    <col min="5642" max="5889" width="8" style="620"/>
    <col min="5890" max="5890" width="68.44140625" style="620" bestFit="1" customWidth="1"/>
    <col min="5891" max="5891" width="9.109375" style="620" bestFit="1" customWidth="1"/>
    <col min="5892" max="5897" width="9.88671875" style="620" customWidth="1"/>
    <col min="5898" max="6145" width="8" style="620"/>
    <col min="6146" max="6146" width="68.44140625" style="620" bestFit="1" customWidth="1"/>
    <col min="6147" max="6147" width="9.109375" style="620" bestFit="1" customWidth="1"/>
    <col min="6148" max="6153" width="9.88671875" style="620" customWidth="1"/>
    <col min="6154" max="6401" width="8" style="620"/>
    <col min="6402" max="6402" width="68.44140625" style="620" bestFit="1" customWidth="1"/>
    <col min="6403" max="6403" width="9.109375" style="620" bestFit="1" customWidth="1"/>
    <col min="6404" max="6409" width="9.88671875" style="620" customWidth="1"/>
    <col min="6410" max="6657" width="8" style="620"/>
    <col min="6658" max="6658" width="68.44140625" style="620" bestFit="1" customWidth="1"/>
    <col min="6659" max="6659" width="9.109375" style="620" bestFit="1" customWidth="1"/>
    <col min="6660" max="6665" width="9.88671875" style="620" customWidth="1"/>
    <col min="6666" max="6913" width="8" style="620"/>
    <col min="6914" max="6914" width="68.44140625" style="620" bestFit="1" customWidth="1"/>
    <col min="6915" max="6915" width="9.109375" style="620" bestFit="1" customWidth="1"/>
    <col min="6916" max="6921" width="9.88671875" style="620" customWidth="1"/>
    <col min="6922" max="7169" width="8" style="620"/>
    <col min="7170" max="7170" width="68.44140625" style="620" bestFit="1" customWidth="1"/>
    <col min="7171" max="7171" width="9.109375" style="620" bestFit="1" customWidth="1"/>
    <col min="7172" max="7177" width="9.88671875" style="620" customWidth="1"/>
    <col min="7178" max="7425" width="8" style="620"/>
    <col min="7426" max="7426" width="68.44140625" style="620" bestFit="1" customWidth="1"/>
    <col min="7427" max="7427" width="9.109375" style="620" bestFit="1" customWidth="1"/>
    <col min="7428" max="7433" width="9.88671875" style="620" customWidth="1"/>
    <col min="7434" max="7681" width="8" style="620"/>
    <col min="7682" max="7682" width="68.44140625" style="620" bestFit="1" customWidth="1"/>
    <col min="7683" max="7683" width="9.109375" style="620" bestFit="1" customWidth="1"/>
    <col min="7684" max="7689" width="9.88671875" style="620" customWidth="1"/>
    <col min="7690" max="7937" width="8" style="620"/>
    <col min="7938" max="7938" width="68.44140625" style="620" bestFit="1" customWidth="1"/>
    <col min="7939" max="7939" width="9.109375" style="620" bestFit="1" customWidth="1"/>
    <col min="7940" max="7945" width="9.88671875" style="620" customWidth="1"/>
    <col min="7946" max="8193" width="8" style="620"/>
    <col min="8194" max="8194" width="68.44140625" style="620" bestFit="1" customWidth="1"/>
    <col min="8195" max="8195" width="9.109375" style="620" bestFit="1" customWidth="1"/>
    <col min="8196" max="8201" width="9.88671875" style="620" customWidth="1"/>
    <col min="8202" max="8449" width="8" style="620"/>
    <col min="8450" max="8450" width="68.44140625" style="620" bestFit="1" customWidth="1"/>
    <col min="8451" max="8451" width="9.109375" style="620" bestFit="1" customWidth="1"/>
    <col min="8452" max="8457" width="9.88671875" style="620" customWidth="1"/>
    <col min="8458" max="8705" width="8" style="620"/>
    <col min="8706" max="8706" width="68.44140625" style="620" bestFit="1" customWidth="1"/>
    <col min="8707" max="8707" width="9.109375" style="620" bestFit="1" customWidth="1"/>
    <col min="8708" max="8713" width="9.88671875" style="620" customWidth="1"/>
    <col min="8714" max="8961" width="8" style="620"/>
    <col min="8962" max="8962" width="68.44140625" style="620" bestFit="1" customWidth="1"/>
    <col min="8963" max="8963" width="9.109375" style="620" bestFit="1" customWidth="1"/>
    <col min="8964" max="8969" width="9.88671875" style="620" customWidth="1"/>
    <col min="8970" max="9217" width="8" style="620"/>
    <col min="9218" max="9218" width="68.44140625" style="620" bestFit="1" customWidth="1"/>
    <col min="9219" max="9219" width="9.109375" style="620" bestFit="1" customWidth="1"/>
    <col min="9220" max="9225" width="9.88671875" style="620" customWidth="1"/>
    <col min="9226" max="9473" width="8" style="620"/>
    <col min="9474" max="9474" width="68.44140625" style="620" bestFit="1" customWidth="1"/>
    <col min="9475" max="9475" width="9.109375" style="620" bestFit="1" customWidth="1"/>
    <col min="9476" max="9481" width="9.88671875" style="620" customWidth="1"/>
    <col min="9482" max="9729" width="8" style="620"/>
    <col min="9730" max="9730" width="68.44140625" style="620" bestFit="1" customWidth="1"/>
    <col min="9731" max="9731" width="9.109375" style="620" bestFit="1" customWidth="1"/>
    <col min="9732" max="9737" width="9.88671875" style="620" customWidth="1"/>
    <col min="9738" max="9985" width="8" style="620"/>
    <col min="9986" max="9986" width="68.44140625" style="620" bestFit="1" customWidth="1"/>
    <col min="9987" max="9987" width="9.109375" style="620" bestFit="1" customWidth="1"/>
    <col min="9988" max="9993" width="9.88671875" style="620" customWidth="1"/>
    <col min="9994" max="10241" width="8" style="620"/>
    <col min="10242" max="10242" width="68.44140625" style="620" bestFit="1" customWidth="1"/>
    <col min="10243" max="10243" width="9.109375" style="620" bestFit="1" customWidth="1"/>
    <col min="10244" max="10249" width="9.88671875" style="620" customWidth="1"/>
    <col min="10250" max="10497" width="8" style="620"/>
    <col min="10498" max="10498" width="68.44140625" style="620" bestFit="1" customWidth="1"/>
    <col min="10499" max="10499" width="9.109375" style="620" bestFit="1" customWidth="1"/>
    <col min="10500" max="10505" width="9.88671875" style="620" customWidth="1"/>
    <col min="10506" max="10753" width="8" style="620"/>
    <col min="10754" max="10754" width="68.44140625" style="620" bestFit="1" customWidth="1"/>
    <col min="10755" max="10755" width="9.109375" style="620" bestFit="1" customWidth="1"/>
    <col min="10756" max="10761" width="9.88671875" style="620" customWidth="1"/>
    <col min="10762" max="11009" width="8" style="620"/>
    <col min="11010" max="11010" width="68.44140625" style="620" bestFit="1" customWidth="1"/>
    <col min="11011" max="11011" width="9.109375" style="620" bestFit="1" customWidth="1"/>
    <col min="11012" max="11017" width="9.88671875" style="620" customWidth="1"/>
    <col min="11018" max="11265" width="8" style="620"/>
    <col min="11266" max="11266" width="68.44140625" style="620" bestFit="1" customWidth="1"/>
    <col min="11267" max="11267" width="9.109375" style="620" bestFit="1" customWidth="1"/>
    <col min="11268" max="11273" width="9.88671875" style="620" customWidth="1"/>
    <col min="11274" max="11521" width="8" style="620"/>
    <col min="11522" max="11522" width="68.44140625" style="620" bestFit="1" customWidth="1"/>
    <col min="11523" max="11523" width="9.109375" style="620" bestFit="1" customWidth="1"/>
    <col min="11524" max="11529" width="9.88671875" style="620" customWidth="1"/>
    <col min="11530" max="11777" width="8" style="620"/>
    <col min="11778" max="11778" width="68.44140625" style="620" bestFit="1" customWidth="1"/>
    <col min="11779" max="11779" width="9.109375" style="620" bestFit="1" customWidth="1"/>
    <col min="11780" max="11785" width="9.88671875" style="620" customWidth="1"/>
    <col min="11786" max="12033" width="8" style="620"/>
    <col min="12034" max="12034" width="68.44140625" style="620" bestFit="1" customWidth="1"/>
    <col min="12035" max="12035" width="9.109375" style="620" bestFit="1" customWidth="1"/>
    <col min="12036" max="12041" width="9.88671875" style="620" customWidth="1"/>
    <col min="12042" max="12289" width="8" style="620"/>
    <col min="12290" max="12290" width="68.44140625" style="620" bestFit="1" customWidth="1"/>
    <col min="12291" max="12291" width="9.109375" style="620" bestFit="1" customWidth="1"/>
    <col min="12292" max="12297" width="9.88671875" style="620" customWidth="1"/>
    <col min="12298" max="12545" width="8" style="620"/>
    <col min="12546" max="12546" width="68.44140625" style="620" bestFit="1" customWidth="1"/>
    <col min="12547" max="12547" width="9.109375" style="620" bestFit="1" customWidth="1"/>
    <col min="12548" max="12553" width="9.88671875" style="620" customWidth="1"/>
    <col min="12554" max="12801" width="8" style="620"/>
    <col min="12802" max="12802" width="68.44140625" style="620" bestFit="1" customWidth="1"/>
    <col min="12803" max="12803" width="9.109375" style="620" bestFit="1" customWidth="1"/>
    <col min="12804" max="12809" width="9.88671875" style="620" customWidth="1"/>
    <col min="12810" max="13057" width="8" style="620"/>
    <col min="13058" max="13058" width="68.44140625" style="620" bestFit="1" customWidth="1"/>
    <col min="13059" max="13059" width="9.109375" style="620" bestFit="1" customWidth="1"/>
    <col min="13060" max="13065" width="9.88671875" style="620" customWidth="1"/>
    <col min="13066" max="13313" width="8" style="620"/>
    <col min="13314" max="13314" width="68.44140625" style="620" bestFit="1" customWidth="1"/>
    <col min="13315" max="13315" width="9.109375" style="620" bestFit="1" customWidth="1"/>
    <col min="13316" max="13321" width="9.88671875" style="620" customWidth="1"/>
    <col min="13322" max="13569" width="8" style="620"/>
    <col min="13570" max="13570" width="68.44140625" style="620" bestFit="1" customWidth="1"/>
    <col min="13571" max="13571" width="9.109375" style="620" bestFit="1" customWidth="1"/>
    <col min="13572" max="13577" width="9.88671875" style="620" customWidth="1"/>
    <col min="13578" max="13825" width="8" style="620"/>
    <col min="13826" max="13826" width="68.44140625" style="620" bestFit="1" customWidth="1"/>
    <col min="13827" max="13827" width="9.109375" style="620" bestFit="1" customWidth="1"/>
    <col min="13828" max="13833" width="9.88671875" style="620" customWidth="1"/>
    <col min="13834" max="14081" width="8" style="620"/>
    <col min="14082" max="14082" width="68.44140625" style="620" bestFit="1" customWidth="1"/>
    <col min="14083" max="14083" width="9.109375" style="620" bestFit="1" customWidth="1"/>
    <col min="14084" max="14089" width="9.88671875" style="620" customWidth="1"/>
    <col min="14090" max="14337" width="8" style="620"/>
    <col min="14338" max="14338" width="68.44140625" style="620" bestFit="1" customWidth="1"/>
    <col min="14339" max="14339" width="9.109375" style="620" bestFit="1" customWidth="1"/>
    <col min="14340" max="14345" width="9.88671875" style="620" customWidth="1"/>
    <col min="14346" max="14593" width="8" style="620"/>
    <col min="14594" max="14594" width="68.44140625" style="620" bestFit="1" customWidth="1"/>
    <col min="14595" max="14595" width="9.109375" style="620" bestFit="1" customWidth="1"/>
    <col min="14596" max="14601" width="9.88671875" style="620" customWidth="1"/>
    <col min="14602" max="14849" width="8" style="620"/>
    <col min="14850" max="14850" width="68.44140625" style="620" bestFit="1" customWidth="1"/>
    <col min="14851" max="14851" width="9.109375" style="620" bestFit="1" customWidth="1"/>
    <col min="14852" max="14857" width="9.88671875" style="620" customWidth="1"/>
    <col min="14858" max="15105" width="8" style="620"/>
    <col min="15106" max="15106" width="68.44140625" style="620" bestFit="1" customWidth="1"/>
    <col min="15107" max="15107" width="9.109375" style="620" bestFit="1" customWidth="1"/>
    <col min="15108" max="15113" width="9.88671875" style="620" customWidth="1"/>
    <col min="15114" max="15361" width="8" style="620"/>
    <col min="15362" max="15362" width="68.44140625" style="620" bestFit="1" customWidth="1"/>
    <col min="15363" max="15363" width="9.109375" style="620" bestFit="1" customWidth="1"/>
    <col min="15364" max="15369" width="9.88671875" style="620" customWidth="1"/>
    <col min="15370" max="15617" width="8" style="620"/>
    <col min="15618" max="15618" width="68.44140625" style="620" bestFit="1" customWidth="1"/>
    <col min="15619" max="15619" width="9.109375" style="620" bestFit="1" customWidth="1"/>
    <col min="15620" max="15625" width="9.88671875" style="620" customWidth="1"/>
    <col min="15626" max="15873" width="8" style="620"/>
    <col min="15874" max="15874" width="68.44140625" style="620" bestFit="1" customWidth="1"/>
    <col min="15875" max="15875" width="9.109375" style="620" bestFit="1" customWidth="1"/>
    <col min="15876" max="15881" width="9.88671875" style="620" customWidth="1"/>
    <col min="15882" max="16129" width="8" style="620"/>
    <col min="16130" max="16130" width="68.44140625" style="620" bestFit="1" customWidth="1"/>
    <col min="16131" max="16131" width="9.109375" style="620" bestFit="1" customWidth="1"/>
    <col min="16132" max="16137" width="9.88671875" style="620" customWidth="1"/>
    <col min="16138" max="16384" width="8" style="620"/>
  </cols>
  <sheetData>
    <row r="2" spans="2:21">
      <c r="G2" s="621"/>
      <c r="I2" s="622" t="s">
        <v>1093</v>
      </c>
      <c r="N2" s="772"/>
      <c r="O2" s="772"/>
      <c r="P2" s="772"/>
      <c r="Q2" s="772"/>
      <c r="R2" s="772"/>
      <c r="S2" s="772"/>
      <c r="T2" s="773" t="s">
        <v>1093</v>
      </c>
    </row>
    <row r="3" spans="2:21">
      <c r="B3" s="623"/>
      <c r="C3" s="624" t="s">
        <v>1094</v>
      </c>
      <c r="D3" s="624" t="s">
        <v>1095</v>
      </c>
      <c r="E3" s="624" t="s">
        <v>1096</v>
      </c>
      <c r="F3" s="624" t="s">
        <v>1097</v>
      </c>
      <c r="G3" s="624" t="s">
        <v>1098</v>
      </c>
      <c r="H3" s="624" t="s">
        <v>1099</v>
      </c>
      <c r="I3" s="625" t="s">
        <v>1100</v>
      </c>
      <c r="N3" s="774" t="s">
        <v>167</v>
      </c>
      <c r="O3" s="775">
        <v>45747</v>
      </c>
      <c r="P3" s="775">
        <f>EDATE(O3,12)</f>
        <v>46112</v>
      </c>
      <c r="Q3" s="775">
        <f>EDATE(P3,12)</f>
        <v>46477</v>
      </c>
      <c r="R3" s="775">
        <f>EDATE(Q3,12)</f>
        <v>46843</v>
      </c>
      <c r="S3" s="775">
        <f>EDATE(R3,12)</f>
        <v>47208</v>
      </c>
      <c r="T3" s="775">
        <f>EDATE(S3,12)</f>
        <v>47573</v>
      </c>
    </row>
    <row r="4" spans="2:21">
      <c r="B4" s="626" t="s">
        <v>1101</v>
      </c>
      <c r="C4" s="627">
        <f>'Projection RK P&amp;L'!L12</f>
        <v>1101.8599999999999</v>
      </c>
      <c r="D4" s="627">
        <f>'Projection RK P&amp;L'!M12</f>
        <v>1157.9446739999998</v>
      </c>
      <c r="E4" s="627">
        <f>'Projection RK P&amp;L'!N12</f>
        <v>1216.8840579066</v>
      </c>
      <c r="F4" s="627">
        <f>'Projection RK P&amp;L'!O12</f>
        <v>1278.8234564540458</v>
      </c>
      <c r="G4" s="627">
        <f>'Projection RK P&amp;L'!P12</f>
        <v>1343.9155703875567</v>
      </c>
      <c r="H4" s="627">
        <f>'Projection RK P&amp;L'!Q12</f>
        <v>1412.3208729202831</v>
      </c>
      <c r="I4" s="627">
        <f>'Projection RK P&amp;L'!R12</f>
        <v>1484.2080053519255</v>
      </c>
      <c r="N4" s="776" t="s">
        <v>1026</v>
      </c>
      <c r="O4" s="777">
        <f>'Projection RK P&amp;L'!M12</f>
        <v>1157.9446739999998</v>
      </c>
      <c r="P4" s="777">
        <f>'Projection RK P&amp;L'!N12</f>
        <v>1216.8840579066</v>
      </c>
      <c r="Q4" s="777">
        <f>'Projection RK P&amp;L'!O12</f>
        <v>1278.8234564540458</v>
      </c>
      <c r="R4" s="777">
        <f>'Projection RK P&amp;L'!P12</f>
        <v>1343.9155703875567</v>
      </c>
      <c r="S4" s="777">
        <f>'Projection RK P&amp;L'!Q12</f>
        <v>1412.3208729202831</v>
      </c>
      <c r="T4" s="777">
        <f>'Projection RK P&amp;L'!R12</f>
        <v>1484.2080053519255</v>
      </c>
      <c r="U4" s="768"/>
    </row>
    <row r="5" spans="2:21">
      <c r="B5" s="628" t="s">
        <v>1102</v>
      </c>
      <c r="C5" s="629"/>
      <c r="D5" s="630">
        <f t="shared" ref="D5:I5" si="0">D4/C4-1</f>
        <v>5.0899999999999945E-2</v>
      </c>
      <c r="E5" s="630">
        <f t="shared" si="0"/>
        <v>5.0900000000000167E-2</v>
      </c>
      <c r="F5" s="630">
        <f t="shared" si="0"/>
        <v>5.0899999999999945E-2</v>
      </c>
      <c r="G5" s="630">
        <f t="shared" si="0"/>
        <v>5.0899999999999945E-2</v>
      </c>
      <c r="H5" s="630">
        <f t="shared" si="0"/>
        <v>5.0899999999999723E-2</v>
      </c>
      <c r="I5" s="631">
        <f t="shared" si="0"/>
        <v>5.0899999999999945E-2</v>
      </c>
      <c r="N5" s="776" t="s">
        <v>1191</v>
      </c>
      <c r="O5" s="777">
        <f>'Projection RK P&amp;L'!M19</f>
        <v>1031.5825345897952</v>
      </c>
      <c r="P5" s="777">
        <f>'Projection RK P&amp;L'!N19</f>
        <v>1089.6792796583225</v>
      </c>
      <c r="Q5" s="777">
        <f>'Projection RK P&amp;L'!O19</f>
        <v>1150.795088449385</v>
      </c>
      <c r="R5" s="777">
        <f>'Projection RK P&amp;L'!P19</f>
        <v>1215.0867840218461</v>
      </c>
      <c r="S5" s="777">
        <f>'Projection RK P&amp;L'!Q19</f>
        <v>1282.7193322014782</v>
      </c>
      <c r="T5" s="777">
        <f>'Projection RK P&amp;L'!R19</f>
        <v>1353.8662642158854</v>
      </c>
    </row>
    <row r="6" spans="2:21">
      <c r="B6" s="632"/>
      <c r="C6" s="633"/>
      <c r="D6" s="633"/>
      <c r="E6" s="633"/>
      <c r="F6" s="633"/>
      <c r="G6" s="633"/>
      <c r="H6" s="634"/>
      <c r="I6" s="635"/>
      <c r="N6" s="778" t="s">
        <v>675</v>
      </c>
      <c r="O6" s="777">
        <f>O4-O5</f>
        <v>126.36213941020469</v>
      </c>
      <c r="P6" s="777">
        <f t="shared" ref="P6:T6" si="1">P4-P5</f>
        <v>127.20477824827753</v>
      </c>
      <c r="Q6" s="777">
        <f t="shared" si="1"/>
        <v>128.02836800466071</v>
      </c>
      <c r="R6" s="777">
        <f t="shared" si="1"/>
        <v>128.82878636571058</v>
      </c>
      <c r="S6" s="777">
        <f t="shared" si="1"/>
        <v>129.60154071880493</v>
      </c>
      <c r="T6" s="777">
        <f t="shared" si="1"/>
        <v>130.34174113604013</v>
      </c>
    </row>
    <row r="7" spans="2:21">
      <c r="B7" s="626" t="s">
        <v>1103</v>
      </c>
      <c r="C7" s="636">
        <f>'Projection RK P&amp;L'!L19</f>
        <v>1101.8399999999999</v>
      </c>
      <c r="D7" s="636">
        <f>'Projection RK P&amp;L'!M19</f>
        <v>1031.5825345897952</v>
      </c>
      <c r="E7" s="636">
        <f>'Projection RK P&amp;L'!N19</f>
        <v>1089.6792796583225</v>
      </c>
      <c r="F7" s="636">
        <f>'Projection RK P&amp;L'!O19</f>
        <v>1150.795088449385</v>
      </c>
      <c r="G7" s="636">
        <f>'Projection RK P&amp;L'!P19</f>
        <v>1215.0867840218461</v>
      </c>
      <c r="H7" s="636">
        <f>'Projection RK P&amp;L'!Q19</f>
        <v>1282.7193322014782</v>
      </c>
      <c r="I7" s="636">
        <f>'Projection RK P&amp;L'!R19</f>
        <v>1353.8662642158854</v>
      </c>
      <c r="N7" s="779" t="s">
        <v>1194</v>
      </c>
      <c r="O7" s="777">
        <f>'Projection RK P&amp;L'!M23</f>
        <v>17.408219630000001</v>
      </c>
      <c r="P7" s="777">
        <f>'Projection RK P&amp;L'!N23</f>
        <v>14.272064682857144</v>
      </c>
      <c r="Q7" s="777">
        <f>'Projection RK P&amp;L'!O23</f>
        <v>14.266316735714286</v>
      </c>
      <c r="R7" s="777">
        <f>'Projection RK P&amp;L'!P23</f>
        <v>14.260568788571428</v>
      </c>
      <c r="S7" s="777">
        <f>'Projection RK P&amp;L'!Q23</f>
        <v>14.254820841428572</v>
      </c>
      <c r="T7" s="777">
        <f>'Projection RK P&amp;L'!R23</f>
        <v>14.249072894285714</v>
      </c>
    </row>
    <row r="8" spans="2:21" ht="30">
      <c r="B8" s="628"/>
      <c r="C8" s="637"/>
      <c r="D8" s="637"/>
      <c r="E8" s="637"/>
      <c r="F8" s="637"/>
      <c r="G8" s="637"/>
      <c r="H8" s="634"/>
      <c r="I8" s="635"/>
      <c r="N8" s="780" t="s">
        <v>1107</v>
      </c>
      <c r="O8" s="781">
        <f>'Working Capital Schedule'!F66</f>
        <v>8.8195965350541314</v>
      </c>
      <c r="P8" s="781">
        <f>'Working Capital Schedule'!G66</f>
        <v>4.3767170898500751</v>
      </c>
      <c r="Q8" s="781">
        <f>'Working Capital Schedule'!H66</f>
        <v>4.5994919897234467</v>
      </c>
      <c r="R8" s="781">
        <f>'Working Capital Schedule'!I66</f>
        <v>4.560938376510677</v>
      </c>
      <c r="S8" s="781">
        <f>'Working Capital Schedule'!J66</f>
        <v>5.3523044396089006</v>
      </c>
      <c r="T8" s="781">
        <f>'Working Capital Schedule'!K66</f>
        <v>5.3381901913408001</v>
      </c>
    </row>
    <row r="9" spans="2:21">
      <c r="B9" s="638" t="s">
        <v>1104</v>
      </c>
      <c r="C9" s="639">
        <f t="shared" ref="C9:I9" si="2">C4-C7</f>
        <v>1.999999999998181E-2</v>
      </c>
      <c r="D9" s="639">
        <f t="shared" si="2"/>
        <v>126.36213941020469</v>
      </c>
      <c r="E9" s="639">
        <f t="shared" si="2"/>
        <v>127.20477824827753</v>
      </c>
      <c r="F9" s="639">
        <f t="shared" si="2"/>
        <v>128.02836800466071</v>
      </c>
      <c r="G9" s="639">
        <f t="shared" si="2"/>
        <v>128.82878636571058</v>
      </c>
      <c r="H9" s="639">
        <f t="shared" si="2"/>
        <v>129.60154071880493</v>
      </c>
      <c r="I9" s="640">
        <f t="shared" si="2"/>
        <v>130.34174113604013</v>
      </c>
      <c r="N9" s="779" t="s">
        <v>1132</v>
      </c>
      <c r="O9" s="782">
        <f>'Projection RK P&amp;L'!M26</f>
        <v>10.289335888557584</v>
      </c>
      <c r="P9" s="782">
        <f>'Projection RK P&amp;L'!N26</f>
        <v>10.55251951381692</v>
      </c>
      <c r="Q9" s="782">
        <f>'Projection RK P&amp;L'!O26</f>
        <v>10.800287690134679</v>
      </c>
      <c r="R9" s="782">
        <f>'Projection RK P&amp;L'!P26</f>
        <v>11.069386003809415</v>
      </c>
      <c r="S9" s="782">
        <f>'Projection RK P&amp;L'!Q26</f>
        <v>11.329250071628591</v>
      </c>
      <c r="T9" s="782">
        <f>'Projection RK P&amp;L'!R26</f>
        <v>11.578247635657986</v>
      </c>
    </row>
    <row r="10" spans="2:21">
      <c r="B10" s="641" t="s">
        <v>1105</v>
      </c>
      <c r="C10" s="642">
        <f t="shared" ref="C10:I10" si="3">C9/C4</f>
        <v>1.8151126277369007E-5</v>
      </c>
      <c r="D10" s="642">
        <f t="shared" si="3"/>
        <v>0.10912623223499943</v>
      </c>
      <c r="E10" s="642">
        <f t="shared" si="3"/>
        <v>0.10453319477872636</v>
      </c>
      <c r="F10" s="642">
        <f t="shared" si="3"/>
        <v>0.10011418492405592</v>
      </c>
      <c r="G10" s="642">
        <f t="shared" si="3"/>
        <v>9.5860773700656723E-2</v>
      </c>
      <c r="H10" s="642">
        <f t="shared" si="3"/>
        <v>9.1764940392635649E-2</v>
      </c>
      <c r="I10" s="643">
        <f t="shared" si="3"/>
        <v>8.7819052764867928E-2</v>
      </c>
      <c r="N10" s="779" t="s">
        <v>1108</v>
      </c>
      <c r="O10" s="782">
        <f>'Debt Schedule'!R53</f>
        <v>30</v>
      </c>
      <c r="P10" s="782">
        <f>'Debt Schedule'!S53</f>
        <v>30</v>
      </c>
      <c r="Q10" s="782">
        <f>'Debt Schedule'!T53</f>
        <v>30</v>
      </c>
      <c r="R10" s="782">
        <f>'Debt Schedule'!U53</f>
        <v>30</v>
      </c>
      <c r="S10" s="782">
        <f>'Debt Schedule'!V53</f>
        <v>20</v>
      </c>
      <c r="T10" s="782">
        <f>'Debt Schedule'!W53</f>
        <v>20</v>
      </c>
    </row>
    <row r="11" spans="2:21">
      <c r="B11" s="641"/>
      <c r="C11" s="642"/>
      <c r="D11" s="642"/>
      <c r="E11" s="642"/>
      <c r="F11" s="642"/>
      <c r="G11" s="642"/>
      <c r="H11" s="634"/>
      <c r="I11" s="635"/>
      <c r="N11" s="779" t="s">
        <v>1109</v>
      </c>
      <c r="O11" s="782">
        <f>-'Debt Schedule'!E37</f>
        <v>57.479471428571458</v>
      </c>
      <c r="P11" s="782">
        <f>-'Debt Schedule'!F37</f>
        <v>57.479471428571401</v>
      </c>
      <c r="Q11" s="782">
        <f>-'Debt Schedule'!G37</f>
        <v>57.479471428571458</v>
      </c>
      <c r="R11" s="782">
        <f>-'Debt Schedule'!H37</f>
        <v>57.479471428571401</v>
      </c>
      <c r="S11" s="782">
        <f>-'Debt Schedule'!I37</f>
        <v>57.479471428571429</v>
      </c>
      <c r="T11" s="782">
        <f>-'Debt Schedule'!J37</f>
        <v>57.479471428571458</v>
      </c>
    </row>
    <row r="12" spans="2:21">
      <c r="B12" s="644" t="s">
        <v>1106</v>
      </c>
      <c r="C12" s="645">
        <f>'Projection RK P&amp;L'!L23</f>
        <v>23.58</v>
      </c>
      <c r="D12" s="645">
        <f>'Projection RK P&amp;L'!M23</f>
        <v>17.408219630000001</v>
      </c>
      <c r="E12" s="645">
        <f>'Projection RK P&amp;L'!N23</f>
        <v>14.272064682857144</v>
      </c>
      <c r="F12" s="645">
        <f>'Projection RK P&amp;L'!O23</f>
        <v>14.266316735714286</v>
      </c>
      <c r="G12" s="645">
        <f>'Projection RK P&amp;L'!P23</f>
        <v>14.260568788571428</v>
      </c>
      <c r="H12" s="645">
        <f>'Projection RK P&amp;L'!Q23</f>
        <v>14.254820841428572</v>
      </c>
      <c r="I12" s="645">
        <f>'Projection RK P&amp;L'!R23</f>
        <v>14.249072894285714</v>
      </c>
      <c r="N12" s="783" t="s">
        <v>1110</v>
      </c>
      <c r="O12" s="784">
        <f>O6-O7-O8-O9-O10-O11</f>
        <v>2.3655159280215088</v>
      </c>
      <c r="P12" s="784">
        <f t="shared" ref="P12:T12" si="4">P6-P7-P8-P9-P10-P11</f>
        <v>10.524005533181992</v>
      </c>
      <c r="Q12" s="784">
        <f t="shared" si="4"/>
        <v>10.882800160516837</v>
      </c>
      <c r="R12" s="784">
        <f t="shared" si="4"/>
        <v>11.458421768247661</v>
      </c>
      <c r="S12" s="784">
        <f t="shared" si="4"/>
        <v>21.185693937567436</v>
      </c>
      <c r="T12" s="784">
        <f t="shared" si="4"/>
        <v>21.696758986184165</v>
      </c>
    </row>
    <row r="13" spans="2:21">
      <c r="B13" s="646" t="s">
        <v>1107</v>
      </c>
      <c r="C13" s="647">
        <f>'Working Capital Schedule'!E66</f>
        <v>10.136342712305719</v>
      </c>
      <c r="D13" s="647">
        <f>'Working Capital Schedule'!F66</f>
        <v>8.8195965350541314</v>
      </c>
      <c r="E13" s="647">
        <f>'Working Capital Schedule'!G66</f>
        <v>4.3767170898500751</v>
      </c>
      <c r="F13" s="647">
        <f>'Working Capital Schedule'!H66</f>
        <v>4.5994919897234467</v>
      </c>
      <c r="G13" s="647">
        <f>'Working Capital Schedule'!I66</f>
        <v>4.560938376510677</v>
      </c>
      <c r="H13" s="647">
        <f>'Working Capital Schedule'!J66</f>
        <v>5.3523044396089006</v>
      </c>
      <c r="I13" s="647">
        <f>'Working Capital Schedule'!K66</f>
        <v>5.3381901913408001</v>
      </c>
      <c r="N13" s="779" t="s">
        <v>1113</v>
      </c>
      <c r="O13" s="785"/>
      <c r="P13" s="785"/>
      <c r="Q13" s="785"/>
      <c r="R13" s="785"/>
      <c r="S13" s="785"/>
      <c r="T13" s="785"/>
    </row>
    <row r="14" spans="2:21">
      <c r="B14" s="644" t="s">
        <v>1132</v>
      </c>
      <c r="C14" s="647">
        <f>'Projection RK P&amp;L'!L26</f>
        <v>0</v>
      </c>
      <c r="D14" s="647">
        <f>'Projection RK P&amp;L'!M26</f>
        <v>10.289335888557584</v>
      </c>
      <c r="E14" s="647">
        <f>'Projection RK P&amp;L'!N26</f>
        <v>10.55251951381692</v>
      </c>
      <c r="F14" s="647">
        <f>'Projection RK P&amp;L'!O26</f>
        <v>10.800287690134679</v>
      </c>
      <c r="G14" s="647">
        <f>'Projection RK P&amp;L'!P26</f>
        <v>11.069386003809415</v>
      </c>
      <c r="H14" s="647">
        <f>'Projection RK P&amp;L'!Q26</f>
        <v>11.329250071628591</v>
      </c>
      <c r="I14" s="647">
        <f>'Projection RK P&amp;L'!R26</f>
        <v>11.578247635657986</v>
      </c>
      <c r="N14" s="779" t="s">
        <v>817</v>
      </c>
      <c r="O14" s="786">
        <v>1</v>
      </c>
      <c r="P14" s="786">
        <f>O14+1</f>
        <v>2</v>
      </c>
      <c r="Q14" s="786">
        <f t="shared" ref="Q14:T14" si="5">P14+1</f>
        <v>3</v>
      </c>
      <c r="R14" s="786">
        <f t="shared" si="5"/>
        <v>4</v>
      </c>
      <c r="S14" s="786">
        <f t="shared" si="5"/>
        <v>5</v>
      </c>
      <c r="T14" s="786">
        <f t="shared" si="5"/>
        <v>6</v>
      </c>
    </row>
    <row r="15" spans="2:21">
      <c r="B15" s="644" t="s">
        <v>1108</v>
      </c>
      <c r="C15" s="648">
        <f>'[351]Ast-Smt'!T52-'[351]Ast-Smt'!S52</f>
        <v>10</v>
      </c>
      <c r="D15" s="648">
        <f>'[351]Ast-Smt'!U52-'[351]Ast-Smt'!T52</f>
        <v>30</v>
      </c>
      <c r="E15" s="648">
        <f>'[351]Ast-Smt'!V52-'[351]Ast-Smt'!U52</f>
        <v>30</v>
      </c>
      <c r="F15" s="648">
        <f>'[351]Ast-Smt'!W52-'[351]Ast-Smt'!V52</f>
        <v>30</v>
      </c>
      <c r="G15" s="648">
        <f>'[351]Ast-Smt'!X52-'[351]Ast-Smt'!W52</f>
        <v>30</v>
      </c>
      <c r="H15" s="648">
        <f>'[351]Ast-Smt'!Y52-'[351]Ast-Smt'!X52</f>
        <v>20</v>
      </c>
      <c r="I15" s="673">
        <f>'[351]Ast-Smt'!Z52-'[351]Ast-Smt'!Y52</f>
        <v>20</v>
      </c>
      <c r="N15" s="779" t="s">
        <v>1115</v>
      </c>
      <c r="O15" s="787">
        <f>1/(1+$O$17)^O14</f>
        <v>0.85353362922499143</v>
      </c>
      <c r="P15" s="787">
        <f t="shared" ref="P15:T15" si="6">1/(1+$O$17)^P14</f>
        <v>0.7285196562179852</v>
      </c>
      <c r="Q15" s="787">
        <f t="shared" si="6"/>
        <v>0.62181602613348008</v>
      </c>
      <c r="R15" s="787">
        <f t="shared" si="6"/>
        <v>0.53074088949597142</v>
      </c>
      <c r="S15" s="787">
        <f t="shared" si="6"/>
        <v>0.45300519758959662</v>
      </c>
      <c r="T15" s="787">
        <f t="shared" si="6"/>
        <v>0.38665517035643282</v>
      </c>
    </row>
    <row r="16" spans="2:21">
      <c r="B16" s="644" t="s">
        <v>1109</v>
      </c>
      <c r="C16" s="648">
        <f>-'Debt Schedule'!D37</f>
        <v>92.261771428571365</v>
      </c>
      <c r="D16" s="648">
        <f>-'Debt Schedule'!E37</f>
        <v>57.479471428571458</v>
      </c>
      <c r="E16" s="648">
        <f>-'Debt Schedule'!F37</f>
        <v>57.479471428571401</v>
      </c>
      <c r="F16" s="648">
        <f>-'Debt Schedule'!G37</f>
        <v>57.479471428571458</v>
      </c>
      <c r="G16" s="648">
        <f>-'Debt Schedule'!H37</f>
        <v>57.479471428571401</v>
      </c>
      <c r="H16" s="648">
        <f>-'Debt Schedule'!I37</f>
        <v>57.479471428571429</v>
      </c>
      <c r="I16" s="648">
        <f>-'Debt Schedule'!J37</f>
        <v>57.479471428571458</v>
      </c>
      <c r="N16" s="783" t="s">
        <v>1116</v>
      </c>
      <c r="O16" s="788">
        <f>O12*O15</f>
        <v>2.0190473950337222</v>
      </c>
      <c r="P16" s="788">
        <f t="shared" ref="P16:T16" si="7">P12*P15</f>
        <v>7.6669448930699184</v>
      </c>
      <c r="Q16" s="788">
        <f t="shared" si="7"/>
        <v>6.7670995490173782</v>
      </c>
      <c r="R16" s="788">
        <f t="shared" si="7"/>
        <v>6.0814529614997648</v>
      </c>
      <c r="S16" s="788">
        <f t="shared" si="7"/>
        <v>9.5972294682604549</v>
      </c>
      <c r="T16" s="788">
        <f t="shared" si="7"/>
        <v>8.3891640419855023</v>
      </c>
    </row>
    <row r="17" spans="2:20">
      <c r="B17" s="644"/>
      <c r="C17" s="648"/>
      <c r="D17" s="648"/>
      <c r="E17" s="648"/>
      <c r="F17" s="648"/>
      <c r="G17" s="648"/>
      <c r="H17" s="648"/>
      <c r="I17" s="796"/>
      <c r="N17" s="798" t="s">
        <v>1202</v>
      </c>
      <c r="O17" s="799">
        <f>T37</f>
        <v>0.1716</v>
      </c>
      <c r="P17" s="797"/>
      <c r="Q17" s="797"/>
      <c r="R17" s="797"/>
      <c r="S17" s="797"/>
      <c r="T17" s="797"/>
    </row>
    <row r="18" spans="2:20">
      <c r="B18" s="644"/>
      <c r="C18" s="648"/>
      <c r="D18" s="648"/>
      <c r="E18" s="648"/>
      <c r="F18" s="648"/>
      <c r="G18" s="648"/>
      <c r="H18" s="648"/>
      <c r="I18" s="796"/>
      <c r="N18" s="798" t="s">
        <v>834</v>
      </c>
      <c r="O18" s="800">
        <v>45337</v>
      </c>
      <c r="P18" s="797"/>
      <c r="Q18" s="797"/>
      <c r="R18" s="797"/>
      <c r="S18" s="797"/>
      <c r="T18" s="797"/>
    </row>
    <row r="19" spans="2:20">
      <c r="B19" s="644"/>
      <c r="C19" s="648"/>
      <c r="D19" s="649"/>
      <c r="E19" s="650"/>
      <c r="F19" s="650"/>
      <c r="G19" s="650"/>
      <c r="H19" s="634"/>
      <c r="I19" s="635"/>
      <c r="N19" s="779" t="s">
        <v>1118</v>
      </c>
      <c r="O19" s="789">
        <v>5.0000000000000001E-3</v>
      </c>
      <c r="P19" s="790"/>
      <c r="Q19" s="790"/>
      <c r="R19" s="790"/>
      <c r="S19" s="790"/>
      <c r="T19" s="790"/>
    </row>
    <row r="20" spans="2:20">
      <c r="B20" s="638" t="s">
        <v>1110</v>
      </c>
      <c r="C20" s="651">
        <f>C9-C12-C13-C14-C15-C16</f>
        <v>-135.95811414087711</v>
      </c>
      <c r="D20" s="762">
        <f t="shared" ref="D20:I20" si="8">D9-D12-D13-D14-D15-D16</f>
        <v>2.3655159280215088</v>
      </c>
      <c r="E20" s="762">
        <f t="shared" si="8"/>
        <v>10.524005533181992</v>
      </c>
      <c r="F20" s="762">
        <f t="shared" si="8"/>
        <v>10.882800160516837</v>
      </c>
      <c r="G20" s="762">
        <f t="shared" si="8"/>
        <v>11.458421768247661</v>
      </c>
      <c r="H20" s="762">
        <f t="shared" si="8"/>
        <v>21.185693937567436</v>
      </c>
      <c r="I20" s="763">
        <f t="shared" si="8"/>
        <v>21.696758986184165</v>
      </c>
      <c r="N20" s="779" t="s">
        <v>827</v>
      </c>
      <c r="O20" s="790"/>
      <c r="P20" s="790"/>
      <c r="Q20" s="790"/>
      <c r="R20" s="790"/>
      <c r="S20" s="790"/>
      <c r="T20" s="787">
        <f>T12*(1+O19)/(O17-O19)</f>
        <v>130.88381021077481</v>
      </c>
    </row>
    <row r="21" spans="2:20">
      <c r="B21" s="644" t="s">
        <v>1111</v>
      </c>
      <c r="C21" s="674">
        <v>0.5</v>
      </c>
      <c r="D21" s="652">
        <f>1</f>
        <v>1</v>
      </c>
      <c r="E21" s="652">
        <v>1</v>
      </c>
      <c r="F21" s="652">
        <v>1</v>
      </c>
      <c r="G21" s="652">
        <v>1</v>
      </c>
      <c r="H21" s="652">
        <v>1</v>
      </c>
      <c r="I21" s="653">
        <v>1</v>
      </c>
      <c r="N21" s="790" t="s">
        <v>1195</v>
      </c>
      <c r="O21" s="790"/>
      <c r="P21" s="790"/>
      <c r="Q21" s="790"/>
      <c r="R21" s="790"/>
      <c r="S21" s="790"/>
      <c r="T21" s="782">
        <f>T20*T15</f>
        <v>50.606901933946155</v>
      </c>
    </row>
    <row r="22" spans="2:20">
      <c r="B22" s="644"/>
      <c r="C22" s="674"/>
      <c r="D22" s="652"/>
      <c r="E22" s="652"/>
      <c r="F22" s="652"/>
      <c r="G22" s="652"/>
      <c r="H22" s="652"/>
      <c r="I22" s="653"/>
      <c r="N22" s="791" t="s">
        <v>1199</v>
      </c>
      <c r="O22" s="782">
        <f>O16</f>
        <v>2.0190473950337222</v>
      </c>
      <c r="P22" s="782">
        <f t="shared" ref="P22:S22" si="9">P16</f>
        <v>7.6669448930699184</v>
      </c>
      <c r="Q22" s="782">
        <f t="shared" si="9"/>
        <v>6.7670995490173782</v>
      </c>
      <c r="R22" s="782">
        <f t="shared" si="9"/>
        <v>6.0814529614997648</v>
      </c>
      <c r="S22" s="782">
        <f t="shared" si="9"/>
        <v>9.5972294682604549</v>
      </c>
      <c r="T22" s="782">
        <f>T16+T21</f>
        <v>58.996065975931657</v>
      </c>
    </row>
    <row r="23" spans="2:20">
      <c r="B23" s="644"/>
      <c r="C23" s="674"/>
      <c r="D23" s="652"/>
      <c r="E23" s="652"/>
      <c r="F23" s="652"/>
      <c r="G23" s="652"/>
      <c r="H23" s="652"/>
      <c r="I23" s="653"/>
      <c r="N23" s="791" t="s">
        <v>1200</v>
      </c>
      <c r="O23" s="782">
        <f>SUM(O22:T22)</f>
        <v>91.127840242812894</v>
      </c>
      <c r="P23" s="792"/>
      <c r="Q23" s="792"/>
      <c r="R23" s="792"/>
      <c r="S23" s="792"/>
      <c r="T23" s="792"/>
    </row>
    <row r="24" spans="2:20">
      <c r="B24" s="638" t="s">
        <v>1112</v>
      </c>
      <c r="C24" s="675">
        <f t="shared" ref="C24:I24" si="10">C21*C20</f>
        <v>-67.979057070438557</v>
      </c>
      <c r="D24" s="675">
        <f t="shared" si="10"/>
        <v>2.3655159280215088</v>
      </c>
      <c r="E24" s="675">
        <f t="shared" si="10"/>
        <v>10.524005533181992</v>
      </c>
      <c r="F24" s="675">
        <f t="shared" si="10"/>
        <v>10.882800160516837</v>
      </c>
      <c r="G24" s="675">
        <f t="shared" si="10"/>
        <v>11.458421768247661</v>
      </c>
      <c r="H24" s="675">
        <f t="shared" si="10"/>
        <v>21.185693937567436</v>
      </c>
      <c r="I24" s="764">
        <f t="shared" si="10"/>
        <v>21.696758986184165</v>
      </c>
      <c r="N24" s="779" t="s">
        <v>1087</v>
      </c>
      <c r="O24" s="787">
        <f>('Debt Schedule'!J13+'Debt Schedule'!J25)*'DCF Valuation'!T15</f>
        <v>22.224734817211999</v>
      </c>
      <c r="P24" s="772"/>
      <c r="Q24" s="772"/>
      <c r="R24" s="772"/>
      <c r="S24" s="772"/>
      <c r="T24" s="772"/>
    </row>
    <row r="25" spans="2:20">
      <c r="B25" s="644"/>
      <c r="C25" s="652"/>
      <c r="D25" s="652"/>
      <c r="E25" s="652"/>
      <c r="F25" s="652"/>
      <c r="G25" s="652"/>
      <c r="H25" s="652"/>
      <c r="I25" s="653"/>
      <c r="N25" s="793" t="s">
        <v>1193</v>
      </c>
      <c r="O25" s="794">
        <f>O23-O24</f>
        <v>68.903105425600899</v>
      </c>
      <c r="P25" s="772"/>
      <c r="Q25" s="772"/>
      <c r="R25" s="772"/>
      <c r="S25" s="772"/>
      <c r="T25" s="772"/>
    </row>
    <row r="26" spans="2:20">
      <c r="B26" s="644" t="s">
        <v>1113</v>
      </c>
      <c r="C26" s="654">
        <f>WACC!$C$6</f>
        <v>0.1416</v>
      </c>
      <c r="D26" s="654">
        <f>WACC!$C$6</f>
        <v>0.1416</v>
      </c>
      <c r="E26" s="654">
        <f>WACC!$C$6</f>
        <v>0.1416</v>
      </c>
      <c r="F26" s="654">
        <f>WACC!$C$6</f>
        <v>0.1416</v>
      </c>
      <c r="G26" s="654">
        <f>WACC!$C$6</f>
        <v>0.1416</v>
      </c>
      <c r="H26" s="654">
        <f>WACC!$C$6</f>
        <v>0.1416</v>
      </c>
      <c r="I26" s="654">
        <f>WACC!$C$6</f>
        <v>0.1416</v>
      </c>
      <c r="N26" s="790" t="s">
        <v>1192</v>
      </c>
      <c r="O26" s="787">
        <f>19.33</f>
        <v>19.329999999999998</v>
      </c>
      <c r="P26" s="772"/>
      <c r="Q26" s="772"/>
      <c r="R26" s="772"/>
      <c r="S26" s="772"/>
      <c r="T26" s="772"/>
    </row>
    <row r="27" spans="2:20">
      <c r="B27" s="644" t="s">
        <v>1114</v>
      </c>
      <c r="C27" s="655">
        <v>0.25</v>
      </c>
      <c r="D27" s="655">
        <v>1</v>
      </c>
      <c r="E27" s="655">
        <f>D27+1</f>
        <v>2</v>
      </c>
      <c r="F27" s="655">
        <f t="shared" ref="F27:I27" si="11">E27+1</f>
        <v>3</v>
      </c>
      <c r="G27" s="655">
        <f t="shared" si="11"/>
        <v>4</v>
      </c>
      <c r="H27" s="655">
        <f t="shared" si="11"/>
        <v>5</v>
      </c>
      <c r="I27" s="655">
        <f t="shared" si="11"/>
        <v>6</v>
      </c>
      <c r="N27" s="793" t="s">
        <v>1128</v>
      </c>
      <c r="O27" s="794">
        <f>O25/O26</f>
        <v>3.5645683096534353</v>
      </c>
      <c r="P27" s="772"/>
      <c r="Q27" s="772"/>
      <c r="R27" s="772"/>
      <c r="S27" s="772"/>
      <c r="T27" s="772"/>
    </row>
    <row r="28" spans="2:20">
      <c r="B28" s="644" t="s">
        <v>1115</v>
      </c>
      <c r="C28" s="655">
        <f t="shared" ref="C28:I28" si="12">1/(1+C26)^C27</f>
        <v>0.96743436439785169</v>
      </c>
      <c r="D28" s="655">
        <f t="shared" si="12"/>
        <v>0.87596355991590757</v>
      </c>
      <c r="E28" s="655">
        <f t="shared" si="12"/>
        <v>0.76731215830054966</v>
      </c>
      <c r="F28" s="655">
        <f t="shared" si="12"/>
        <v>0.67213748975170784</v>
      </c>
      <c r="G28" s="655">
        <f t="shared" si="12"/>
        <v>0.58876794827584777</v>
      </c>
      <c r="H28" s="655">
        <f t="shared" si="12"/>
        <v>0.51573926793609659</v>
      </c>
      <c r="I28" s="656">
        <f t="shared" si="12"/>
        <v>0.45176880512972717</v>
      </c>
      <c r="N28" s="790" t="s">
        <v>1197</v>
      </c>
      <c r="O28" s="790">
        <f>13.68</f>
        <v>13.68</v>
      </c>
      <c r="P28" s="772"/>
      <c r="Q28" s="772"/>
      <c r="R28" s="772"/>
      <c r="S28" s="772"/>
      <c r="T28" s="772"/>
    </row>
    <row r="29" spans="2:20">
      <c r="B29" s="638" t="s">
        <v>1116</v>
      </c>
      <c r="C29" s="766">
        <f t="shared" ref="C29:I29" si="13">C28*C24</f>
        <v>-65.765275869305015</v>
      </c>
      <c r="D29" s="766">
        <f t="shared" si="13"/>
        <v>2.0721057533475027</v>
      </c>
      <c r="E29" s="766">
        <f t="shared" si="13"/>
        <v>8.0751973996328008</v>
      </c>
      <c r="F29" s="766">
        <f t="shared" si="13"/>
        <v>7.3147379813592694</v>
      </c>
      <c r="G29" s="766">
        <f t="shared" si="13"/>
        <v>6.7463514749704867</v>
      </c>
      <c r="H29" s="766">
        <f t="shared" si="13"/>
        <v>10.92629428207923</v>
      </c>
      <c r="I29" s="767">
        <f t="shared" si="13"/>
        <v>9.801918882376091</v>
      </c>
      <c r="N29" s="790" t="s">
        <v>1196</v>
      </c>
      <c r="O29" s="790">
        <f>'Debt Schedule'!T23</f>
        <v>722.65200000000004</v>
      </c>
      <c r="P29" s="772"/>
      <c r="Q29" s="772"/>
      <c r="R29" s="772"/>
      <c r="S29" s="772"/>
      <c r="T29" s="772"/>
    </row>
    <row r="30" spans="2:20">
      <c r="B30" s="657"/>
      <c r="C30" s="658"/>
      <c r="D30" s="658"/>
      <c r="E30" s="658"/>
      <c r="F30" s="658"/>
      <c r="G30" s="658"/>
      <c r="H30" s="634"/>
      <c r="I30" s="635"/>
      <c r="N30" s="795" t="s">
        <v>1123</v>
      </c>
      <c r="O30" s="794">
        <f>O25-O28+O29</f>
        <v>777.87510542560096</v>
      </c>
      <c r="P30" s="772"/>
      <c r="Q30" s="772"/>
      <c r="R30" s="772"/>
      <c r="S30" s="772"/>
      <c r="T30" s="772"/>
    </row>
    <row r="31" spans="2:20">
      <c r="B31" s="659" t="s">
        <v>1117</v>
      </c>
      <c r="C31" s="660"/>
      <c r="D31" s="661"/>
      <c r="E31" s="661"/>
      <c r="F31" s="661"/>
      <c r="G31" s="661"/>
      <c r="H31" s="634"/>
      <c r="I31" s="635"/>
    </row>
    <row r="32" spans="2:20">
      <c r="B32" s="644" t="s">
        <v>1118</v>
      </c>
      <c r="C32" s="654">
        <v>0.01</v>
      </c>
      <c r="D32" s="821"/>
      <c r="E32" s="822"/>
      <c r="F32" s="822"/>
      <c r="G32" s="822"/>
      <c r="H32" s="822"/>
      <c r="I32" s="823"/>
    </row>
    <row r="33" spans="2:20">
      <c r="B33" s="644" t="s">
        <v>1119</v>
      </c>
      <c r="C33" s="662">
        <f>(I24+'Debt Schedule'!J13+'Debt Schedule'!J25)*(1+C32)/(C26-C32)</f>
        <v>607.65951914060133</v>
      </c>
      <c r="D33" s="824"/>
      <c r="E33" s="825"/>
      <c r="F33" s="825"/>
      <c r="G33" s="825"/>
      <c r="H33" s="825"/>
      <c r="I33" s="826"/>
      <c r="N33" s="771" t="s">
        <v>1201</v>
      </c>
    </row>
    <row r="34" spans="2:20">
      <c r="B34" s="638" t="s">
        <v>1120</v>
      </c>
      <c r="C34" s="663">
        <f>C33*I28</f>
        <v>274.52161488785401</v>
      </c>
      <c r="D34" s="824"/>
      <c r="E34" s="825"/>
      <c r="F34" s="825"/>
      <c r="G34" s="825"/>
      <c r="H34" s="825"/>
      <c r="I34" s="826"/>
    </row>
    <row r="35" spans="2:20" ht="27.6">
      <c r="B35" s="638" t="s">
        <v>1121</v>
      </c>
      <c r="C35" s="663">
        <f>SUM(C29:I29)</f>
        <v>-20.828670095539636</v>
      </c>
      <c r="D35" s="824"/>
      <c r="E35" s="825"/>
      <c r="F35" s="825"/>
      <c r="G35" s="825"/>
      <c r="H35" s="825"/>
      <c r="I35" s="826"/>
      <c r="N35" s="807" t="s">
        <v>837</v>
      </c>
      <c r="O35" s="807" t="s">
        <v>835</v>
      </c>
      <c r="P35" s="807" t="s">
        <v>838</v>
      </c>
    </row>
    <row r="36" spans="2:20">
      <c r="B36" s="664" t="s">
        <v>1122</v>
      </c>
      <c r="C36" s="665">
        <f>DCF!C27</f>
        <v>13.68</v>
      </c>
      <c r="D36" s="824"/>
      <c r="E36" s="825"/>
      <c r="F36" s="825"/>
      <c r="G36" s="825"/>
      <c r="H36" s="825"/>
      <c r="I36" s="826"/>
      <c r="N36" s="808"/>
      <c r="O36" s="808"/>
      <c r="P36" s="809">
        <f>O30</f>
        <v>777.87510542560096</v>
      </c>
    </row>
    <row r="37" spans="2:20">
      <c r="B37" s="638" t="s">
        <v>1123</v>
      </c>
      <c r="C37" s="663">
        <f>C34+C35+C36</f>
        <v>267.3729447923144</v>
      </c>
      <c r="D37" s="824"/>
      <c r="E37" s="825"/>
      <c r="F37" s="825"/>
      <c r="G37" s="825"/>
      <c r="H37" s="825"/>
      <c r="I37" s="826"/>
      <c r="N37" s="810" t="s">
        <v>839</v>
      </c>
      <c r="O37" s="811">
        <f>O38-1%</f>
        <v>0.16159999999999999</v>
      </c>
      <c r="P37" s="809">
        <f t="dataTable" ref="P37:P39" dt2D="0" dtr="0" r1="T37"/>
        <v>784.17660938323968</v>
      </c>
      <c r="T37" s="817">
        <v>0.1716</v>
      </c>
    </row>
    <row r="38" spans="2:20">
      <c r="B38" s="664" t="s">
        <v>1087</v>
      </c>
      <c r="C38" s="665">
        <f>('Debt Schedule'!J13+'Debt Schedule'!J25)*'DCF Valuation'!I28</f>
        <v>25.967432126774007</v>
      </c>
      <c r="D38" s="824"/>
      <c r="E38" s="825"/>
      <c r="F38" s="825"/>
      <c r="G38" s="825"/>
      <c r="H38" s="825"/>
      <c r="I38" s="826"/>
      <c r="N38" s="810" t="s">
        <v>840</v>
      </c>
      <c r="O38" s="812">
        <f>WACC!C21</f>
        <v>0.1716</v>
      </c>
      <c r="P38" s="813">
        <v>777.87510542560096</v>
      </c>
    </row>
    <row r="39" spans="2:20">
      <c r="B39" s="638" t="s">
        <v>1124</v>
      </c>
      <c r="C39" s="663">
        <f>C34+C35+C36-C38</f>
        <v>241.40551266554039</v>
      </c>
      <c r="D39" s="824"/>
      <c r="E39" s="825"/>
      <c r="F39" s="825"/>
      <c r="G39" s="825"/>
      <c r="H39" s="825"/>
      <c r="I39" s="826"/>
      <c r="N39" s="810" t="s">
        <v>841</v>
      </c>
      <c r="O39" s="811">
        <f>O38+1%</f>
        <v>0.18160000000000001</v>
      </c>
      <c r="P39" s="809">
        <v>772.40457524670251</v>
      </c>
    </row>
    <row r="40" spans="2:20">
      <c r="B40" s="666" t="s">
        <v>1125</v>
      </c>
      <c r="C40" s="676">
        <f>'[351]NAV Method Valuation'!C12</f>
        <v>330</v>
      </c>
      <c r="D40" s="824"/>
      <c r="E40" s="825"/>
      <c r="F40" s="825"/>
      <c r="G40" s="825"/>
      <c r="H40" s="825"/>
      <c r="I40" s="826"/>
      <c r="N40" s="772"/>
      <c r="O40" s="772"/>
      <c r="P40" s="772"/>
    </row>
    <row r="41" spans="2:20">
      <c r="B41" s="667" t="s">
        <v>1126</v>
      </c>
      <c r="C41" s="668">
        <f>C39-C40</f>
        <v>-88.594487334459615</v>
      </c>
      <c r="D41" s="824"/>
      <c r="E41" s="825"/>
      <c r="F41" s="825"/>
      <c r="G41" s="825"/>
      <c r="H41" s="825"/>
      <c r="I41" s="826"/>
      <c r="N41" s="772"/>
      <c r="O41" s="772"/>
      <c r="P41" s="772"/>
    </row>
    <row r="42" spans="2:20" ht="27.6">
      <c r="B42" s="666" t="s">
        <v>1127</v>
      </c>
      <c r="C42" s="676">
        <f>'[351]Valuation Summary'!C9</f>
        <v>19.325657799999998</v>
      </c>
      <c r="D42" s="824"/>
      <c r="E42" s="825"/>
      <c r="F42" s="825"/>
      <c r="G42" s="825"/>
      <c r="H42" s="825"/>
      <c r="I42" s="826"/>
      <c r="N42" s="807" t="s">
        <v>837</v>
      </c>
      <c r="O42" s="807" t="s">
        <v>838</v>
      </c>
      <c r="P42" s="807" t="s">
        <v>872</v>
      </c>
    </row>
    <row r="43" spans="2:20">
      <c r="B43" s="669" t="s">
        <v>1128</v>
      </c>
      <c r="C43" s="670">
        <f>C41/C42</f>
        <v>-4.5842934947580218</v>
      </c>
      <c r="D43" s="827"/>
      <c r="E43" s="828"/>
      <c r="F43" s="828"/>
      <c r="G43" s="828"/>
      <c r="H43" s="828"/>
      <c r="I43" s="829"/>
      <c r="N43" s="814"/>
      <c r="O43" s="814"/>
      <c r="P43" s="815">
        <f>O27</f>
        <v>3.5645683096534353</v>
      </c>
    </row>
    <row r="44" spans="2:20">
      <c r="N44" s="810" t="s">
        <v>839</v>
      </c>
      <c r="O44" s="815">
        <f>P37</f>
        <v>784.17660938323968</v>
      </c>
      <c r="P44" s="815">
        <v>3.89</v>
      </c>
      <c r="T44" s="818">
        <v>777.87510542560096</v>
      </c>
    </row>
    <row r="45" spans="2:20">
      <c r="C45" s="671"/>
      <c r="E45" s="671"/>
      <c r="G45" s="620" t="s">
        <v>1129</v>
      </c>
      <c r="N45" s="810" t="s">
        <v>840</v>
      </c>
      <c r="O45" s="816">
        <f>P38</f>
        <v>777.87510542560096</v>
      </c>
      <c r="P45" s="816">
        <v>3.56</v>
      </c>
    </row>
    <row r="46" spans="2:20">
      <c r="B46" s="620" t="s">
        <v>1188</v>
      </c>
      <c r="I46" s="620">
        <f>I20*(1+C32)/(C26-C32)</f>
        <v>166.51767914928575</v>
      </c>
      <c r="N46" s="810" t="s">
        <v>841</v>
      </c>
      <c r="O46" s="815">
        <f>P39</f>
        <v>772.40457524670251</v>
      </c>
      <c r="P46" s="815">
        <v>3.28</v>
      </c>
    </row>
    <row r="47" spans="2:20">
      <c r="B47" s="620" t="s">
        <v>720</v>
      </c>
      <c r="I47" s="671">
        <f>I46*I28</f>
        <v>75.227492942248105</v>
      </c>
    </row>
    <row r="49" spans="2:9">
      <c r="B49" s="620" t="s">
        <v>1189</v>
      </c>
      <c r="C49" s="760">
        <f>C29+C47</f>
        <v>-65.765275869305015</v>
      </c>
      <c r="D49" s="760">
        <f t="shared" ref="D49:H49" si="14">D29+D47</f>
        <v>2.0721057533475027</v>
      </c>
      <c r="E49" s="760">
        <f t="shared" si="14"/>
        <v>8.0751973996328008</v>
      </c>
      <c r="F49" s="760">
        <f t="shared" si="14"/>
        <v>7.3147379813592694</v>
      </c>
      <c r="G49" s="760">
        <f t="shared" si="14"/>
        <v>6.7463514749704867</v>
      </c>
      <c r="H49" s="760">
        <f t="shared" si="14"/>
        <v>10.92629428207923</v>
      </c>
      <c r="I49" s="760">
        <f>I29+I47</f>
        <v>85.029411824624191</v>
      </c>
    </row>
    <row r="50" spans="2:9">
      <c r="C50" s="671"/>
    </row>
    <row r="51" spans="2:9">
      <c r="B51" s="620" t="s">
        <v>1190</v>
      </c>
      <c r="C51" s="760">
        <f>SUM(C49:I49)-D51</f>
        <v>28.431390719934463</v>
      </c>
      <c r="D51" s="761">
        <f>C38</f>
        <v>25.967432126774007</v>
      </c>
    </row>
    <row r="52" spans="2:9">
      <c r="C52" s="620">
        <v>19.329999999999998</v>
      </c>
    </row>
    <row r="53" spans="2:9">
      <c r="C53" s="671">
        <f>C51/C52</f>
        <v>1.4708427687498431</v>
      </c>
    </row>
    <row r="54" spans="2:9">
      <c r="B54" s="620" t="s">
        <v>838</v>
      </c>
      <c r="C54" s="760">
        <f>C51+'Debt Schedule'!T23</f>
        <v>751.08339071993453</v>
      </c>
    </row>
    <row r="55" spans="2:9">
      <c r="C55" s="760"/>
    </row>
  </sheetData>
  <mergeCells count="1">
    <mergeCell ref="D32:I43"/>
  </mergeCells>
  <dataValidations count="2">
    <dataValidation type="list" allowBlank="1" showInputMessage="1" showErrorMessage="1" sqref="T37" xr:uid="{6665B2F1-55C6-4DAA-8EA3-91F13B91B315}">
      <formula1>$O$37:$O$39</formula1>
    </dataValidation>
    <dataValidation type="list" allowBlank="1" showInputMessage="1" showErrorMessage="1" sqref="T44" xr:uid="{4C9B19D0-8A05-4726-BE8B-108DB4490E91}">
      <formula1>$P$37:$P$39</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Q21"/>
  <sheetViews>
    <sheetView workbookViewId="0">
      <selection activeCell="C21" sqref="C21"/>
    </sheetView>
  </sheetViews>
  <sheetFormatPr defaultRowHeight="14.4"/>
  <cols>
    <col min="2" max="2" width="30.88671875" bestFit="1" customWidth="1"/>
    <col min="5" max="5" width="23.33203125" bestFit="1" customWidth="1"/>
    <col min="9" max="9" width="35" bestFit="1" customWidth="1"/>
    <col min="10" max="10" width="14.33203125" bestFit="1" customWidth="1"/>
    <col min="11" max="11" width="11.33203125" bestFit="1" customWidth="1"/>
    <col min="12" max="12" width="9.6640625" bestFit="1" customWidth="1"/>
    <col min="13" max="13" width="10" bestFit="1" customWidth="1"/>
  </cols>
  <sheetData>
    <row r="1" spans="1:17" ht="18">
      <c r="B1" s="377" t="s">
        <v>866</v>
      </c>
      <c r="C1" s="377"/>
      <c r="D1" s="377"/>
      <c r="E1" s="377"/>
      <c r="F1" s="377"/>
      <c r="G1" s="377"/>
      <c r="H1" s="377"/>
    </row>
    <row r="2" spans="1:17">
      <c r="B2" s="832" t="s">
        <v>844</v>
      </c>
      <c r="C2" s="832"/>
      <c r="D2" s="832"/>
      <c r="E2" s="832"/>
      <c r="F2" s="832"/>
      <c r="G2" s="832"/>
      <c r="H2" s="832"/>
    </row>
    <row r="4" spans="1:17">
      <c r="B4" s="833" t="s">
        <v>862</v>
      </c>
      <c r="C4" s="833"/>
    </row>
    <row r="5" spans="1:17">
      <c r="A5" s="418" t="s">
        <v>805</v>
      </c>
      <c r="B5" s="472" t="s">
        <v>834</v>
      </c>
      <c r="C5" s="473">
        <v>45282</v>
      </c>
    </row>
    <row r="6" spans="1:17" ht="15" thickBot="1">
      <c r="A6" s="419" t="s">
        <v>806</v>
      </c>
      <c r="B6" s="472" t="s">
        <v>863</v>
      </c>
      <c r="C6" s="474">
        <v>0.1416</v>
      </c>
    </row>
    <row r="7" spans="1:17" ht="15" thickBot="1">
      <c r="B7" s="472" t="s">
        <v>804</v>
      </c>
      <c r="C7" s="474">
        <v>0.09</v>
      </c>
      <c r="I7" s="834" t="s">
        <v>1113</v>
      </c>
      <c r="J7" s="835"/>
    </row>
    <row r="8" spans="1:17" ht="29.4" thickBot="1">
      <c r="B8" s="472" t="s">
        <v>835</v>
      </c>
      <c r="C8" s="474">
        <f>L20</f>
        <v>0</v>
      </c>
      <c r="I8" s="802" t="s">
        <v>1203</v>
      </c>
      <c r="J8" s="803">
        <v>0.1416</v>
      </c>
      <c r="O8" s="15"/>
      <c r="P8" s="439"/>
      <c r="Q8" s="15"/>
    </row>
    <row r="9" spans="1:17" ht="15" thickBot="1">
      <c r="B9" s="472" t="s">
        <v>836</v>
      </c>
      <c r="C9" s="475">
        <v>0.01</v>
      </c>
      <c r="I9" s="804" t="s">
        <v>811</v>
      </c>
      <c r="J9" s="803">
        <v>0.03</v>
      </c>
      <c r="O9" s="15"/>
      <c r="P9" s="439"/>
      <c r="Q9" s="15"/>
    </row>
    <row r="10" spans="1:17" ht="15" thickBot="1">
      <c r="B10" s="472" t="s">
        <v>716</v>
      </c>
      <c r="C10" s="474">
        <v>0.33379999999999999</v>
      </c>
      <c r="I10" s="805" t="s">
        <v>812</v>
      </c>
      <c r="J10" s="806">
        <v>0.1716</v>
      </c>
      <c r="O10" s="15"/>
      <c r="P10" s="439"/>
      <c r="Q10" s="15"/>
    </row>
    <row r="11" spans="1:17">
      <c r="O11" s="15"/>
      <c r="P11" s="439"/>
      <c r="Q11" s="15"/>
    </row>
    <row r="12" spans="1:17">
      <c r="B12" s="830" t="s">
        <v>807</v>
      </c>
      <c r="C12" s="831"/>
      <c r="D12" s="831"/>
      <c r="E12" s="831"/>
      <c r="O12" s="15"/>
      <c r="P12" s="439"/>
      <c r="Q12" s="15"/>
    </row>
    <row r="13" spans="1:17">
      <c r="B13" s="420" t="s">
        <v>167</v>
      </c>
      <c r="C13" s="429" t="s">
        <v>330</v>
      </c>
      <c r="D13" s="420" t="s">
        <v>808</v>
      </c>
      <c r="E13" s="440" t="s">
        <v>809</v>
      </c>
      <c r="O13" s="15"/>
      <c r="P13" s="15"/>
      <c r="Q13" s="15"/>
    </row>
    <row r="14" spans="1:17">
      <c r="B14" s="427" t="s">
        <v>813</v>
      </c>
      <c r="C14" s="471">
        <f>926.03-330.7-158.91</f>
        <v>436.41999999999996</v>
      </c>
      <c r="D14" s="428">
        <f>C14/C16</f>
        <v>0.48684225204421983</v>
      </c>
      <c r="E14" s="421">
        <f>C7</f>
        <v>0.09</v>
      </c>
    </row>
    <row r="15" spans="1:17">
      <c r="B15" s="427" t="s">
        <v>810</v>
      </c>
      <c r="C15" s="471">
        <f>129.31+330.7</f>
        <v>460.01</v>
      </c>
      <c r="D15" s="428">
        <f>C15/C16</f>
        <v>0.51315774795578017</v>
      </c>
      <c r="E15" s="421">
        <f>C6</f>
        <v>0.1416</v>
      </c>
    </row>
    <row r="16" spans="1:17">
      <c r="B16" s="422" t="s">
        <v>19</v>
      </c>
      <c r="C16" s="430">
        <f>SUM(C14:C15)</f>
        <v>896.43</v>
      </c>
      <c r="D16" s="423">
        <f>D14+D15</f>
        <v>1</v>
      </c>
      <c r="E16" s="424">
        <f>SUMPRODUCT(D14:D15,E14:E15)</f>
        <v>0.11647893979451826</v>
      </c>
    </row>
    <row r="17" spans="2:5">
      <c r="B17" s="476" t="s">
        <v>811</v>
      </c>
      <c r="C17" s="477"/>
      <c r="D17" s="477"/>
      <c r="E17" s="481">
        <v>0.03</v>
      </c>
    </row>
    <row r="18" spans="2:5">
      <c r="B18" s="478" t="s">
        <v>812</v>
      </c>
      <c r="C18" s="479"/>
      <c r="D18" s="479"/>
      <c r="E18" s="480">
        <f>E16+E17</f>
        <v>0.14647893979451826</v>
      </c>
    </row>
    <row r="19" spans="2:5">
      <c r="B19" s="3"/>
      <c r="C19" s="412"/>
    </row>
    <row r="21" spans="2:5">
      <c r="B21" s="425" t="s">
        <v>1113</v>
      </c>
      <c r="C21" s="801">
        <f>J10</f>
        <v>0.1716</v>
      </c>
    </row>
  </sheetData>
  <mergeCells count="4">
    <mergeCell ref="B12:E12"/>
    <mergeCell ref="B2:H2"/>
    <mergeCell ref="B4:C4"/>
    <mergeCell ref="I7:J7"/>
  </mergeCells>
  <hyperlinks>
    <hyperlink ref="A6" r:id="rId1" xr:uid="{00000000-0004-0000-0700-000000000000}"/>
    <hyperlink ref="A5" r:id="rId2" xr:uid="{00000000-0004-0000-0700-000001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B60"/>
  <sheetViews>
    <sheetView topLeftCell="H1" zoomScaleNormal="100" workbookViewId="0">
      <selection activeCell="T23" sqref="T23"/>
    </sheetView>
  </sheetViews>
  <sheetFormatPr defaultRowHeight="13.2"/>
  <cols>
    <col min="1" max="1" width="18.33203125" style="499" customWidth="1"/>
    <col min="2" max="2" width="24.109375" style="499" bestFit="1" customWidth="1"/>
    <col min="3" max="3" width="8.88671875" style="499"/>
    <col min="4" max="4" width="17.88671875" style="499" bestFit="1" customWidth="1"/>
    <col min="5" max="11" width="10.33203125" style="499" bestFit="1" customWidth="1"/>
    <col min="12" max="12" width="14.6640625" style="499" customWidth="1"/>
    <col min="13" max="20" width="10.33203125" style="499" bestFit="1" customWidth="1"/>
    <col min="21" max="257" width="8.88671875" style="499"/>
    <col min="258" max="258" width="24.109375" style="499" bestFit="1" customWidth="1"/>
    <col min="259" max="513" width="8.88671875" style="499"/>
    <col min="514" max="514" width="24.109375" style="499" bestFit="1" customWidth="1"/>
    <col min="515" max="769" width="8.88671875" style="499"/>
    <col min="770" max="770" width="24.109375" style="499" bestFit="1" customWidth="1"/>
    <col min="771" max="1025" width="8.88671875" style="499"/>
    <col min="1026" max="1026" width="24.109375" style="499" bestFit="1" customWidth="1"/>
    <col min="1027" max="1281" width="8.88671875" style="499"/>
    <col min="1282" max="1282" width="24.109375" style="499" bestFit="1" customWidth="1"/>
    <col min="1283" max="1537" width="8.88671875" style="499"/>
    <col min="1538" max="1538" width="24.109375" style="499" bestFit="1" customWidth="1"/>
    <col min="1539" max="1793" width="8.88671875" style="499"/>
    <col min="1794" max="1794" width="24.109375" style="499" bestFit="1" customWidth="1"/>
    <col min="1795" max="2049" width="8.88671875" style="499"/>
    <col min="2050" max="2050" width="24.109375" style="499" bestFit="1" customWidth="1"/>
    <col min="2051" max="2305" width="8.88671875" style="499"/>
    <col min="2306" max="2306" width="24.109375" style="499" bestFit="1" customWidth="1"/>
    <col min="2307" max="2561" width="8.88671875" style="499"/>
    <col min="2562" max="2562" width="24.109375" style="499" bestFit="1" customWidth="1"/>
    <col min="2563" max="2817" width="8.88671875" style="499"/>
    <col min="2818" max="2818" width="24.109375" style="499" bestFit="1" customWidth="1"/>
    <col min="2819" max="3073" width="8.88671875" style="499"/>
    <col min="3074" max="3074" width="24.109375" style="499" bestFit="1" customWidth="1"/>
    <col min="3075" max="3329" width="8.88671875" style="499"/>
    <col min="3330" max="3330" width="24.109375" style="499" bestFit="1" customWidth="1"/>
    <col min="3331" max="3585" width="8.88671875" style="499"/>
    <col min="3586" max="3586" width="24.109375" style="499" bestFit="1" customWidth="1"/>
    <col min="3587" max="3841" width="8.88671875" style="499"/>
    <col min="3842" max="3842" width="24.109375" style="499" bestFit="1" customWidth="1"/>
    <col min="3843" max="4097" width="8.88671875" style="499"/>
    <col min="4098" max="4098" width="24.109375" style="499" bestFit="1" customWidth="1"/>
    <col min="4099" max="4353" width="8.88671875" style="499"/>
    <col min="4354" max="4354" width="24.109375" style="499" bestFit="1" customWidth="1"/>
    <col min="4355" max="4609" width="8.88671875" style="499"/>
    <col min="4610" max="4610" width="24.109375" style="499" bestFit="1" customWidth="1"/>
    <col min="4611" max="4865" width="8.88671875" style="499"/>
    <col min="4866" max="4866" width="24.109375" style="499" bestFit="1" customWidth="1"/>
    <col min="4867" max="5121" width="8.88671875" style="499"/>
    <col min="5122" max="5122" width="24.109375" style="499" bestFit="1" customWidth="1"/>
    <col min="5123" max="5377" width="8.88671875" style="499"/>
    <col min="5378" max="5378" width="24.109375" style="499" bestFit="1" customWidth="1"/>
    <col min="5379" max="5633" width="8.88671875" style="499"/>
    <col min="5634" max="5634" width="24.109375" style="499" bestFit="1" customWidth="1"/>
    <col min="5635" max="5889" width="8.88671875" style="499"/>
    <col min="5890" max="5890" width="24.109375" style="499" bestFit="1" customWidth="1"/>
    <col min="5891" max="6145" width="8.88671875" style="499"/>
    <col min="6146" max="6146" width="24.109375" style="499" bestFit="1" customWidth="1"/>
    <col min="6147" max="6401" width="8.88671875" style="499"/>
    <col min="6402" max="6402" width="24.109375" style="499" bestFit="1" customWidth="1"/>
    <col min="6403" max="6657" width="8.88671875" style="499"/>
    <col min="6658" max="6658" width="24.109375" style="499" bestFit="1" customWidth="1"/>
    <col min="6659" max="6913" width="8.88671875" style="499"/>
    <col min="6914" max="6914" width="24.109375" style="499" bestFit="1" customWidth="1"/>
    <col min="6915" max="7169" width="8.88671875" style="499"/>
    <col min="7170" max="7170" width="24.109375" style="499" bestFit="1" customWidth="1"/>
    <col min="7171" max="7425" width="8.88671875" style="499"/>
    <col min="7426" max="7426" width="24.109375" style="499" bestFit="1" customWidth="1"/>
    <col min="7427" max="7681" width="8.88671875" style="499"/>
    <col min="7682" max="7682" width="24.109375" style="499" bestFit="1" customWidth="1"/>
    <col min="7683" max="7937" width="8.88671875" style="499"/>
    <col min="7938" max="7938" width="24.109375" style="499" bestFit="1" customWidth="1"/>
    <col min="7939" max="8193" width="8.88671875" style="499"/>
    <col min="8194" max="8194" width="24.109375" style="499" bestFit="1" customWidth="1"/>
    <col min="8195" max="8449" width="8.88671875" style="499"/>
    <col min="8450" max="8450" width="24.109375" style="499" bestFit="1" customWidth="1"/>
    <col min="8451" max="8705" width="8.88671875" style="499"/>
    <col min="8706" max="8706" width="24.109375" style="499" bestFit="1" customWidth="1"/>
    <col min="8707" max="8961" width="8.88671875" style="499"/>
    <col min="8962" max="8962" width="24.109375" style="499" bestFit="1" customWidth="1"/>
    <col min="8963" max="9217" width="8.88671875" style="499"/>
    <col min="9218" max="9218" width="24.109375" style="499" bestFit="1" customWidth="1"/>
    <col min="9219" max="9473" width="8.88671875" style="499"/>
    <col min="9474" max="9474" width="24.109375" style="499" bestFit="1" customWidth="1"/>
    <col min="9475" max="9729" width="8.88671875" style="499"/>
    <col min="9730" max="9730" width="24.109375" style="499" bestFit="1" customWidth="1"/>
    <col min="9731" max="9985" width="8.88671875" style="499"/>
    <col min="9986" max="9986" width="24.109375" style="499" bestFit="1" customWidth="1"/>
    <col min="9987" max="10241" width="8.88671875" style="499"/>
    <col min="10242" max="10242" width="24.109375" style="499" bestFit="1" customWidth="1"/>
    <col min="10243" max="10497" width="8.88671875" style="499"/>
    <col min="10498" max="10498" width="24.109375" style="499" bestFit="1" customWidth="1"/>
    <col min="10499" max="10753" width="8.88671875" style="499"/>
    <col min="10754" max="10754" width="24.109375" style="499" bestFit="1" customWidth="1"/>
    <col min="10755" max="11009" width="8.88671875" style="499"/>
    <col min="11010" max="11010" width="24.109375" style="499" bestFit="1" customWidth="1"/>
    <col min="11011" max="11265" width="8.88671875" style="499"/>
    <col min="11266" max="11266" width="24.109375" style="499" bestFit="1" customWidth="1"/>
    <col min="11267" max="11521" width="8.88671875" style="499"/>
    <col min="11522" max="11522" width="24.109375" style="499" bestFit="1" customWidth="1"/>
    <col min="11523" max="11777" width="8.88671875" style="499"/>
    <col min="11778" max="11778" width="24.109375" style="499" bestFit="1" customWidth="1"/>
    <col min="11779" max="12033" width="8.88671875" style="499"/>
    <col min="12034" max="12034" width="24.109375" style="499" bestFit="1" customWidth="1"/>
    <col min="12035" max="12289" width="8.88671875" style="499"/>
    <col min="12290" max="12290" width="24.109375" style="499" bestFit="1" customWidth="1"/>
    <col min="12291" max="12545" width="8.88671875" style="499"/>
    <col min="12546" max="12546" width="24.109375" style="499" bestFit="1" customWidth="1"/>
    <col min="12547" max="12801" width="8.88671875" style="499"/>
    <col min="12802" max="12802" width="24.109375" style="499" bestFit="1" customWidth="1"/>
    <col min="12803" max="13057" width="8.88671875" style="499"/>
    <col min="13058" max="13058" width="24.109375" style="499" bestFit="1" customWidth="1"/>
    <col min="13059" max="13313" width="8.88671875" style="499"/>
    <col min="13314" max="13314" width="24.109375" style="499" bestFit="1" customWidth="1"/>
    <col min="13315" max="13569" width="8.88671875" style="499"/>
    <col min="13570" max="13570" width="24.109375" style="499" bestFit="1" customWidth="1"/>
    <col min="13571" max="13825" width="8.88671875" style="499"/>
    <col min="13826" max="13826" width="24.109375" style="499" bestFit="1" customWidth="1"/>
    <col min="13827" max="14081" width="8.88671875" style="499"/>
    <col min="14082" max="14082" width="24.109375" style="499" bestFit="1" customWidth="1"/>
    <col min="14083" max="14337" width="8.88671875" style="499"/>
    <col min="14338" max="14338" width="24.109375" style="499" bestFit="1" customWidth="1"/>
    <col min="14339" max="14593" width="8.88671875" style="499"/>
    <col min="14594" max="14594" width="24.109375" style="499" bestFit="1" customWidth="1"/>
    <col min="14595" max="14849" width="8.88671875" style="499"/>
    <col min="14850" max="14850" width="24.109375" style="499" bestFit="1" customWidth="1"/>
    <col min="14851" max="15105" width="8.88671875" style="499"/>
    <col min="15106" max="15106" width="24.109375" style="499" bestFit="1" customWidth="1"/>
    <col min="15107" max="15361" width="8.88671875" style="499"/>
    <col min="15362" max="15362" width="24.109375" style="499" bestFit="1" customWidth="1"/>
    <col min="15363" max="15617" width="8.88671875" style="499"/>
    <col min="15618" max="15618" width="24.109375" style="499" bestFit="1" customWidth="1"/>
    <col min="15619" max="15873" width="8.88671875" style="499"/>
    <col min="15874" max="15874" width="24.109375" style="499" bestFit="1" customWidth="1"/>
    <col min="15875" max="16129" width="8.88671875" style="499"/>
    <col min="16130" max="16130" width="24.109375" style="499" bestFit="1" customWidth="1"/>
    <col min="16131" max="16384" width="8.88671875" style="499"/>
  </cols>
  <sheetData>
    <row r="2" spans="1:28" ht="14.4">
      <c r="B2"/>
      <c r="C2"/>
      <c r="D2" s="616" t="s">
        <v>1088</v>
      </c>
      <c r="E2"/>
      <c r="F2"/>
      <c r="G2"/>
      <c r="H2"/>
      <c r="I2"/>
      <c r="J2"/>
      <c r="K2"/>
      <c r="T2" s="611">
        <v>45199</v>
      </c>
      <c r="U2" s="611">
        <v>45016</v>
      </c>
      <c r="W2" s="499" t="s">
        <v>1084</v>
      </c>
    </row>
    <row r="3" spans="1:28" ht="14.4">
      <c r="B3" s="616"/>
      <c r="C3" s="616"/>
      <c r="D3" s="616" t="s">
        <v>1089</v>
      </c>
      <c r="E3"/>
      <c r="F3"/>
      <c r="G3"/>
      <c r="H3"/>
      <c r="I3"/>
      <c r="J3"/>
      <c r="K3"/>
      <c r="Q3" s="499" t="s">
        <v>1071</v>
      </c>
    </row>
    <row r="4" spans="1:28" ht="14.4">
      <c r="B4" t="s">
        <v>1073</v>
      </c>
      <c r="C4" s="616"/>
      <c r="D4">
        <f>T6+T21+T9</f>
        <v>372.88</v>
      </c>
      <c r="E4" s="405">
        <v>1E-4</v>
      </c>
      <c r="F4">
        <v>7</v>
      </c>
      <c r="G4"/>
      <c r="H4"/>
      <c r="I4"/>
      <c r="J4"/>
      <c r="K4"/>
      <c r="Q4" s="3" t="s">
        <v>1074</v>
      </c>
    </row>
    <row r="5" spans="1:28" ht="14.4">
      <c r="B5" t="s">
        <v>1072</v>
      </c>
      <c r="C5" s="616"/>
      <c r="D5">
        <f>T20</f>
        <v>34.782299999999999</v>
      </c>
      <c r="E5" s="405">
        <v>0.09</v>
      </c>
      <c r="F5">
        <v>1</v>
      </c>
      <c r="G5"/>
      <c r="H5"/>
      <c r="I5"/>
      <c r="J5"/>
      <c r="K5"/>
      <c r="Q5" t="s">
        <v>1072</v>
      </c>
      <c r="T5" s="499" t="s">
        <v>547</v>
      </c>
      <c r="U5" s="499">
        <v>18.203099999999999</v>
      </c>
      <c r="W5" s="499" t="s">
        <v>1083</v>
      </c>
    </row>
    <row r="6" spans="1:28" ht="14.4">
      <c r="B6" t="s">
        <v>1078</v>
      </c>
      <c r="C6"/>
      <c r="D6">
        <f>T11+T22</f>
        <v>29.476300000000002</v>
      </c>
      <c r="E6" s="405">
        <v>1E-4</v>
      </c>
      <c r="F6">
        <v>7</v>
      </c>
      <c r="G6"/>
      <c r="H6"/>
      <c r="I6"/>
      <c r="J6"/>
      <c r="K6"/>
      <c r="Q6" t="s">
        <v>1073</v>
      </c>
      <c r="T6" s="499">
        <v>361.28</v>
      </c>
      <c r="U6" s="615">
        <v>370.25330000000002</v>
      </c>
      <c r="W6" s="499" t="s">
        <v>1085</v>
      </c>
      <c r="X6" s="615">
        <f>U6</f>
        <v>370.25330000000002</v>
      </c>
      <c r="Z6" s="615" t="s">
        <v>930</v>
      </c>
    </row>
    <row r="7" spans="1:28" ht="14.4">
      <c r="B7" t="s">
        <v>876</v>
      </c>
      <c r="C7"/>
      <c r="D7">
        <f>T17</f>
        <v>158.1953</v>
      </c>
      <c r="E7" s="405">
        <v>0.09</v>
      </c>
      <c r="F7"/>
      <c r="G7"/>
      <c r="H7"/>
      <c r="I7"/>
      <c r="J7"/>
      <c r="K7"/>
    </row>
    <row r="8" spans="1:28" ht="14.4">
      <c r="B8"/>
      <c r="C8"/>
      <c r="D8"/>
      <c r="E8"/>
      <c r="F8"/>
      <c r="G8"/>
      <c r="H8"/>
      <c r="I8"/>
      <c r="J8"/>
      <c r="K8"/>
      <c r="Q8" s="3" t="s">
        <v>1075</v>
      </c>
    </row>
    <row r="9" spans="1:28" ht="14.4">
      <c r="B9"/>
      <c r="C9"/>
      <c r="D9"/>
      <c r="E9"/>
      <c r="F9"/>
      <c r="G9"/>
      <c r="H9"/>
      <c r="I9"/>
      <c r="J9"/>
      <c r="K9"/>
      <c r="Q9" t="s">
        <v>1076</v>
      </c>
      <c r="T9" s="499">
        <v>2.5</v>
      </c>
      <c r="U9" s="499">
        <v>2.5</v>
      </c>
      <c r="AB9" s="499">
        <v>37.479999999999997</v>
      </c>
    </row>
    <row r="10" spans="1:28" ht="14.4">
      <c r="B10"/>
      <c r="C10"/>
      <c r="D10"/>
      <c r="E10"/>
      <c r="F10"/>
      <c r="G10"/>
      <c r="H10"/>
      <c r="I10"/>
      <c r="J10"/>
      <c r="K10"/>
      <c r="Q10" t="s">
        <v>1077</v>
      </c>
      <c r="T10" s="499">
        <v>330.7</v>
      </c>
      <c r="U10" s="499">
        <v>330.7</v>
      </c>
    </row>
    <row r="11" spans="1:28" ht="14.4">
      <c r="A11" s="3" t="s">
        <v>1073</v>
      </c>
      <c r="B11"/>
      <c r="C11"/>
      <c r="D11" s="617">
        <v>45747</v>
      </c>
      <c r="E11" s="617">
        <v>46112</v>
      </c>
      <c r="F11" s="617">
        <v>46477</v>
      </c>
      <c r="G11" s="617">
        <v>46843</v>
      </c>
      <c r="H11" s="617">
        <v>47208</v>
      </c>
      <c r="I11" s="617">
        <v>47573</v>
      </c>
      <c r="J11" s="617">
        <v>47938</v>
      </c>
      <c r="K11" s="617">
        <v>48304</v>
      </c>
      <c r="Q11" t="s">
        <v>1078</v>
      </c>
      <c r="T11" s="499">
        <v>28.172000000000001</v>
      </c>
      <c r="U11" s="499">
        <v>28.172000000000001</v>
      </c>
    </row>
    <row r="12" spans="1:28" ht="14.4">
      <c r="A12" s="616" t="s">
        <v>1090</v>
      </c>
      <c r="B12" s="616"/>
      <c r="C12"/>
      <c r="D12" s="4">
        <f>C15</f>
        <v>372.88</v>
      </c>
      <c r="E12" s="4">
        <f>D15</f>
        <v>319.61142857142858</v>
      </c>
      <c r="F12" s="4">
        <f t="shared" ref="F12:K12" si="0">E15</f>
        <v>266.34285714285716</v>
      </c>
      <c r="G12" s="4">
        <f t="shared" si="0"/>
        <v>213.07428571428574</v>
      </c>
      <c r="H12" s="4">
        <f t="shared" si="0"/>
        <v>159.80571428571432</v>
      </c>
      <c r="I12" s="4">
        <f t="shared" si="0"/>
        <v>106.5371428571429</v>
      </c>
      <c r="J12" s="4">
        <f t="shared" si="0"/>
        <v>53.26857142857147</v>
      </c>
      <c r="K12" s="4">
        <f t="shared" si="0"/>
        <v>0</v>
      </c>
    </row>
    <row r="13" spans="1:28" ht="14.4">
      <c r="A13" s="616" t="s">
        <v>1091</v>
      </c>
      <c r="B13" s="616"/>
      <c r="C13" s="616"/>
      <c r="D13" s="4">
        <f t="shared" ref="D13:J13" si="1">$D$4/$F$4</f>
        <v>53.268571428571427</v>
      </c>
      <c r="E13" s="4">
        <f t="shared" si="1"/>
        <v>53.268571428571427</v>
      </c>
      <c r="F13" s="4">
        <f t="shared" si="1"/>
        <v>53.268571428571427</v>
      </c>
      <c r="G13" s="4">
        <f t="shared" si="1"/>
        <v>53.268571428571427</v>
      </c>
      <c r="H13" s="4">
        <f t="shared" si="1"/>
        <v>53.268571428571427</v>
      </c>
      <c r="I13" s="4">
        <f t="shared" si="1"/>
        <v>53.268571428571427</v>
      </c>
      <c r="J13" s="4">
        <f t="shared" si="1"/>
        <v>53.268571428571427</v>
      </c>
      <c r="K13" s="4">
        <v>0</v>
      </c>
      <c r="AB13" s="499" t="s">
        <v>1087</v>
      </c>
    </row>
    <row r="14" spans="1:28" ht="14.4">
      <c r="A14" s="616" t="s">
        <v>1092</v>
      </c>
      <c r="B14" s="616"/>
      <c r="C14"/>
      <c r="D14" s="4">
        <f t="shared" ref="D14:J14" si="2">D12*$E$4</f>
        <v>3.7288000000000002E-2</v>
      </c>
      <c r="E14" s="4">
        <f t="shared" si="2"/>
        <v>3.1961142857142862E-2</v>
      </c>
      <c r="F14" s="4">
        <f t="shared" si="2"/>
        <v>2.6634285714285718E-2</v>
      </c>
      <c r="G14" s="4">
        <f t="shared" si="2"/>
        <v>2.1307428571428574E-2</v>
      </c>
      <c r="H14" s="4">
        <f t="shared" si="2"/>
        <v>1.5980571428571431E-2</v>
      </c>
      <c r="I14" s="4">
        <f t="shared" si="2"/>
        <v>1.0653714285714291E-2</v>
      </c>
      <c r="J14" s="4">
        <f t="shared" si="2"/>
        <v>5.3268571428571471E-3</v>
      </c>
      <c r="K14" s="4">
        <f>K12*$T$33</f>
        <v>0</v>
      </c>
      <c r="Q14" t="s">
        <v>1079</v>
      </c>
    </row>
    <row r="15" spans="1:28" ht="14.4">
      <c r="A15" s="616" t="s">
        <v>881</v>
      </c>
      <c r="B15" s="616"/>
      <c r="C15">
        <f>D4</f>
        <v>372.88</v>
      </c>
      <c r="D15" s="4">
        <f>D12-D13</f>
        <v>319.61142857142858</v>
      </c>
      <c r="E15" s="4">
        <f>E12-E13</f>
        <v>266.34285714285716</v>
      </c>
      <c r="F15" s="4">
        <f t="shared" ref="F15:K15" si="3">F12-F13</f>
        <v>213.07428571428574</v>
      </c>
      <c r="G15" s="4">
        <f t="shared" si="3"/>
        <v>159.80571428571432</v>
      </c>
      <c r="H15" s="4">
        <f t="shared" si="3"/>
        <v>106.5371428571429</v>
      </c>
      <c r="I15" s="4">
        <f t="shared" si="3"/>
        <v>53.26857142857147</v>
      </c>
      <c r="J15" s="4">
        <f t="shared" si="3"/>
        <v>0</v>
      </c>
      <c r="K15" s="4">
        <f t="shared" si="3"/>
        <v>0</v>
      </c>
      <c r="Q15" s="3" t="s">
        <v>182</v>
      </c>
    </row>
    <row r="16" spans="1:28" ht="14.4">
      <c r="B16"/>
      <c r="C16"/>
      <c r="D16"/>
      <c r="E16"/>
      <c r="F16"/>
      <c r="G16"/>
      <c r="H16"/>
      <c r="I16"/>
      <c r="J16"/>
      <c r="K16"/>
      <c r="Q16" t="s">
        <v>1080</v>
      </c>
      <c r="T16" s="499" t="s">
        <v>547</v>
      </c>
      <c r="U16" s="499" t="s">
        <v>547</v>
      </c>
    </row>
    <row r="17" spans="1:26" ht="14.4">
      <c r="A17" s="3" t="s">
        <v>1072</v>
      </c>
      <c r="B17"/>
      <c r="C17"/>
      <c r="D17" s="617">
        <v>45747</v>
      </c>
      <c r="E17" s="617">
        <v>46112</v>
      </c>
      <c r="F17"/>
      <c r="G17"/>
      <c r="H17"/>
      <c r="I17"/>
      <c r="J17"/>
      <c r="K17"/>
      <c r="Q17" t="s">
        <v>1081</v>
      </c>
      <c r="T17" s="499">
        <v>158.1953</v>
      </c>
      <c r="U17" s="499">
        <v>155.0257</v>
      </c>
    </row>
    <row r="18" spans="1:26" ht="14.4">
      <c r="A18" s="616" t="s">
        <v>1090</v>
      </c>
      <c r="B18" s="616"/>
      <c r="C18"/>
      <c r="D18" s="4">
        <f>C21</f>
        <v>34.782299999999999</v>
      </c>
      <c r="E18" s="4">
        <f>D21</f>
        <v>0</v>
      </c>
    </row>
    <row r="19" spans="1:26" ht="14.4">
      <c r="A19" s="616" t="s">
        <v>1091</v>
      </c>
      <c r="B19" s="616"/>
      <c r="C19" s="616"/>
      <c r="D19" s="4">
        <f>$D$5/$F$5</f>
        <v>34.782299999999999</v>
      </c>
      <c r="E19" s="4">
        <v>0</v>
      </c>
      <c r="Q19" t="s">
        <v>1082</v>
      </c>
    </row>
    <row r="20" spans="1:26" ht="14.4">
      <c r="A20" s="616" t="s">
        <v>1092</v>
      </c>
      <c r="B20" s="616"/>
      <c r="C20"/>
      <c r="D20" s="4">
        <f>D18*$E$5</f>
        <v>3.1304069999999999</v>
      </c>
      <c r="E20" s="4">
        <f>E18*$E$4</f>
        <v>0</v>
      </c>
      <c r="Q20" t="s">
        <v>1072</v>
      </c>
      <c r="T20" s="499">
        <v>34.782299999999999</v>
      </c>
      <c r="U20" s="613">
        <v>35.9816</v>
      </c>
    </row>
    <row r="21" spans="1:26" ht="14.4">
      <c r="A21" s="616" t="s">
        <v>881</v>
      </c>
      <c r="B21" s="616"/>
      <c r="C21">
        <f>D5</f>
        <v>34.782299999999999</v>
      </c>
      <c r="D21" s="4">
        <f>D18-D19</f>
        <v>0</v>
      </c>
      <c r="E21" s="4">
        <f>E18-E19</f>
        <v>0</v>
      </c>
      <c r="Q21" t="s">
        <v>1073</v>
      </c>
      <c r="T21" s="499">
        <v>9.1</v>
      </c>
      <c r="U21" s="613">
        <v>0.2</v>
      </c>
      <c r="X21" s="613">
        <f>SUM(U20:U22)</f>
        <v>37.485900000000001</v>
      </c>
      <c r="Z21" s="614" t="s">
        <v>1086</v>
      </c>
    </row>
    <row r="22" spans="1:26" ht="14.4">
      <c r="Q22" t="s">
        <v>1078</v>
      </c>
      <c r="T22" s="499">
        <v>1.3043</v>
      </c>
      <c r="U22" s="613">
        <v>1.3043</v>
      </c>
      <c r="Z22" s="612"/>
    </row>
    <row r="23" spans="1:26" ht="14.4">
      <c r="A23" s="3" t="s">
        <v>1078</v>
      </c>
      <c r="B23"/>
      <c r="C23"/>
      <c r="D23" s="617">
        <v>45747</v>
      </c>
      <c r="E23" s="617">
        <v>46112</v>
      </c>
      <c r="F23" s="617">
        <v>46477</v>
      </c>
      <c r="G23" s="617">
        <v>46843</v>
      </c>
      <c r="H23" s="617">
        <v>47208</v>
      </c>
      <c r="I23" s="617">
        <v>47573</v>
      </c>
      <c r="J23" s="617">
        <v>47938</v>
      </c>
      <c r="K23" s="617">
        <v>48304</v>
      </c>
      <c r="T23" s="499">
        <f>SUM(T6:T11)</f>
        <v>722.65200000000004</v>
      </c>
      <c r="Z23" s="612"/>
    </row>
    <row r="24" spans="1:26" ht="14.4">
      <c r="A24" s="616" t="s">
        <v>1090</v>
      </c>
      <c r="B24" s="616"/>
      <c r="C24"/>
      <c r="D24" s="4">
        <f>C27</f>
        <v>29.476300000000002</v>
      </c>
      <c r="E24" s="4">
        <f>D27</f>
        <v>25.2654</v>
      </c>
      <c r="F24" s="4">
        <f t="shared" ref="F24" si="4">E27</f>
        <v>21.054499999999997</v>
      </c>
      <c r="G24" s="4">
        <f t="shared" ref="G24" si="5">F27</f>
        <v>16.843599999999995</v>
      </c>
      <c r="H24" s="4">
        <f t="shared" ref="H24" si="6">G27</f>
        <v>12.632699999999994</v>
      </c>
      <c r="I24" s="4">
        <f t="shared" ref="I24" si="7">H27</f>
        <v>8.421799999999994</v>
      </c>
      <c r="J24" s="4">
        <f t="shared" ref="J24" si="8">I27</f>
        <v>4.2108999999999934</v>
      </c>
      <c r="K24" s="4">
        <f t="shared" ref="K24" si="9">J27</f>
        <v>-7.1054273576010019E-15</v>
      </c>
      <c r="L24"/>
      <c r="M24"/>
    </row>
    <row r="25" spans="1:26" ht="14.4">
      <c r="A25" s="616" t="s">
        <v>1091</v>
      </c>
      <c r="B25" s="616"/>
      <c r="C25" s="616"/>
      <c r="D25" s="4">
        <f t="shared" ref="D25:J25" si="10">$D$6/$F$6</f>
        <v>4.2109000000000005</v>
      </c>
      <c r="E25" s="4">
        <f t="shared" si="10"/>
        <v>4.2109000000000005</v>
      </c>
      <c r="F25" s="4">
        <f t="shared" si="10"/>
        <v>4.2109000000000005</v>
      </c>
      <c r="G25" s="4">
        <f t="shared" si="10"/>
        <v>4.2109000000000005</v>
      </c>
      <c r="H25" s="4">
        <f t="shared" si="10"/>
        <v>4.2109000000000005</v>
      </c>
      <c r="I25" s="4">
        <f t="shared" si="10"/>
        <v>4.2109000000000005</v>
      </c>
      <c r="J25" s="4">
        <f t="shared" si="10"/>
        <v>4.2109000000000005</v>
      </c>
      <c r="K25" s="4">
        <v>0</v>
      </c>
      <c r="L25"/>
      <c r="M25"/>
    </row>
    <row r="26" spans="1:26" ht="14.4">
      <c r="A26" s="616" t="s">
        <v>1092</v>
      </c>
      <c r="B26" s="616"/>
      <c r="C26"/>
      <c r="D26" s="619">
        <f t="shared" ref="D26:K26" si="11">D24*$E$6</f>
        <v>2.9476300000000001E-3</v>
      </c>
      <c r="E26" s="619">
        <f t="shared" si="11"/>
        <v>2.5265400000000003E-3</v>
      </c>
      <c r="F26" s="619">
        <f t="shared" si="11"/>
        <v>2.10545E-3</v>
      </c>
      <c r="G26" s="619">
        <f t="shared" si="11"/>
        <v>1.6843599999999995E-3</v>
      </c>
      <c r="H26" s="619">
        <f t="shared" si="11"/>
        <v>1.2632699999999995E-3</v>
      </c>
      <c r="I26" s="619">
        <f t="shared" si="11"/>
        <v>8.4217999999999945E-4</v>
      </c>
      <c r="J26" s="619">
        <f t="shared" si="11"/>
        <v>4.2108999999999934E-4</v>
      </c>
      <c r="K26" s="619">
        <f t="shared" si="11"/>
        <v>-7.1054273576010022E-19</v>
      </c>
      <c r="L26"/>
      <c r="M26"/>
    </row>
    <row r="27" spans="1:26" ht="14.4">
      <c r="A27" s="616" t="s">
        <v>881</v>
      </c>
      <c r="B27" s="616"/>
      <c r="C27">
        <f>D6</f>
        <v>29.476300000000002</v>
      </c>
      <c r="D27" s="4">
        <f>D24-D25</f>
        <v>25.2654</v>
      </c>
      <c r="E27" s="4">
        <f>E24-E25</f>
        <v>21.054499999999997</v>
      </c>
      <c r="F27" s="4">
        <f t="shared" ref="F27:K27" si="12">F24-F25</f>
        <v>16.843599999999995</v>
      </c>
      <c r="G27" s="4">
        <f t="shared" si="12"/>
        <v>12.632699999999994</v>
      </c>
      <c r="H27" s="4">
        <f t="shared" si="12"/>
        <v>8.421799999999994</v>
      </c>
      <c r="I27" s="4">
        <f t="shared" si="12"/>
        <v>4.2108999999999934</v>
      </c>
      <c r="J27" s="4">
        <f t="shared" si="12"/>
        <v>-7.1054273576010019E-15</v>
      </c>
      <c r="K27" s="4">
        <f t="shared" si="12"/>
        <v>-7.1054273576010019E-15</v>
      </c>
      <c r="L27"/>
      <c r="M27"/>
    </row>
    <row r="28" spans="1:26" ht="14.4">
      <c r="L28"/>
      <c r="M28"/>
      <c r="O28" s="503"/>
      <c r="P28" s="503"/>
      <c r="Q28" s="503"/>
      <c r="R28" s="503"/>
      <c r="S28" s="503"/>
      <c r="T28" s="503"/>
      <c r="U28" s="503"/>
    </row>
    <row r="29" spans="1:26" ht="14.4">
      <c r="A29" s="3" t="s">
        <v>876</v>
      </c>
      <c r="D29" s="617">
        <v>45747</v>
      </c>
      <c r="E29" s="617">
        <v>46112</v>
      </c>
      <c r="F29" s="617">
        <v>46477</v>
      </c>
      <c r="G29" s="617">
        <v>46843</v>
      </c>
      <c r="H29" s="617">
        <v>47208</v>
      </c>
      <c r="I29" s="617">
        <v>47573</v>
      </c>
      <c r="J29" s="617">
        <v>47938</v>
      </c>
      <c r="K29" s="617">
        <v>48304</v>
      </c>
      <c r="L29"/>
      <c r="M29"/>
      <c r="Q29" s="500">
        <f>[351]CF!B3</f>
        <v>2024</v>
      </c>
      <c r="R29" s="500">
        <f>[351]CF!C3</f>
        <v>2025</v>
      </c>
      <c r="S29" s="500">
        <f>[351]CF!D3</f>
        <v>2026</v>
      </c>
      <c r="T29" s="500">
        <f>[351]CF!E3</f>
        <v>2027</v>
      </c>
      <c r="U29" s="500">
        <f>[351]CF!F3</f>
        <v>2028</v>
      </c>
      <c r="V29" s="500">
        <f>[351]CF!G3</f>
        <v>2029</v>
      </c>
      <c r="W29" s="500">
        <f>[351]CF!H3</f>
        <v>2030</v>
      </c>
    </row>
    <row r="30" spans="1:26" ht="14.4">
      <c r="A30" s="616" t="s">
        <v>1090</v>
      </c>
      <c r="D30" s="4">
        <f>C33</f>
        <v>158.1953</v>
      </c>
      <c r="E30" s="4">
        <f>D33</f>
        <v>158.1953</v>
      </c>
      <c r="F30" s="4">
        <f t="shared" ref="F30" si="13">E33</f>
        <v>158.1953</v>
      </c>
      <c r="G30" s="4">
        <f t="shared" ref="G30" si="14">F33</f>
        <v>158.1953</v>
      </c>
      <c r="H30" s="4">
        <f t="shared" ref="H30" si="15">G33</f>
        <v>158.1953</v>
      </c>
      <c r="I30" s="4">
        <f t="shared" ref="I30" si="16">H33</f>
        <v>158.1953</v>
      </c>
      <c r="J30" s="4">
        <f t="shared" ref="J30" si="17">I33</f>
        <v>158.1953</v>
      </c>
      <c r="K30" s="4">
        <f t="shared" ref="K30" si="18">J33</f>
        <v>158.1953</v>
      </c>
      <c r="L30"/>
      <c r="M30"/>
      <c r="P30" s="501"/>
      <c r="Q30" s="501"/>
      <c r="R30" s="501"/>
      <c r="S30" s="501"/>
      <c r="T30" s="501"/>
      <c r="U30" s="501"/>
      <c r="V30" s="501"/>
    </row>
    <row r="31" spans="1:26" ht="14.4">
      <c r="A31" s="616" t="s">
        <v>1091</v>
      </c>
      <c r="D31" s="4">
        <v>0</v>
      </c>
      <c r="E31" s="4">
        <v>0</v>
      </c>
      <c r="F31" s="4">
        <v>0</v>
      </c>
      <c r="G31" s="4">
        <v>0</v>
      </c>
      <c r="H31" s="4">
        <v>0</v>
      </c>
      <c r="I31" s="4">
        <v>0</v>
      </c>
      <c r="J31" s="4">
        <v>0</v>
      </c>
      <c r="K31" s="4">
        <v>0</v>
      </c>
      <c r="L31"/>
      <c r="M31"/>
      <c r="P31" s="502" t="s">
        <v>876</v>
      </c>
    </row>
    <row r="32" spans="1:26" ht="14.4">
      <c r="A32" s="616" t="s">
        <v>1092</v>
      </c>
      <c r="D32" s="4">
        <f t="shared" ref="D32:K32" si="19">D30*$E$7</f>
        <v>14.237577</v>
      </c>
      <c r="E32" s="4">
        <f t="shared" si="19"/>
        <v>14.237577</v>
      </c>
      <c r="F32" s="4">
        <f t="shared" si="19"/>
        <v>14.237577</v>
      </c>
      <c r="G32" s="4">
        <f t="shared" si="19"/>
        <v>14.237577</v>
      </c>
      <c r="H32" s="4">
        <f t="shared" si="19"/>
        <v>14.237577</v>
      </c>
      <c r="I32" s="4">
        <f t="shared" si="19"/>
        <v>14.237577</v>
      </c>
      <c r="J32" s="4">
        <f t="shared" si="19"/>
        <v>14.237577</v>
      </c>
      <c r="K32" s="4">
        <f t="shared" si="19"/>
        <v>14.237577</v>
      </c>
    </row>
    <row r="33" spans="1:23" ht="14.4">
      <c r="A33" s="616" t="s">
        <v>881</v>
      </c>
      <c r="C33">
        <f>D7</f>
        <v>158.1953</v>
      </c>
      <c r="D33" s="4">
        <f>D30-D31</f>
        <v>158.1953</v>
      </c>
      <c r="E33" s="4">
        <f>E30-E31</f>
        <v>158.1953</v>
      </c>
      <c r="F33" s="4">
        <f t="shared" ref="F33:K33" si="20">F30-F31</f>
        <v>158.1953</v>
      </c>
      <c r="G33" s="4">
        <f t="shared" si="20"/>
        <v>158.1953</v>
      </c>
      <c r="H33" s="4">
        <f t="shared" si="20"/>
        <v>158.1953</v>
      </c>
      <c r="I33" s="4">
        <f t="shared" si="20"/>
        <v>158.1953</v>
      </c>
      <c r="J33" s="4">
        <f t="shared" si="20"/>
        <v>158.1953</v>
      </c>
      <c r="K33" s="4">
        <f t="shared" si="20"/>
        <v>158.1953</v>
      </c>
      <c r="P33" s="499" t="s">
        <v>877</v>
      </c>
      <c r="Q33" s="765">
        <f>'[352]Lib-Smt'!T18</f>
        <v>158.1953</v>
      </c>
      <c r="R33" s="503">
        <f t="shared" ref="R33:W33" si="21">Q38</f>
        <v>158.1953</v>
      </c>
      <c r="S33" s="503">
        <f t="shared" si="21"/>
        <v>158.1953</v>
      </c>
      <c r="T33" s="503">
        <f t="shared" si="21"/>
        <v>158.1953</v>
      </c>
      <c r="U33" s="503">
        <f t="shared" si="21"/>
        <v>158.1953</v>
      </c>
      <c r="V33" s="503">
        <f t="shared" si="21"/>
        <v>158.1953</v>
      </c>
      <c r="W33" s="503">
        <f t="shared" si="21"/>
        <v>158.1953</v>
      </c>
    </row>
    <row r="34" spans="1:23" ht="14.4">
      <c r="L34" s="4"/>
      <c r="M34" s="4"/>
      <c r="P34" s="499" t="s">
        <v>878</v>
      </c>
      <c r="Q34" s="503">
        <f>Q33*9%*6/12</f>
        <v>7.1187885</v>
      </c>
      <c r="R34" s="503">
        <f t="shared" ref="R34:W34" si="22">R33*9%</f>
        <v>14.237577</v>
      </c>
      <c r="S34" s="503">
        <f t="shared" si="22"/>
        <v>14.237577</v>
      </c>
      <c r="T34" s="503">
        <f t="shared" si="22"/>
        <v>14.237577</v>
      </c>
      <c r="U34" s="503">
        <f t="shared" si="22"/>
        <v>14.237577</v>
      </c>
      <c r="V34" s="503">
        <f t="shared" si="22"/>
        <v>14.237577</v>
      </c>
      <c r="W34" s="503">
        <f t="shared" si="22"/>
        <v>14.237577</v>
      </c>
    </row>
    <row r="35" spans="1:23" ht="14.4">
      <c r="L35" s="4"/>
      <c r="M35" s="4"/>
      <c r="P35" s="502" t="s">
        <v>879</v>
      </c>
      <c r="Q35" s="503"/>
      <c r="R35" s="503"/>
      <c r="S35" s="503"/>
      <c r="T35" s="503"/>
      <c r="U35" s="503"/>
      <c r="V35" s="503"/>
      <c r="W35" s="503"/>
    </row>
    <row r="36" spans="1:23" ht="14.4">
      <c r="B36" s="499" t="s">
        <v>1130</v>
      </c>
      <c r="C36" s="672">
        <f>C33+C27+C21+C15</f>
        <v>595.33389999999997</v>
      </c>
      <c r="D36" s="672">
        <f>D33+D27+D21+D15</f>
        <v>503.07212857142861</v>
      </c>
      <c r="E36" s="672">
        <f t="shared" ref="E36:K36" si="23">E33+E27+E21+E15</f>
        <v>445.59265714285715</v>
      </c>
      <c r="F36" s="672">
        <f t="shared" si="23"/>
        <v>388.11318571428575</v>
      </c>
      <c r="G36" s="672">
        <f t="shared" si="23"/>
        <v>330.63371428571429</v>
      </c>
      <c r="H36" s="672">
        <f t="shared" si="23"/>
        <v>273.15424285714289</v>
      </c>
      <c r="I36" s="672">
        <f t="shared" si="23"/>
        <v>215.67477142857146</v>
      </c>
      <c r="J36" s="672">
        <f t="shared" si="23"/>
        <v>158.1953</v>
      </c>
      <c r="K36" s="672">
        <f t="shared" si="23"/>
        <v>158.1953</v>
      </c>
      <c r="L36" s="4"/>
      <c r="M36" s="4"/>
      <c r="P36" s="504" t="s">
        <v>880</v>
      </c>
      <c r="Q36" s="765">
        <f>'[352]Lib-Smt'!U18-'[352]Lib-Smt'!T18</f>
        <v>0</v>
      </c>
      <c r="R36" s="503">
        <f>'[352]Lib-Smt'!V18-'[352]Lib-Smt'!U18</f>
        <v>0</v>
      </c>
      <c r="S36" s="503">
        <f>'[352]Lib-Smt'!W18-'[352]Lib-Smt'!V18</f>
        <v>0</v>
      </c>
      <c r="T36" s="503">
        <f>'[352]Lib-Smt'!X18-'[352]Lib-Smt'!W18</f>
        <v>0</v>
      </c>
      <c r="U36" s="503">
        <f>'[352]Lib-Smt'!Y18-'[352]Lib-Smt'!X18</f>
        <v>0</v>
      </c>
      <c r="V36" s="503">
        <f>'[352]Lib-Smt'!Z18-'[352]Lib-Smt'!Y18</f>
        <v>0</v>
      </c>
      <c r="W36" s="503">
        <f>'[352]Lib-Smt'!AA18-'[352]Lib-Smt'!Z18</f>
        <v>0</v>
      </c>
    </row>
    <row r="37" spans="1:23" ht="14.4">
      <c r="B37" s="499" t="s">
        <v>1131</v>
      </c>
      <c r="D37" s="672">
        <f>D36-C36</f>
        <v>-92.261771428571365</v>
      </c>
      <c r="E37" s="672">
        <f t="shared" ref="E37:K37" si="24">E36-D36</f>
        <v>-57.479471428571458</v>
      </c>
      <c r="F37" s="672">
        <f t="shared" si="24"/>
        <v>-57.479471428571401</v>
      </c>
      <c r="G37" s="672">
        <f t="shared" si="24"/>
        <v>-57.479471428571458</v>
      </c>
      <c r="H37" s="672">
        <f t="shared" si="24"/>
        <v>-57.479471428571401</v>
      </c>
      <c r="I37" s="672">
        <f t="shared" si="24"/>
        <v>-57.479471428571429</v>
      </c>
      <c r="J37" s="672">
        <f t="shared" si="24"/>
        <v>-57.479471428571458</v>
      </c>
      <c r="K37" s="672">
        <f t="shared" si="24"/>
        <v>0</v>
      </c>
      <c r="L37" s="4"/>
      <c r="M37" s="4"/>
      <c r="P37" s="504" t="s">
        <v>878</v>
      </c>
      <c r="Q37" s="503">
        <f>Q34</f>
        <v>7.1187885</v>
      </c>
      <c r="R37" s="503">
        <f t="shared" ref="R37:W37" si="25">R34</f>
        <v>14.237577</v>
      </c>
      <c r="S37" s="503">
        <f t="shared" si="25"/>
        <v>14.237577</v>
      </c>
      <c r="T37" s="503">
        <f t="shared" si="25"/>
        <v>14.237577</v>
      </c>
      <c r="U37" s="503">
        <f t="shared" si="25"/>
        <v>14.237577</v>
      </c>
      <c r="V37" s="503">
        <f t="shared" si="25"/>
        <v>14.237577</v>
      </c>
      <c r="W37" s="503">
        <f t="shared" si="25"/>
        <v>14.237577</v>
      </c>
    </row>
    <row r="38" spans="1:23" ht="14.4">
      <c r="L38"/>
      <c r="M38"/>
      <c r="P38" s="499" t="s">
        <v>881</v>
      </c>
      <c r="Q38" s="503">
        <f t="shared" ref="Q38:W38" si="26">Q33+Q34-Q37-Q36</f>
        <v>158.1953</v>
      </c>
      <c r="R38" s="503">
        <f t="shared" si="26"/>
        <v>158.1953</v>
      </c>
      <c r="S38" s="503">
        <f t="shared" si="26"/>
        <v>158.1953</v>
      </c>
      <c r="T38" s="503">
        <f t="shared" si="26"/>
        <v>158.1953</v>
      </c>
      <c r="U38" s="503">
        <f t="shared" si="26"/>
        <v>158.1953</v>
      </c>
      <c r="V38" s="503">
        <f t="shared" si="26"/>
        <v>158.1953</v>
      </c>
      <c r="W38" s="503">
        <f t="shared" si="26"/>
        <v>158.1953</v>
      </c>
    </row>
    <row r="39" spans="1:23" ht="14.4">
      <c r="L39"/>
      <c r="M39"/>
      <c r="Q39" s="503"/>
      <c r="R39" s="503"/>
      <c r="S39" s="503"/>
      <c r="T39" s="503"/>
      <c r="U39" s="503"/>
      <c r="V39" s="503"/>
      <c r="W39" s="503"/>
    </row>
    <row r="42" spans="1:23" ht="14.4">
      <c r="P42" s="502" t="s">
        <v>882</v>
      </c>
      <c r="Q42" s="503"/>
      <c r="R42" s="503"/>
      <c r="S42" s="503"/>
      <c r="T42" s="503"/>
      <c r="U42" s="503"/>
      <c r="V42" s="503"/>
      <c r="W42" s="503"/>
    </row>
    <row r="43" spans="1:23" ht="14.4">
      <c r="Q43" s="503"/>
      <c r="R43" s="503"/>
      <c r="S43" s="503"/>
      <c r="T43" s="503"/>
      <c r="U43" s="503"/>
      <c r="V43" s="503"/>
      <c r="W43" s="503"/>
    </row>
    <row r="44" spans="1:23" ht="14.4">
      <c r="P44" s="499" t="s">
        <v>877</v>
      </c>
      <c r="Q44" s="765">
        <f>'[351]Lib-Smt'!S51+'[351]Lib-Smt'!S27</f>
        <v>407.73590000000002</v>
      </c>
      <c r="R44" s="503">
        <f>Q49</f>
        <v>388.45</v>
      </c>
      <c r="S44" s="503">
        <f t="shared" ref="S44:W44" si="27">R49</f>
        <v>352.25</v>
      </c>
      <c r="T44" s="503">
        <f t="shared" si="27"/>
        <v>308.25</v>
      </c>
      <c r="U44" s="503">
        <f t="shared" si="27"/>
        <v>264.25</v>
      </c>
      <c r="V44" s="503">
        <f t="shared" si="27"/>
        <v>220.25000000000003</v>
      </c>
      <c r="W44" s="503">
        <f t="shared" si="27"/>
        <v>176.25000000000003</v>
      </c>
    </row>
    <row r="45" spans="1:23" ht="14.4">
      <c r="P45" s="499" t="s">
        <v>878</v>
      </c>
      <c r="Q45" s="503">
        <f>Q44*0.01%</f>
        <v>4.0773590000000005E-2</v>
      </c>
      <c r="R45" s="503">
        <f t="shared" ref="R45:W45" si="28">R44*0.01%</f>
        <v>3.8844999999999998E-2</v>
      </c>
      <c r="S45" s="503">
        <f t="shared" si="28"/>
        <v>3.5224999999999999E-2</v>
      </c>
      <c r="T45" s="503">
        <f t="shared" si="28"/>
        <v>3.0825000000000002E-2</v>
      </c>
      <c r="U45" s="503">
        <f t="shared" si="28"/>
        <v>2.6425000000000001E-2</v>
      </c>
      <c r="V45" s="503">
        <f t="shared" si="28"/>
        <v>2.2025000000000003E-2</v>
      </c>
      <c r="W45" s="503">
        <f t="shared" si="28"/>
        <v>1.7625000000000005E-2</v>
      </c>
    </row>
    <row r="46" spans="1:23" ht="14.4">
      <c r="P46" s="502" t="s">
        <v>879</v>
      </c>
      <c r="Q46" s="503"/>
      <c r="R46" s="503"/>
      <c r="S46" s="503"/>
      <c r="T46" s="503"/>
      <c r="U46" s="503"/>
      <c r="V46" s="503"/>
      <c r="W46" s="503"/>
    </row>
    <row r="47" spans="1:23" ht="14.4">
      <c r="P47" s="504" t="s">
        <v>880</v>
      </c>
      <c r="Q47" s="765">
        <f>-('[351]Lib-Smt'!T51-'[351]Lib-Smt'!S51+'[351]Lib-Smt'!T27-'[351]Lib-Smt'!S27)</f>
        <v>19.285899999999998</v>
      </c>
      <c r="R47" s="503">
        <f>-('[351]Lib-Smt'!U51-'[351]Lib-Smt'!T51+'[351]Lib-Smt'!U27-'[351]Lib-Smt'!T27)</f>
        <v>36.200000000000003</v>
      </c>
      <c r="S47" s="503">
        <f>-('[351]Lib-Smt'!V51-'[351]Lib-Smt'!U51+'[351]Lib-Smt'!V27-'[351]Lib-Smt'!U27)</f>
        <v>44</v>
      </c>
      <c r="T47" s="503">
        <f>-('[351]Lib-Smt'!W51-'[351]Lib-Smt'!V51+'[351]Lib-Smt'!W27-'[351]Lib-Smt'!V27)</f>
        <v>44</v>
      </c>
      <c r="U47" s="503">
        <f>-('[351]Lib-Smt'!X51-'[351]Lib-Smt'!W51+'[351]Lib-Smt'!X27-'[351]Lib-Smt'!W27)</f>
        <v>44</v>
      </c>
      <c r="V47" s="503">
        <f>-('[351]Lib-Smt'!Y51-'[351]Lib-Smt'!X51+'[351]Lib-Smt'!Y27-'[351]Lib-Smt'!X27)</f>
        <v>44</v>
      </c>
      <c r="W47" s="503">
        <f>-('[351]Lib-Smt'!Z51-'[351]Lib-Smt'!Y51+'[351]Lib-Smt'!Z27-'[351]Lib-Smt'!Y27)</f>
        <v>44</v>
      </c>
    </row>
    <row r="48" spans="1:23" ht="14.4">
      <c r="P48" s="504" t="s">
        <v>878</v>
      </c>
      <c r="Q48" s="503">
        <f>Q45</f>
        <v>4.0773590000000005E-2</v>
      </c>
      <c r="R48" s="503">
        <f t="shared" ref="R48:W48" si="29">R45</f>
        <v>3.8844999999999998E-2</v>
      </c>
      <c r="S48" s="503">
        <f t="shared" si="29"/>
        <v>3.5224999999999999E-2</v>
      </c>
      <c r="T48" s="503">
        <f t="shared" si="29"/>
        <v>3.0825000000000002E-2</v>
      </c>
      <c r="U48" s="503">
        <f t="shared" si="29"/>
        <v>2.6425000000000001E-2</v>
      </c>
      <c r="V48" s="503">
        <f t="shared" si="29"/>
        <v>2.2025000000000003E-2</v>
      </c>
      <c r="W48" s="503">
        <f t="shared" si="29"/>
        <v>1.7625000000000005E-2</v>
      </c>
    </row>
    <row r="49" spans="14:23" ht="14.4">
      <c r="N49"/>
      <c r="O49"/>
      <c r="P49" s="499" t="s">
        <v>881</v>
      </c>
      <c r="Q49" s="503">
        <f>Q44+Q45-Q47-Q48</f>
        <v>388.45</v>
      </c>
      <c r="R49" s="503">
        <f t="shared" ref="R49:W49" si="30">R44+R45-R47-R48</f>
        <v>352.25</v>
      </c>
      <c r="S49" s="503">
        <f t="shared" si="30"/>
        <v>308.25</v>
      </c>
      <c r="T49" s="503">
        <f t="shared" si="30"/>
        <v>264.25</v>
      </c>
      <c r="U49" s="503">
        <f t="shared" si="30"/>
        <v>220.25000000000003</v>
      </c>
      <c r="V49" s="503">
        <f t="shared" si="30"/>
        <v>176.25000000000003</v>
      </c>
      <c r="W49" s="503">
        <f t="shared" si="30"/>
        <v>132.25000000000003</v>
      </c>
    </row>
    <row r="51" spans="14:23" ht="14.4">
      <c r="P51" s="502" t="s">
        <v>883</v>
      </c>
      <c r="Q51" s="503"/>
      <c r="R51" s="503"/>
      <c r="S51" s="503"/>
      <c r="T51" s="503"/>
      <c r="U51" s="503"/>
      <c r="V51" s="503"/>
      <c r="W51" s="503"/>
    </row>
    <row r="52" spans="14:23" ht="14.4">
      <c r="N52" s="4"/>
      <c r="O52" s="4"/>
      <c r="Q52" s="503"/>
      <c r="R52" s="503"/>
      <c r="S52" s="503"/>
      <c r="T52" s="503"/>
      <c r="U52" s="503"/>
      <c r="V52" s="503"/>
      <c r="W52" s="503"/>
    </row>
    <row r="53" spans="14:23" ht="14.4">
      <c r="N53" s="4"/>
      <c r="O53" s="4"/>
      <c r="P53" s="499" t="s">
        <v>884</v>
      </c>
      <c r="Q53" s="765">
        <v>10</v>
      </c>
      <c r="R53" s="503">
        <v>30</v>
      </c>
      <c r="S53" s="503">
        <v>30</v>
      </c>
      <c r="T53" s="503">
        <v>30</v>
      </c>
      <c r="U53" s="503">
        <v>30</v>
      </c>
      <c r="V53" s="503">
        <v>20</v>
      </c>
      <c r="W53" s="503">
        <v>20</v>
      </c>
    </row>
    <row r="54" spans="14:23" ht="14.4">
      <c r="N54" s="4"/>
      <c r="O54" s="4"/>
      <c r="Q54" s="503"/>
      <c r="R54" s="503"/>
      <c r="S54" s="503"/>
      <c r="T54" s="503"/>
      <c r="U54" s="503"/>
      <c r="V54" s="503"/>
      <c r="W54" s="503"/>
    </row>
    <row r="55" spans="14:23" ht="14.4">
      <c r="N55" s="4"/>
      <c r="O55" s="4"/>
      <c r="Q55" s="503"/>
      <c r="R55" s="503"/>
      <c r="S55" s="503"/>
      <c r="T55" s="503"/>
      <c r="U55" s="503"/>
      <c r="V55" s="503"/>
      <c r="W55" s="503"/>
    </row>
    <row r="56" spans="14:23" ht="14.4">
      <c r="N56"/>
      <c r="O56"/>
      <c r="P56" s="499" t="s">
        <v>877</v>
      </c>
      <c r="Q56" s="503">
        <v>0</v>
      </c>
      <c r="R56" s="503">
        <f t="shared" ref="R56:W56" si="31">Q58</f>
        <v>7.5</v>
      </c>
      <c r="S56" s="503">
        <f t="shared" si="31"/>
        <v>30</v>
      </c>
      <c r="T56" s="503">
        <f t="shared" si="31"/>
        <v>52.5</v>
      </c>
      <c r="U56" s="503">
        <f t="shared" si="31"/>
        <v>75</v>
      </c>
      <c r="V56" s="503">
        <f t="shared" si="31"/>
        <v>97.5</v>
      </c>
      <c r="W56" s="503">
        <f t="shared" si="31"/>
        <v>112.5</v>
      </c>
    </row>
    <row r="57" spans="14:23" ht="14.4">
      <c r="N57"/>
      <c r="O57"/>
      <c r="P57" s="499" t="s">
        <v>885</v>
      </c>
      <c r="Q57" s="505">
        <f>Q53*75%</f>
        <v>7.5</v>
      </c>
      <c r="R57" s="505">
        <f t="shared" ref="R57:W57" si="32">R53*75%</f>
        <v>22.5</v>
      </c>
      <c r="S57" s="505">
        <f t="shared" si="32"/>
        <v>22.5</v>
      </c>
      <c r="T57" s="505">
        <f t="shared" si="32"/>
        <v>22.5</v>
      </c>
      <c r="U57" s="505">
        <f t="shared" si="32"/>
        <v>22.5</v>
      </c>
      <c r="V57" s="505">
        <f t="shared" si="32"/>
        <v>15</v>
      </c>
      <c r="W57" s="505">
        <f t="shared" si="32"/>
        <v>15</v>
      </c>
    </row>
    <row r="58" spans="14:23">
      <c r="P58" s="499" t="s">
        <v>881</v>
      </c>
      <c r="Q58" s="505">
        <f>Q56+Q57</f>
        <v>7.5</v>
      </c>
      <c r="R58" s="505">
        <f t="shared" ref="R58:W58" si="33">R56+R57</f>
        <v>30</v>
      </c>
      <c r="S58" s="505">
        <f t="shared" si="33"/>
        <v>52.5</v>
      </c>
      <c r="T58" s="505">
        <f t="shared" si="33"/>
        <v>75</v>
      </c>
      <c r="U58" s="505">
        <f t="shared" si="33"/>
        <v>97.5</v>
      </c>
      <c r="V58" s="505">
        <f t="shared" si="33"/>
        <v>112.5</v>
      </c>
      <c r="W58" s="505">
        <f t="shared" si="33"/>
        <v>127.5</v>
      </c>
    </row>
    <row r="59" spans="14:23">
      <c r="Q59" s="505"/>
      <c r="R59" s="505"/>
      <c r="S59" s="505"/>
      <c r="T59" s="505"/>
      <c r="U59" s="505"/>
      <c r="V59" s="505"/>
      <c r="W59" s="505"/>
    </row>
    <row r="60" spans="14:23" ht="14.4">
      <c r="P60" s="506" t="s">
        <v>886</v>
      </c>
      <c r="Q60" s="503">
        <f>Q58*10%*6/12</f>
        <v>0.375</v>
      </c>
      <c r="R60" s="503">
        <f t="shared" ref="R60:W60" si="34">R58*10%</f>
        <v>3</v>
      </c>
      <c r="S60" s="503">
        <f t="shared" si="34"/>
        <v>5.25</v>
      </c>
      <c r="T60" s="503">
        <f t="shared" si="34"/>
        <v>7.5</v>
      </c>
      <c r="U60" s="503">
        <f t="shared" si="34"/>
        <v>9.75</v>
      </c>
      <c r="V60" s="503">
        <f t="shared" si="34"/>
        <v>11.25</v>
      </c>
      <c r="W60" s="503">
        <f t="shared" si="34"/>
        <v>12.75</v>
      </c>
    </row>
  </sheetData>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NAV EV</vt:lpstr>
      <vt:lpstr>Cost of Equity</vt:lpstr>
      <vt:lpstr>Historical RK P&amp;L</vt:lpstr>
      <vt:lpstr>Projection RK P&amp;L</vt:lpstr>
      <vt:lpstr>BS</vt:lpstr>
      <vt:lpstr>Cash flow</vt:lpstr>
      <vt:lpstr>DCF Valuation</vt:lpstr>
      <vt:lpstr>WACC</vt:lpstr>
      <vt:lpstr>Debt Schedule</vt:lpstr>
      <vt:lpstr>Working Capital Schedule</vt:lpstr>
      <vt:lpstr>Depreciation Schedule</vt:lpstr>
      <vt:lpstr>Schedule</vt:lpstr>
      <vt:lpstr>DCF</vt:lpstr>
      <vt:lpstr>Non-Current Assets</vt:lpstr>
      <vt:lpstr>Current Assets</vt:lpstr>
      <vt:lpstr>Equity &amp; Liabilities</vt:lpstr>
      <vt:lpstr>Non Current -CWIP- I</vt:lpstr>
      <vt:lpstr>Summary</vt:lpstr>
      <vt:lpstr>Non Current Financial Asset- I</vt:lpstr>
      <vt:lpstr>Inventories - II</vt:lpstr>
      <vt:lpstr>Trade Receivables - III</vt:lpstr>
      <vt:lpstr>C&amp;CE and Bank Bal. - IV</vt:lpstr>
      <vt:lpstr>Financial Assets- V</vt:lpstr>
      <vt:lpstr>Other Current Assest-VI</vt:lpstr>
      <vt:lpstr>Sheet1</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2024-05-01T07:19:52Z</dcterms:modified>
</cp:coreProperties>
</file>